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O" sheetId="1" r:id="rId5"/>
    <sheet state="visible" name="INOV0001" sheetId="2" r:id="rId6"/>
    <sheet state="visible" name="INOV0004" sheetId="3" r:id="rId7"/>
    <sheet state="visible" name="INOV0006" sheetId="4" r:id="rId8"/>
    <sheet state="visible" name="INOV00010" sheetId="5" r:id="rId9"/>
    <sheet state="visible" name="INOV00013" sheetId="6" r:id="rId10"/>
    <sheet state="visible" name="INOV00014" sheetId="7" r:id="rId11"/>
    <sheet state="visible" name="INOV00016" sheetId="8" r:id="rId12"/>
    <sheet state="visible" name="INOV00017" sheetId="9" r:id="rId13"/>
    <sheet state="visible" name="INOV00021" sheetId="10" r:id="rId14"/>
    <sheet state="visible" name="INOV00022" sheetId="11" r:id="rId15"/>
    <sheet state="visible" name="INOV00023" sheetId="12" r:id="rId16"/>
    <sheet state="visible" name="INOV00024" sheetId="13" r:id="rId17"/>
    <sheet state="visible" name="INOV00027" sheetId="14" r:id="rId18"/>
    <sheet state="visible" name="INOV00031" sheetId="15" r:id="rId19"/>
    <sheet state="visible" name="INOV00034" sheetId="16" r:id="rId20"/>
    <sheet state="visible" name="INOV00035" sheetId="17" r:id="rId21"/>
    <sheet state="visible" name="INOV00036" sheetId="18" r:id="rId22"/>
    <sheet state="visible" name="INOV00037" sheetId="19" r:id="rId23"/>
    <sheet state="visible" name="INOV00038" sheetId="20" r:id="rId24"/>
    <sheet state="visible" name="INOV00039" sheetId="21" r:id="rId25"/>
    <sheet state="visible" name="INOV00040" sheetId="22" r:id="rId26"/>
    <sheet state="visible" name="INOV00041" sheetId="23" r:id="rId27"/>
    <sheet state="visible" name="INOV00046" sheetId="24" r:id="rId28"/>
    <sheet state="visible" name="BD Projetos" sheetId="25" r:id="rId29"/>
    <sheet state="visible" name="PROJETO" sheetId="26" r:id="rId30"/>
    <sheet state="visible" name="PESSOAL" sheetId="27" r:id="rId31"/>
    <sheet state="visible" name="CHECKLIST" sheetId="28" r:id="rId32"/>
    <sheet state="visible" name="Página10" sheetId="29" r:id="rId33"/>
    <sheet state="visible" name="TIMESHEET" sheetId="30" r:id="rId34"/>
    <sheet state="visible" name="Tabela dinâmica 1" sheetId="31" r:id="rId35"/>
    <sheet state="visible" name="TERCEIROS" sheetId="32" r:id="rId36"/>
    <sheet state="visible" name="CNPJ" sheetId="33" r:id="rId37"/>
    <sheet state="visible" name="Tabela dinâmica 2" sheetId="34" r:id="rId38"/>
    <sheet state="visible" name="MILESTONES" sheetId="35" r:id="rId39"/>
    <sheet state="visible" name="FORMS - resumos" sheetId="36" r:id="rId40"/>
    <sheet state="visible" name="Página11" sheetId="37" r:id="rId41"/>
  </sheets>
  <definedNames>
    <definedName hidden="1" localSheetId="29" name="_xlnm._FilterDatabase">TIMESHEET!$B$11:$Q$1903</definedName>
    <definedName hidden="1" localSheetId="31" name="_xlnm._FilterDatabase">TERCEIROS!$A$11:$AW$135</definedName>
    <definedName hidden="1" localSheetId="34" name="_xlnm._FilterDatabase">MILESTONES!$B$11:$H$172</definedName>
    <definedName hidden="1" localSheetId="35" name="_xlnm._FilterDatabase">'FORMS - resumos'!$A$2:$AL$36</definedName>
    <definedName hidden="1" localSheetId="29" name="Z_BF9B7DBE_AC84_49A7_A65D_2C0797C1A3CC_.wvu.FilterData">TIMESHEET!$A$11:$Q$1516</definedName>
  </definedNames>
  <calcPr/>
  <customWorkbookViews>
    <customWorkbookView activeSheetId="0" maximized="1" windowHeight="0" windowWidth="0" guid="{BF9B7DBE-AC84-49A7-A65D-2C0797C1A3CC}" name="Filtro 1"/>
  </customWorkbookViews>
  <pivotCaches>
    <pivotCache cacheId="0" r:id="rId42"/>
    <pivotCache cacheId="1" r:id="rId43"/>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2">
      <text>
        <t xml:space="preserve">Investigação científica: mediante trabalhos experimentais ou teóricos desenvolvidos principalmente com a finalidade de adquirir novos conhecimentos sobre fundamentos de fenômenos e fatos observáveis, mesmo que ainda não haja uma aplicação já definida</t>
      </text>
    </comment>
    <comment authorId="0" ref="M13">
      <text>
        <t xml:space="preserve">Pesquisa aplicada: são os procedimentos realizados para determinar as possíveis (novas) utilizações de conhecimentos obtidos por meio de pesquisa básica</t>
      </text>
    </comment>
    <comment authorId="0" ref="M14">
      <text>
        <t xml:space="preserve">Desenvolvimento experimental: consiste na realização de trabalhos sistemáticos fundamentados em conhecimentos pré-existentes, para criar ou aperfeiçoar consideravelmente: materiais, produtos, dispositivos, processos ou serviços</t>
      </text>
    </comment>
    <comment authorId="0" ref="M16">
      <text>
        <t xml:space="preserve">Inovação tecnológica de produto:   caracterizada quando objetiva-se em resultar:
- produto tecnologicamente novo, ou 
- produto tecnologicamente aprimorado</t>
      </text>
    </comment>
    <comment authorId="0" ref="M17">
      <text>
        <t xml:space="preserve">Inovação tecnológica de processo: caracteriza-se pela concepção de uma nova tecnologia de produção, seus equipamentos associados e até softwares com impacto nas atividades de suporte à produção.</t>
      </text>
    </comment>
    <comment authorId="0" ref="M18">
      <text>
        <t xml:space="preserve">Inovação tecnológica de serviços: desenvolvimento de software tecnologicamente novo ou tecnologicamente aprimorado, ou outros serviços que envolvam riscos tecnológicos</t>
      </text>
    </comment>
    <comment authorId="0" ref="M20">
      <text>
        <t xml:space="preserve">Inovador para a empresa: quando a empresa não tem acesso e isso representa um passo tecnológico científico para sua equipe, apesar de não ser algo novo para o mundo.</t>
      </text>
    </comment>
    <comment authorId="0" ref="M21">
      <text>
        <t xml:space="preserve">Inovador para o Brasil: quando o objetivo do projeto já foi alcançado em outro país, mas realizá-lo aqui representa um passo tecnológico científico para o cenário brasileiro</t>
      </text>
    </comment>
    <comment authorId="0" ref="M22">
      <text>
        <t xml:space="preserve">Inovador para o Mundo: quando há o desenvolvimento de algo efetivamente novo</t>
      </text>
    </comment>
    <comment authorId="0" ref="H27">
      <text>
        <t xml:space="preserve">Para que as atividades desenvolvidas por um membro da equipe de PD&amp;I possam ser incentivadas pela Lei do Bem, seu contrato de trabalho deve mencionar a realização desse tipo de atividade, mesmo que parcialmente</t>
      </text>
    </comment>
    <comment authorId="0" ref="M28">
      <text>
        <t xml:space="preserve">Técnico: é todo profissional que tenha as qualificações para as atividades reconhecidas pela empresa, obtidas em cursos livres, curso técnico, cursos internos, ou experiência de trabalho mas, que não possua graduação acadêmica</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1">
      <text>
        <t xml:space="preserve">- BC = Business Case
- EC = Estudo de caso
- EE = Estudo de estabilidade
- ET = Especificação técnica do produto acabado
- HH = Dieta hipercalórica e hiperproteica
- MF = Master file (arquivo base para desenvolver as fórmulas dos produtos)
- MP = Matéria-prima
- TB = Teste de bancada
- TI = Teste Industrial
- TP = Teste Piloto</t>
      </text>
    </comment>
  </commentList>
</comments>
</file>

<file path=xl/sharedStrings.xml><?xml version="1.0" encoding="utf-8"?>
<sst xmlns="http://schemas.openxmlformats.org/spreadsheetml/2006/main" count="17149" uniqueCount="2321">
  <si>
    <t>Resumo dos investimentos</t>
  </si>
  <si>
    <t>BENEFÍCIO FISCAL DE PD&amp;I 2023</t>
  </si>
  <si>
    <t>2019-088 PRODIET</t>
  </si>
  <si>
    <t>PRODIET NUTRIÇÃO CLINICA LTDA</t>
  </si>
  <si>
    <t>CNPJ 08.183.359/0001-53</t>
  </si>
  <si>
    <t>Rua General Potiguara, 1428, Lotes 20 e 21, Novo Mundo - PR - SUL - CURITIBA - CEP 81.050-500 - fone: (41) 3342-2825</t>
  </si>
  <si>
    <t>Natureza</t>
  </si>
  <si>
    <t>1º Trimestre</t>
  </si>
  <si>
    <t>2º Trimestre</t>
  </si>
  <si>
    <t>3º Trimestre</t>
  </si>
  <si>
    <t>4º Trimestre</t>
  </si>
  <si>
    <t>TOTAL</t>
  </si>
  <si>
    <t>Material</t>
  </si>
  <si>
    <t>-</t>
  </si>
  <si>
    <t>Terceiros</t>
  </si>
  <si>
    <r>
      <rPr>
        <rFont val="Cairo"/>
        <color rgb="FF000000"/>
        <sz val="10.0"/>
      </rPr>
      <t>RH (</t>
    </r>
    <r>
      <rPr>
        <rFont val="Cairo"/>
        <i/>
        <color rgb="FF000000"/>
        <sz val="10.0"/>
      </rPr>
      <t>Parcial inovação</t>
    </r>
    <r>
      <rPr>
        <rFont val="Cairo"/>
        <color rgb="FF000000"/>
        <sz val="10.0"/>
      </rPr>
      <t>)</t>
    </r>
  </si>
  <si>
    <r>
      <rPr>
        <rFont val="Cairo"/>
        <color rgb="FF000000"/>
        <sz val="10.0"/>
      </rPr>
      <t>RH (</t>
    </r>
    <r>
      <rPr>
        <rFont val="Cairo"/>
        <i/>
        <color rgb="FF000000"/>
        <sz val="10.0"/>
      </rPr>
      <t>Exclusivo inovação</t>
    </r>
    <r>
      <rPr>
        <rFont val="Cairo"/>
        <color rgb="FF000000"/>
        <sz val="10.0"/>
      </rPr>
      <t>)</t>
    </r>
  </si>
  <si>
    <t>Total 1</t>
  </si>
  <si>
    <t>Percentual Exclusão</t>
  </si>
  <si>
    <t>Exclusão da Base de cálculo do IRPJ e CSLL</t>
  </si>
  <si>
    <r>
      <rPr>
        <rFont val="Cairo"/>
        <b/>
        <color rgb="FFFFFFFF"/>
        <sz val="10.0"/>
      </rPr>
      <t>Economia Estimada [</t>
    </r>
    <r>
      <rPr>
        <rFont val="Cairo"/>
        <b/>
        <color rgb="FFFFFFFF"/>
        <sz val="10.0"/>
      </rPr>
      <t>34%</t>
    </r>
    <r>
      <rPr>
        <rFont val="Cairo"/>
        <b/>
        <color rgb="FFFFFFFF"/>
        <sz val="10.0"/>
      </rPr>
      <t>]</t>
    </r>
  </si>
  <si>
    <t>Comissão McBenner</t>
  </si>
  <si>
    <t>Observações:</t>
  </si>
  <si>
    <t>1. Os dispêndios devem ser registrados na contabilidade em conta específica</t>
  </si>
  <si>
    <t>2. O benefício deve ser aproveitado na ECF do respectivo ano/competência</t>
  </si>
  <si>
    <r>
      <rPr>
        <rFont val="Cairo"/>
        <color rgb="FF000000"/>
        <sz val="10.0"/>
      </rPr>
      <t>3. O formulário do MCTIC (governo) deve ser enviado até fim de Julho</t>
    </r>
    <r>
      <rPr>
        <rFont val="Cairo"/>
        <b/>
        <color rgb="FF000000"/>
        <sz val="10.0"/>
      </rPr>
      <t>/2024</t>
    </r>
  </si>
  <si>
    <t>4. Os projetos estão descritos em arquivo a parte a ser anexado no FORM PD&amp;I</t>
  </si>
  <si>
    <t>5. Alguns benefícios previstos na Lei do Bem não foram utilizados:</t>
  </si>
  <si>
    <t>--- 5.1. Depreciação acelerada</t>
  </si>
  <si>
    <t>--- 5.2. Redução de IPI na aquisição de equipamento para PD&amp;I</t>
  </si>
  <si>
    <t>Equipe de PD&amp;I</t>
  </si>
  <si>
    <t>Quadro de resumo</t>
  </si>
  <si>
    <t>Dedicação Parcial</t>
  </si>
  <si>
    <t>Dedicação Exclusiva</t>
  </si>
  <si>
    <t>Qtd</t>
  </si>
  <si>
    <t>Valor gasto</t>
  </si>
  <si>
    <t>Horas</t>
  </si>
  <si>
    <t>Técnico</t>
  </si>
  <si>
    <t>Tecnologo</t>
  </si>
  <si>
    <t>Superior Completo</t>
  </si>
  <si>
    <t>Pós graduado</t>
  </si>
  <si>
    <t>Mestrado</t>
  </si>
  <si>
    <t>Doutorado</t>
  </si>
  <si>
    <t>Valores por projeto de PD&amp;I</t>
  </si>
  <si>
    <t>Projetos</t>
  </si>
  <si>
    <t>Vlr materiais</t>
  </si>
  <si>
    <t>Vlr terceiros</t>
  </si>
  <si>
    <t>Vlr Rh parcial</t>
  </si>
  <si>
    <t>Vlr exclusivos</t>
  </si>
  <si>
    <t>INOV00004</t>
  </si>
  <si>
    <t>INOV00006</t>
  </si>
  <si>
    <t>INOV00010</t>
  </si>
  <si>
    <t>INOV00013</t>
  </si>
  <si>
    <t>INOV00014</t>
  </si>
  <si>
    <t>INOV00016</t>
  </si>
  <si>
    <t>INOV00017</t>
  </si>
  <si>
    <t>INOV00021</t>
  </si>
  <si>
    <t>INOV00022</t>
  </si>
  <si>
    <t>INOV00023</t>
  </si>
  <si>
    <t>INOV00024</t>
  </si>
  <si>
    <t>INOV00027</t>
  </si>
  <si>
    <t>INOV00031</t>
  </si>
  <si>
    <t>INOV00034</t>
  </si>
  <si>
    <t>INOV00035</t>
  </si>
  <si>
    <t>INOV00036</t>
  </si>
  <si>
    <t>INOV00037</t>
  </si>
  <si>
    <t>INOV00038</t>
  </si>
  <si>
    <t>INOV00039</t>
  </si>
  <si>
    <t>INOV00040</t>
  </si>
  <si>
    <t>INOV00041</t>
  </si>
  <si>
    <t>INOV00046</t>
  </si>
  <si>
    <t xml:space="preserve"> </t>
  </si>
  <si>
    <t>PRODIET</t>
  </si>
  <si>
    <t>Pesquisa, Desenvolvimento &amp; Inovação</t>
  </si>
  <si>
    <r>
      <rPr>
        <rFont val="Source Sans Pro"/>
        <color rgb="FF666666"/>
        <sz val="10.0"/>
      </rPr>
      <t xml:space="preserve">Formulário de PD&amp;I - </t>
    </r>
    <r>
      <rPr>
        <rFont val="Source Sans Pro"/>
        <b/>
        <color rgb="FF666666"/>
        <sz val="10.0"/>
      </rPr>
      <t>Ano 2023</t>
    </r>
  </si>
  <si>
    <t>Incentivado pela Lei do Bem</t>
  </si>
  <si>
    <t>- preencher somente os campos sombreados (cinza) e
- adicionar cronograma no formato de imagem ao fim do formulário
- preencher um deste para cada projeto de PD&amp;I</t>
  </si>
  <si>
    <t>Objetiva tornar-se um Ativo</t>
  </si>
  <si>
    <t>Objetiva gerar patente/registro</t>
  </si>
  <si>
    <t>Dossiê do projeto</t>
  </si>
  <si>
    <t>Dados gerais para identificação e validação do projeto de PD&amp;I</t>
  </si>
  <si>
    <t>Nome do projeto</t>
  </si>
  <si>
    <t>INOV000001 (2018 - RETORT)</t>
  </si>
  <si>
    <t>Pesquisa básica</t>
  </si>
  <si>
    <t>📑</t>
  </si>
  <si>
    <t>Classificação do projeto</t>
  </si>
  <si>
    <t>Desenvolvimento experimental</t>
  </si>
  <si>
    <t>Pesquisa aplicada</t>
  </si>
  <si>
    <t>Objetivos do projeto</t>
  </si>
  <si>
    <t>A Prodiet tem como objetivo desenvolver e lançar uma nova linha de produtos de Nutrição Enteral, focada em atender a 50% do mercado que atualmente não é contemplado pelos produtos em pó e líquidos UHT da empresa. Esta nova linha utilizará a tecnologia de tratamento térmico em autoclave para criar produtos inovadores que garantam maior qualidade e segurança alimentar. Especificamente, a linha incluirá produtos de nutrição enteral formulados para atender condições clínicas diversas, como fórmulas para pacientes com necessidades calóricas elevadas, fórmulas para intolerâncias alimentares e fórmulas para suporte nutricional de longo prazo. A empresa identificou essa demanda específica através de estudos de mercado detalhados, incluindo análises de concorrência, feedback de profissionais de saúde e dados de vendas regionais. A atual linha de produtos não atende a esta demanda devido à falta de tecnologia adequada para produzir fórmulas mais específicas e de maior estabilidade.</t>
  </si>
  <si>
    <t>Inovação tecnológica de produto</t>
  </si>
  <si>
    <t>Tipo de inovação</t>
  </si>
  <si>
    <t>Inovação tecnológica de processo</t>
  </si>
  <si>
    <t>Inovação tecnológica de serviços</t>
  </si>
  <si>
    <t>Elemento inovador</t>
  </si>
  <si>
    <t>A introdução da tecnologia de tratamento térmico em autoclave representa uma inovação significativa para a Prodiet, que atualmente utiliza apenas processos UHT. A escolha da tecnologia de autoclave foi motivada pela necessidade de melhorar a qualidade e a segurança dos produtos de nutrição enteral, reduzindo riscos de contaminação e aumentando a vida útil sem a necessidade de aditivos químicos. Comparada aos métodos UHT, a tecnologia de autoclave proporciona um tratamento térmico mais homogêneo e controlado, resultando em produtos de maior qualidade e estabilidade. Além disso, permite a criação de uma variedade maior de produtos, atendendo a necessidades específicas do mercado. A adoção desta tecnologia requer a construção de uma nova área fabril, com mudanças significativas nos fluxos de trabalho e equipamentos. A Prodiet planeja integrar novos processos e treinar funcionários para operar com a tecnologia de autoclave. A empresa também planeja proteger essa inovação através de patentes e outros mecanismos de propriedade intelectual, garantindo que os avanços tecnológicos desenvolvidos sejam devidamente reconhecidos e protegidos.</t>
  </si>
  <si>
    <t xml:space="preserve">- Não podem ser consideradas as inovações organizacionais, comerciais e de marketing
</t>
  </si>
  <si>
    <t>Empresa ou segmento regional</t>
  </si>
  <si>
    <t>Nível de inovação</t>
  </si>
  <si>
    <t>Inovador para o Brasil</t>
  </si>
  <si>
    <t>Inovador para o Mundo</t>
  </si>
  <si>
    <t>Risco tecnológico</t>
  </si>
  <si>
    <t>O principal desafio do projeto será implantar uma nova área fabril do zero, compreendendo totalmente a tecnologia de autoclave e assegurando a estabilidade e esterilidade comercial dos produtos. Será necessário desenvolver novas embalagens compatíveis com o processo e encontrar um copacker adequado para otimizar o tempo de lançamento dos produtos. A empresa planeja superar esses desafios através de uma abordagem multifásica, que inclui a contratação de consultorias especializadas, desenvolvimento de protótipos em plantas piloto, e estreita colaboração com fornecedores de equipamentos e embalagens.</t>
  </si>
  <si>
    <t>Metodologias</t>
  </si>
  <si>
    <t>A Prodiet está realizando diversos estudos e consultorias para adquirir o conhecimento necessário sobre a tecnologia de autoclave. Estes estudos incluem a contratação de consultorias para formulações e desenvolvimento de produtos, a pesquisa de locais para testes em planta piloto, o contato com fornecedores de embalagens e prestadores de serviços, além de estudos detalhados sobre a nova tecnologia, abrangendo produto, processo, equipamentos e embalagens. Estes estudos estão sendo financiados através de fundos próprios e incentivos fiscais da Lei do Bem, geridos por uma equipe dedicada que inclui departamentos de Pesquisa Científica, Assuntos Regulatórios, Qualidade, Manutenção e Produção. As várias áreas da empresa estão colaborando de forma integrada, com reuniões regulares e troca de informações para garantir que todos os aspectos do projeto sejam devidamente considerados e implementados.</t>
  </si>
  <si>
    <t>Equipe</t>
  </si>
  <si>
    <t>Nome Completo</t>
  </si>
  <si>
    <t>Cargo/Função</t>
  </si>
  <si>
    <t>Qualificação</t>
  </si>
  <si>
    <t>!</t>
  </si>
  <si>
    <t>Lizianne Angelica Shmeil</t>
  </si>
  <si>
    <t>Analista de P&amp;D</t>
  </si>
  <si>
    <t>Pós-graduação</t>
  </si>
  <si>
    <t>Ana Paula Celes</t>
  </si>
  <si>
    <t>Diretora Técnica</t>
  </si>
  <si>
    <t>Graduação</t>
  </si>
  <si>
    <t>Luciana Dutra</t>
  </si>
  <si>
    <t>Gerente Técnica</t>
  </si>
  <si>
    <t>Cronograma</t>
  </si>
  <si>
    <t>[anexar imagem - preferencialmente Gantt]</t>
  </si>
  <si>
    <r>
      <rPr>
        <rFont val="Source Sans Pro"/>
        <color rgb="FF666666"/>
        <sz val="10.0"/>
      </rPr>
      <t xml:space="preserve">Formulário de PD&amp;I - </t>
    </r>
    <r>
      <rPr>
        <rFont val="Source Sans Pro"/>
        <b/>
        <color rgb="FF666666"/>
        <sz val="10.0"/>
      </rPr>
      <t>Ano 2023</t>
    </r>
  </si>
  <si>
    <t>INOV000004 (2019 - CICATRIZAÇÃO)</t>
  </si>
  <si>
    <t>A Prodiet está desenvolvendo um produto voltado para cicatrização, adequado tanto para uso em pós-operatórios quanto para a prevenção e tratamento de lesões por pressão. Para alcançar a eficácia no tratamento de lesões, estão sendo realizados diversos estudos científicos e clínicos. Esses estudos incluem a análise de mecanismos de cicatrização, testes de eficácia em diferentes tipos de lesões e avaliações de segurança. Além disso, foram incorporados novos processos de formulação e testes para assegurar a estabilidade e a eficácia dos ingredientes ativos na cicatrização.</t>
  </si>
  <si>
    <t xml:space="preserve">A fórmula para cicatrização desenvolvida pela Prodiet oferece uma combinação inovadora de nutrientes que não é encontrada em produtos similares no mercado. Enquanto a maioria dos produtos recomendados em ambientes hospitalares são líquidos, a Prodiet desenvolveu uma versão em pó, com o objetivo de oferecer um melhor custo-benefício aos pacientes. Esta fórmula em pó difere significativamente dos produtos líquidos tradicionais ao proporcionar maior flexibilidade na dosagem e uma melhor estabilidade dos nutrientes durante o armazenamento. A principal diferença na cicatrização entre o produto em forma líquida e em pó reside na bioavaliação dos nutrientes, onde a versão em pó tem demonstrado uma liberação mais controlada e eficiente dos componentes ativos.
</t>
  </si>
  <si>
    <t xml:space="preserve">O desenvolvimento do produto apresenta desafios tecnológicos significativos, especialmente no que se refere ao sensorial agradável e à combinação de nutrientes de alto residual, como aminoácidos isolados e colágeno hidrolisado. Os principais aminoácidos isolados presentes no produto que causam desafios sensoriais incluem aqueles com sabores intensos e persistentes. Para lidar com esses desafios, a empresa está realizando pesquisas sensoriais e testes de sabor, além de explorar tecnologias de encapsulamento para mascarar sabores indesejados. No que diz respeito ao colágeno hidrolisado, a empresa está garantindo sua estabilidade durante o processamento térmico através de métodos específicos de produção, como a microencapsulação, que protege os nutrientes durante o processo UHT (Ultra High Temperature). Para minimizar os efeitos sensoriais indesejados dos ingredientes com alto residual de sabor ou aroma, estão sendo exploradas diversas estratégias, incluindo a utilização de flavorizantes naturais e a modificação do perfil de liberação dos nutrientes. O processo UHT é adaptado para acomodar ingredientes sensíveis, garantindo a integridade nutricional do produto através de ajustes precisos de temperatura e tempo de processamento. Estão sendo conduzidas pesquisas e testes específicos para avaliar a estabilidade dos ingredientes durante o processamento térmico, utilizando critérios rigorosos para determinar a estabilidade dos componentes, como a retenção de atividade biológica e a ausência de degradação significativa. O desenvolvimento do produto envolveu a colaboração com especialistas externos e consultores, que contribuíram com conhecimentos avançados e técnicas inovadoras para superar os desafios tecnológicos específicos.
</t>
  </si>
  <si>
    <t xml:space="preserve">A metodologia adotada pela Prodiet para o desenvolvimento da fórmula envolve intensiva pesquisa e contatos com profissionais do setor. A empresa busca compreender o comportamento das matérias-primas selecionadas através de estudos existentes e de novos testes em parceria com fornecedores. Para definir um produto que apresenta sensorial agradável, a Prodiet realiza avaliações sensoriais detalhadas, incluindo testes de sabor, textura e aceitação por parte de grupos de consumidores. Os indicadores utilizados para determinar se o produto é sensorialmente agradável incluem escalas de aceitação sensorial, testes de preferência e análises quantitativas de atributos sensoriais específicos, assegurando que o produto final atenda aos altos padrões de qualidade e aceitação do mercado.
</t>
  </si>
  <si>
    <t>Gabriela Faria de Oliveira</t>
  </si>
  <si>
    <t>Analista Científico</t>
  </si>
  <si>
    <t>Rafael Parreira Lorini</t>
  </si>
  <si>
    <t>Hellin dos Santos</t>
  </si>
  <si>
    <t>Gerente Científico</t>
  </si>
  <si>
    <r>
      <rPr>
        <rFont val="Source Sans Pro"/>
        <color rgb="FF666666"/>
        <sz val="10.0"/>
      </rPr>
      <t xml:space="preserve">Formulário de PD&amp;I - </t>
    </r>
    <r>
      <rPr>
        <rFont val="Source Sans Pro"/>
        <b/>
        <color rgb="FF666666"/>
        <sz val="10.0"/>
      </rPr>
      <t>Ano 2023</t>
    </r>
  </si>
  <si>
    <t>INOV000006 (2019 - ARTESANAL)</t>
  </si>
  <si>
    <t xml:space="preserve">A Prodiet está desenvolvendo um produto inovador no mercado brasileiro, com o objetivo de complementar a dieta enteral artesanal, oferecendo uma ótima relação custo/benefício. Este produto é único, pois não há similares disponíveis no mercado atualmente. Ele visa preencher uma lacuna significativa no mercado de nutrição enteral, proporcionando uma solução nutritiva e acessível para pacientes que dependem de dietas artesanais.
</t>
  </si>
  <si>
    <t xml:space="preserve">A fórmula desenvolvida pela Prodiet é totalmente inovadora, incorporando alimentos que atendem a uma demanda específica ainda não contemplada no mercado brasileiro. Esta formulação oferece propriedades exclusivas que a tornam valiosa para os consumidores, como a utilização de alimentos liofilizados que mantêm o valor nutricional dos ingredientes in natura. A demanda específica foi identificada através de estudos de mercado detalhados, pesquisas com consumidores e análises de tendências de saúde, que indicaram uma necessidade crescente por soluções de nutrição enteral artesanal com melhor qualidade e custo-benefício.
</t>
  </si>
  <si>
    <t xml:space="preserve">Os desafios tecnológicos associados a este projeto incluem a utilização de novas matérias-primas, como alimentos liofilizados, que apresentam uma composição nutricional variável, dificultando a seleção de ingredientes que atendam ao perfil nutricional desejado. Além disso, desenvolver um produto que seja nutricionalmente adequado para o público que utiliza nutrição enteral artesanal, com um perfil sensorial neutro e solubilidade adequada, representa uma barreira significativa. Para abordar esses desafios, a empresa está adotando estratégias específicas, como a análise rigorosa de lotes de matérias-primas para garantir consistência nutricional e o uso de técnicas avançadas de formulação para melhorar a solubilidade e o perfil sensorial do produto. Medidas estão sendo tomadas para garantir que a fórmula seja segura para consumo em nutrição enteral, incluindo testes rigorosos de segurança e qualidade. A viabilidade técnica da formulação proposta é um foco constante, com esforços contínuos para superar desafios significativos através de inovação e colaboração com especialistas do setor.
</t>
  </si>
  <si>
    <t xml:space="preserve">A metodologia adotada pela Prodiet inclui um estudo detalhado dos principais nutrientes deficientes na dieta artesanal oferecida a indivíduos que utilizam nutrição enteral artesanal. Análises da composição de produtos com ingredientes in natura e análises sensoriais foram conduzidas para entender melhor os desafios e necessidades. O estudo de novas matérias-primas foi liderado pelos departamentos Científico e de Pesquisa e Desenvolvimento (P&amp;D). Os primeiros testes de bancada não foram satisfatórios devido à presença de grânulos e sabor residual desagradável. No momento, o P&amp;D está realizando novos estudos de matérias-primas em parceria com fornecedores para melhorar a formulação.
</t>
  </si>
  <si>
    <t>Camila Mendes Pereira</t>
  </si>
  <si>
    <r>
      <rPr>
        <rFont val="Source Sans Pro"/>
        <color rgb="FF666666"/>
        <sz val="10.0"/>
      </rPr>
      <t xml:space="preserve">Formulário de PD&amp;I - </t>
    </r>
    <r>
      <rPr>
        <rFont val="Source Sans Pro"/>
        <b/>
        <color rgb="FF666666"/>
        <sz val="10.0"/>
      </rPr>
      <t>Ano 2023</t>
    </r>
  </si>
  <si>
    <t>INOV000010 (2021 - DIAMAX PÓ)</t>
  </si>
  <si>
    <t xml:space="preserve">A Prodiet está desenvolvendo um produto competitivo ao Glucerna* para venda no varejo, categorizado como suplemento para permitir agilidade no lançamento. O produto será focado tanto para diabéticos quanto para a população geral, sendo desenvolvido na forma de pó para facilitar o consumo e a armazenagem. Este produto visa preencher uma lacuna no mercado, oferecendo uma opção acessível e eficaz para o controle glicêmico com alto teor de proteína, alinhado com a linha Diamax já existente no portfólio da empresa.
</t>
  </si>
  <si>
    <t xml:space="preserve">O elemento inovador deste produto é a sua formulação específica para controle glicêmico, com aumento do teor proteico, destinado ao mercado varejista. O aumento de proteína no produto contribui para o controle da glicemia ao promover uma liberação mais lenta de glicose no sangue, melhorando a resposta glicêmica pós-prandial. Os benefícios associados a um maior teor de proteína incluem a manutenção da massa muscular, maior saciedade e melhor controle do peso, aspectos essenciais para a gestão da diabetes e saúde geral.
</t>
  </si>
  <si>
    <t xml:space="preserve">Os desafios tecnológicos envolvem a construção de um produto com preço de venda competitivo, mantendo a qualidade sensorial que não limite seu consumo. As principais limitações incluem sabor, preço e oferta no mercado. O sensorial final do consumidor será avaliado com foco na efetividade do produto, preço e acessibilidade. Estudos estão sendo realizados para mensurar a aceitação do público-alvo, utilizando pesquisas de mercado e testes de produto. O projeto aborda o desafio de construir um produto com preço de venda competitivo em relação ao Glucerna* e outros concorrentes através de estratégias de otimização de custos na produção e escolha de ingredientes. Para o desenvolvimento de aromas e sabores, a empresa está colaborando com fornecedores especializados para criar perfis sensoriais que sejam agradáveis e aceitos pelo público-alvo.
</t>
  </si>
  <si>
    <t xml:space="preserve">A metodologia para o desenvolvimento do produto inclui a elaboração de um target de micronutrientes único para suplementos, considerando as necessidades específicas de indivíduos diabéticos, desnutridos e principais deficiências nutricionais encontradas na população. O aumento da proporção de proteína vegetal na formulação visa a redução de custo sem comprometer a qualidade nutricional. As necessidades de diabéticos e desnutridos são priorizadas de forma balanceada, garantindo que o produto atenda ambas as populações de forma eficaz. A parte inovadora de aumentar a proteína vegetal reside na escolha de fontes vegetais de alta qualidade que são mais sustentáveis e economicamente viáveis. Os micronutrientes específicos considerados no target incluem cromo, magnésio, vitaminas do complexo B e antioxidantes, todos críticos para a gestão da diabetes e melhoria do estado nutricional. A empresa planeja aumentar a proporção de proteína vegetal na formulação utilizando fontes como soja, ervilha e arroz, que são conhecidas por seus perfis nutricionais completos. O desenvolvimento de novos aromas em parceria com fornecedores envolve testes rigorosos de palatabilidade e estabilidade, garantindo que os sabores resultantes sejam agradáveis e aceitos pelo consumidor final.
</t>
  </si>
  <si>
    <t>Ana Claudia Zanini</t>
  </si>
  <si>
    <t>Analista cientifico</t>
  </si>
  <si>
    <t>Juliana Lamas Roberto</t>
  </si>
  <si>
    <t>Especialista de Estudo de Estabilidade</t>
  </si>
  <si>
    <t>Gerente Cientifico</t>
  </si>
  <si>
    <r>
      <rPr>
        <rFont val="Source Sans Pro"/>
        <color rgb="FF666666"/>
        <sz val="10.0"/>
      </rPr>
      <t xml:space="preserve">Formulário de PD&amp;I - </t>
    </r>
    <r>
      <rPr>
        <rFont val="Source Sans Pro"/>
        <b/>
        <color rgb="FF666666"/>
        <sz val="10.0"/>
      </rPr>
      <t>Ano 2023</t>
    </r>
  </si>
  <si>
    <t>INOV000013 (2021 - SACHÊ A VÁCUO)</t>
  </si>
  <si>
    <t xml:space="preserve">A Prodiet está aplicando o uso do vácuo no envase dos produtos em pó do seu portfólio atual, com o objetivo de estudar se a embalagem mantém o vácuo ao longo do shelf-life, bem como auxiliar a manter as características nutricionais e sensoriais dos produtos, em comparação às embalagens atuais, como potes e latas. Este projeto busca explorar uma abordagem inovadora na conservação de produtos de nutrição enteral, garantindo qualidade superior durante todo o período de validade.
</t>
  </si>
  <si>
    <t xml:space="preserve">Atualmente, os produtos em pó são fabricados em embalagens plásticas rígidas (potes), latas de alumínio e embalagens plásticas flexíveis (sachês). A utilização de embalagens a vácuo para nutrição enteral não é uma prática comum no mercado nacional. As principais diferenças ou vantagens esperadas entre as embalagens a vácuo propostas e as embalagens atuais incluem uma melhor preservação das características nutricionais e sensoriais dos produtos, uma maior proteção contra a umidade e oxidação, e uma potencial extensão do shelf-life dos produtos. Existem dados de referência que fundamentam essa comparação, demonstrando os benefícios do vácuo em outras indústrias alimentícias, o que justifica a implementação dessa tecnologia na nutrição enteral.
</t>
  </si>
  <si>
    <t xml:space="preserve">O principal desafio é entender como o mercado nacional reagirá ao novo tipo de embalagem para nutrição enteral. Além disso, é necessário considerar a limitação fabril, o investimento em novos equipamentos e em uma nova linha de processo, bem como manter um preço de venda competitivo. A reação do mercado será avaliada através de pesquisas de mercado, grupos focais e outros métodos para medir a aceitação do cliente. O investimento em novos equipamentos e linhas de processo inclui a aquisição de máquinas de envase a vácuo e a implementação de uma linha de produção dedicada. O plano de implementação envolve fases de testes e validação para garantir a eficiência e eficácia do processo. A colaboração com fornecedores e parceiros será fundamental para superar os desafios tecnológicos e de produção, garantindo que a cadeia de suprimentos esteja alinhada com os padrões de qualidade e eficiência exigidos. Um estudo de viabilidade econômica foi realizado, levando em consideração os investimentos necessários e o potencial retorno sobre o investimento (ROI), monitorando indicadores financeiros críticos para garantir a sustentabilidade do projeto.
</t>
  </si>
  <si>
    <t xml:space="preserve">A metodologia envolve a busca de fornecedores de embalagens que suportem o vácuo e de fornecedores de equipamentos com a tecnologia adequada para o envase e selagem dos produtos a vácuo. Um piloto industrial será realizado em parceria com um fornecedor. Os critérios específicos para a seleção dos fornecedores incluem considerações técnicas, qualidade, custo e capacidade de produção. O processo de avaliação de fornecedores garante que eles atendam aos padrões de qualidade necessários, assegurando que a implementação da nova tecnologia seja bem-sucedida e beneficie os consumidores finais.
</t>
  </si>
  <si>
    <t>Lizianne Shmeil</t>
  </si>
  <si>
    <r>
      <rPr>
        <rFont val="Source Sans Pro"/>
        <color rgb="FF666666"/>
        <sz val="10.0"/>
      </rPr>
      <t xml:space="preserve">Formulário de PD&amp;I - </t>
    </r>
    <r>
      <rPr>
        <rFont val="Source Sans Pro"/>
        <b/>
        <color rgb="FF666666"/>
        <sz val="10.0"/>
      </rPr>
      <t>Ano 2023</t>
    </r>
  </si>
  <si>
    <t>INOV000014 (2021 - ENERGYZIP 25%)</t>
  </si>
  <si>
    <t>A Prodiet tem como objetivo desenvolver um suplemento hipercalórico e hiperproteico líquido, visando permitir maior abertura no mercado público e privado. Atualmente, a empresa não possui este tipo de produto em seu portfólio, e existe uma demanda crescente por suplementos hiperproteicos no mercado. Este projeto também acompanhará o lançamento da linha de sistema fechado, oferecendo um mix de vendas para hospitais e sendo competitivo para processos públicos e para o mercado internacional.
Para entender melhor o projeto, são necessárias informações específicas, como o público-alvo detalhado e os requisitos técnicos e regulatórios a serem atendidos. No mercado internacional, a demanda por suplementos hipercalóricos e hiperproteicos líquidos é impulsionada por um aumento na conscientização sobre saúde e nutrição, a necessidade de produtos de fácil administração em ambientes clínicos, e o crescimento da população idosa que requer suplementação proteica. Estudos de mercado internacionais indicam uma tendência crescente de consumidores buscando produtos que atendam a essas necessidades nutricionais específicas.</t>
  </si>
  <si>
    <t xml:space="preserve">A inovação desse produto está no aumento do teor de proteína em comparação com os produtos de linha atuais. Isso possibilitará um ganho de mercado, tanto em relação à competição com outros suplementos quanto para fórmulas enterais que necessitam de um aporte proteico mais expressivo. O aumento de proteína será implementado em produtos específicos destinados a pacientes com maiores necessidades proteicas. O aumento no teor de proteína será alcançado através da adição de fontes proteicas de alta qualidade, como proteínas isoladas de soro de leite ou proteína vegetal concentrada, garantindo que o suplemento mantenha sua qualidade nutricional.
</t>
  </si>
  <si>
    <t xml:space="preserve">O principal desafio no desenvolvimento dessa fórmula está na estabilização proteica/estrutural, pois o aumento do teor de proteína resulta em maior viscosidade, o que pode dificultar a administração das fórmulas enterais. A alta viscosidade pode afetar a administração, tornando o produto mais difícil de passar através de sondas e equipamentos de alimentação enteral. Na linha de produção, a viscosidade alta pode causar problemas de fluxo e preenchimento, exigindo ajustes nos equipamentos de envase. Para abordar esses desafios, a empresa está utilizando tecnologias de processamento que permitem a redução da viscosidade, como a hidrólise parcial das proteínas, e aditivos que estabilizam a fórmula. Além da viscosidade, estão sendo consideradas outras características sensoriais e de formulação, como sabor, cor e estabilidade ao longo do shelf-life, para garantir uma administração eficaz do produto.
</t>
  </si>
  <si>
    <t>A metodologia para este projeto inclui o desenvolvimento e testes piloto de uma fórmula com maior teor de proteínas. O objetivo é aumentar o teor de proteínas sem comprometer a liquidez do produto, garantindo que ele seja fácil de administrar. A quantidade de aumento de proteína desejada está sendo determinada com base em estudos de necessidades nutricionais dos pacientes alvo. Os indicadores de sucesso do projeto incluem a aceitação sensorial do produto, a estabilidade nutricional ao longo do shelf-life e a viabilidade de produção em larga escala. Os testes piloto estão sendo conduzidos com parâmetros rigorosos, como a solubilidade das proteínas, a viscosidade da fórmula e a estabilidade em diferentes condições de armazenamento.</t>
  </si>
  <si>
    <t>Analista Cientifico</t>
  </si>
  <si>
    <t>Márcio Henrique Nogueira</t>
  </si>
  <si>
    <t>Gerente cientifico</t>
  </si>
  <si>
    <r>
      <rPr>
        <rFont val="Source Sans Pro"/>
        <color rgb="FF666666"/>
        <sz val="10.0"/>
      </rPr>
      <t xml:space="preserve">Formulário de PD&amp;I - </t>
    </r>
    <r>
      <rPr>
        <rFont val="Source Sans Pro"/>
        <b/>
        <color rgb="FF666666"/>
        <sz val="10.0"/>
      </rPr>
      <t>Ano 2023</t>
    </r>
  </si>
  <si>
    <t>INOV000016 (2018 - LINHA TROPHIC SOYA LÍQUIDO)</t>
  </si>
  <si>
    <t xml:space="preserve">A Prodiet está expandindo o portfólio da linha 100% Soja com o desenvolvimento de um novo produto de alto perfil proteico e adição de fibras, destinado a consumidores com alergias alimentares às proteínas do leite. O objetivo é oferecer um suplemento nutricional robusto que atenda às necessidades específicas desse público-alvo. Os valores-alvo para o perfil proteico e de fibras são determinados com base em diretrizes nutricionais e necessidades do mercado. Especificamente, o novo produto deve fornecer aproximadamente 1,5 kcal/mL de energia, com um teor de proteína adequado para suportar a saúde muscular e uma quantidade significativa de fibras para promover a saúde digestiva. Esses valores foram estabelecidos após análise de literatura científica, recomendações de especialistas em nutrição e feedback de consumidores.
</t>
  </si>
  <si>
    <t xml:space="preserve">O elemento inovador do projeto reside na criação de um produto de alto teor proteico e adição de fibras, sem incluir proteínas de leite. Para alcançar essa formulação, a empresa está considerando o uso de proteínas vegetais, como proteína isolada de soja e ervilha, que oferecem um perfil aminoacídico completo e alta biodisponibilidade. Além disso, estão sendo incorporadas fibras solúveis e insolúveis, como inulina e fibra de chicória, para melhorar a saúde digestiva. Pesquisas e estudos de mercado justificam a escolha desse perfil nutricional, destacando a crescente demanda por produtos livres de alérgenos e ricos em nutrientes. Para abordar o desafio de criar um produto saboroso, a empresa está investindo em testes sensoriais e desenvolvimento de sabores agradáveis, colaborando com especialistas em aromas e palatabilidade.
</t>
  </si>
  <si>
    <t xml:space="preserve">O principal desafio tecnológico é a estabilização da fórmula, especialmente devido ao aumento do teor de proteína e fibras, que pode resultar em alta viscosidade, dificultando a administração do produto. Para estabilizar a fórmula, estão sendo consideradas abordagens específicas, como a utilização de agentes estabilizantes naturais e a otimização do processo de mistura. Estudos de formulação estão em andamento para encontrar o equilíbrio ideal entre proteína, fibras e viscosidade. Tecnologias de produção avançadas, como homogeneização de alta pressão, estão sendo avaliadas para lidar com a alta viscosidade. A empresa pode precisar investir em equipamentos especiais para garantir a consistência do produto. Para otimizar o processo de fabricação, a Prodiet está implementando protocolos rigorosos de controle de qualidade e consistência de lotes. Além disso, colaborações com pesquisadores acadêmicos e consultores estão sendo exploradas para obter insights adicionais sobre a estabilização do produto e superar os desafios tecnológicos.
</t>
  </si>
  <si>
    <t xml:space="preserve">A metodologia para este projeto inclui a realização de testes pilotos UHT e a avaliação de estudos de estabilidade da fórmula para garantir que o produto atinja os parâmetros necessários para a comercialização. Os principais objetivos dos testes pilotos UHT são a esterilização e a preservação da estabilidade nutricional e sensorial do produto. A capacidade de produção dos testes pilotos será comparada à escala de produção comercial para assegurar a viabilidade do processo. Estudos de estabilidade serão conduzidos em condições controladas de armazenamento, simulando temperaturas e umidades típicas para avaliar a durabilidade do produto ao longo do tempo. Testes acelerados de estabilidade estão planejados para prever o comportamento do produto em longo prazo, permitindo ajustes na formulação antes da produção em larga escala.
</t>
  </si>
  <si>
    <t>Rafael Lorini</t>
  </si>
  <si>
    <r>
      <rPr>
        <rFont val="Source Sans Pro"/>
        <color rgb="FF666666"/>
        <sz val="10.0"/>
      </rPr>
      <t xml:space="preserve">Formulário de PD&amp;I - </t>
    </r>
    <r>
      <rPr>
        <rFont val="Source Sans Pro"/>
        <b/>
        <color rgb="FF666666"/>
        <sz val="10.0"/>
      </rPr>
      <t>Ano 2023</t>
    </r>
  </si>
  <si>
    <t>INOV000017 (2020 - LINHA TROPHIC SOYA PÓ)</t>
  </si>
  <si>
    <t xml:space="preserve">A Prodiet tem como objetivo expandir a linha guarda-chuva Soya, desenvolvendo produtos em pó para nutrição enteral e oral voltados para o público adulto, com foco em editais de licitação. Este produto será inovador e específico para atender aos requisitos dos editais de licitação. Além de atender aos editais governamentais, o foco também incluirá a venda para o público geral. A demanda específica nos editais de licitação para produtos em pó de nutrição enteral e oral inclui critérios essenciais como composição nutricional adequada, custo competitivo e capacidade de atender grandes volumes. Esses critérios são determinados pelas necessidades de pacientes em ambientes hospitalares e programas de saúde pública.
</t>
  </si>
  <si>
    <t xml:space="preserve">O elemento inovador deste projeto é o desenvolvimento de uma linha de produtos em pó com 80% de proteínas de origem vegetal (soja) e apenas 20% de proteína animal, diferindo dos produtos líquidos existentes na linha Soya. Esta composição inovadora oferece vantagens significativas em termos de sustentabilidade e adequação a dietas específicas. A linha Soya existente será expandida para incluir produtos líquidos e em pó, mantendo duas sub-linhas distintas. O aumento da proporção de proteína de soja em relação à proteína animal se alinha à estratégia da Prodiet de oferecer produtos nutricionais mais sustentáveis e acessíveis, respondendo à crescente demanda por produtos vegetais. Os benefícios específicos desta composição incluem uma menor pegada ambiental, melhor aceitação por consumidores com restrições alimentares, e uma fonte de proteína completa e balanceada.
</t>
  </si>
  <si>
    <t xml:space="preserve">O principal desafio tecnológico reside na estabilização do sabor e palatabilidade dos produtos, devido ao sabor residual da proteína de soja. A empresa está desenvolvendo estratégias para melhorar o sabor e a palatabilidade, como a aplicação de aromas que mascaram o sabor da proteína de soja e tornam o produto agradável tanto para administração enteral quanto oral. Para manter um custo competitivo, especialmente devido à presença de óleos em pó, estão sendo exploradas alternativas mais econômicas, como a utilização de óleo líquido e tecnologias de spray dryer para misturar proteínas, carboidratos e óleos. Estas estratégias buscam reduzir o custo sem comprometer a qualidade nutricional e sensorial do produto.
</t>
  </si>
  <si>
    <t>As metodologias adotadas incluem a busca por alternativas às gorduras em pó, como óleos líquidos de menor custo e maior solubilidade. A mistura de proteínas, carboidratos e óleo líquido por meio do processo de spray dryer está sendo testada para melhorar a solubilidade, aspecto e sabor do produto. Os testes de adsorção de óleo líquido através da maltodextrina de tapioca visam avaliar a solubilidade e a estabilidade do óleo na formulação. Estes testes estão sendo realizados em bancada, com resultados preliminares indicando uma boa estabilidade e solubilidade. O critério-chave para avaliar essas alternativas inclui o custo, solubilidade, estabilidade e aceitação sensorial do produto final. O prazo estimado para a conclusão dos testes e a determinação da melhor alternativa para as gorduras é de alguns meses, dependendo dos resultados dos testes em andamento.
Caso as alternativas testadas não atinjam os resultados desejados, o plano de ação inclui a reavaliação das formulações e o ajuste das proporções dos ingredientes, bem como a busca por novos fornecedores e tecnologias que possam oferecer soluções mais adequadas. Esta abordagem garante que a Prodiet continue a desenvolver produtos que atendam aos altos padrões de qualidade, custo e aceitação no mercado.</t>
  </si>
  <si>
    <t>Aanalista de P&amp;D</t>
  </si>
  <si>
    <r>
      <rPr>
        <rFont val="Source Sans Pro"/>
        <color rgb="FF666666"/>
        <sz val="10.0"/>
      </rPr>
      <t xml:space="preserve">Formulário de PD&amp;I - </t>
    </r>
    <r>
      <rPr>
        <rFont val="Source Sans Pro"/>
        <b/>
        <color rgb="FF666666"/>
        <sz val="10.0"/>
      </rPr>
      <t>Ano 2023</t>
    </r>
  </si>
  <si>
    <t>INOV000021 (2022 - SOBREMESA)</t>
  </si>
  <si>
    <t xml:space="preserve">O projeto visa desenvolver uma nova forma de consumir os nutrientes 3+ do Immax, especificamente através de um sorvete nutritivo. A razão para criar essa nova forma de consumo é oferecer uma alternativa agradável e inovadora para a ingestão desses nutrientes, especialmente para pacientes que podem ter dificuldade em consumir suplementos tradicionais. Ao transformar os nutrientes em um sorvete, o objetivo é aumentar a adesão ao tratamento e proporcionar uma experiência de consumo mais agradável.
</t>
  </si>
  <si>
    <t xml:space="preserve">A inovação do projeto está na incorporação dos nutrientes do Immax em um sorvete. Esta abordagem não apenas replica os nutrientes existentes no Immax, mas também pode adicionar novos nutrientes, dependendo das necessidades nutricionais identificadas. A conclusão de que o sorvete seria a forma ótima para consumir os nutrientes 3+ do Immax foi baseada em estudos de aceitação sensorial e em pesquisas que indicam uma preferência por formas de consumo mais palatáveis e agradáveis. O sorvete pode incorporar os nutrientes do Immax através de técnicas de microencapsulação e estabilização, garantindo que nutrientes como proteínas, vitaminas, minerais e fibras estejam presentes no produto final. Os benefícios de oferecer esses nutrientes por meio de um sorvete incluem uma maior aceitação pelo público, facilidade de consumo, e potencial para uma melhor absorção dos nutrientes devido à sua forma palatável.
</t>
  </si>
  <si>
    <t xml:space="preserve">Um dos principais riscos tecnológicos é a não aceitação do mercado. Pesquisas de mercado preliminares indicam que existe um interesse crescente por produtos alimentícios que combinam prazer e saúde, mas ainda há incertezas quanto à aceitação específica de um sorvete nutricional. Para lidar com esse risco, a empresa planeja realizar testes de mercado e estratégias de marketing focadas em demonstrar os benefícios do produto, além de campanhas de educação nutricional. Medidas estão sendo tomadas para garantir que o sorvete mantenha a eficácia nutricional dos nutrientes do Immax durante todo o processo de fabricação e armazenamento, incluindo o uso de tecnologias de preservação e estabilização de nutrientes.
</t>
  </si>
  <si>
    <t xml:space="preserve">A metodologia envolve o desenvolvimento de uma sobremesa que possa ser acrescida dos nutrientes Pro 3+ do Immax, proporcionando aos pacientes uma forma alternativa e agradável de consumir esses ingredientes. A implementação dos nutrientes no sorvete será feita através de processos como microencapsulação, que protege os nutrientes durante a fabricação e armazenamento, garantindo sua estabilidade e biodisponibilidade. O mercado alvo inclui tanto o público geral quanto pacientes em tratamento nutricional, especialmente aqueles que necessitam de suplementação mas preferem formas de consumo mais agradáveis.
O processo de desenvolvimento da sobremesa envolve várias etapas, incluindo pesquisa e desenvolvimento de formulações, testes sensoriais, e avaliações de estabilidade e segurança alimentar. A empresa pretende garantir a dosagem precisa dos nutrientes em cada porção de sorvete através de um rigoroso controle de qualidade durante a produção. Além disso, há planos para avaliar a aceitação do paciente em relação a essa nova forma de consumo através de estudos clínicos e feedback de consumidores. A empresa também está explorando outras formas criativas de oferecer os nutrientes do Immax, como barras nutricionais e bebidas fortificadas, para atender a diferentes preferências e necessidades dos pacientes.
</t>
  </si>
  <si>
    <t>Gerente P&amp;D e AR</t>
  </si>
  <si>
    <t>Tahuany Caetano</t>
  </si>
  <si>
    <t>Analista MKT</t>
  </si>
  <si>
    <t xml:space="preserve">Camila Pereira </t>
  </si>
  <si>
    <t>Anlaista P&amp;D pleno</t>
  </si>
  <si>
    <t xml:space="preserve">Lizianne Shmeil </t>
  </si>
  <si>
    <t>Anlaista P&amp;D sênior</t>
  </si>
  <si>
    <r>
      <rPr>
        <rFont val="Source Sans Pro"/>
        <color rgb="FF666666"/>
        <sz val="10.0"/>
      </rPr>
      <t xml:space="preserve">Formulário de PD&amp;I - </t>
    </r>
    <r>
      <rPr>
        <rFont val="Source Sans Pro"/>
        <b/>
        <color rgb="FF666666"/>
        <sz val="10.0"/>
      </rPr>
      <t>Ano 2023</t>
    </r>
  </si>
  <si>
    <t>INOV000022 (2021 - PESQUISA CLÍNICA - INSTANTH NEO)</t>
  </si>
  <si>
    <t>Este projeto tem como objetivo determinar se o uso de Instanth Neo por 6 meses em pacientes acima dos 60 anos, com diagnóstico de Comprometimento Cognitivo Leve (CCL) por Doença de Alzheimer (DA), é capaz de interferir no desempenho cognitivo, medido por testes neuropsicológicos. A motivação específica para conduzir este estudo é baseada em evidências preliminares que sugerem que certos nutrientes podem ter um efeito positivo na função cognitiva em pacientes com CCL por DA. Estudos anteriores indicaram que ácidos graxos de cadeia média, como o ácido cáprico e caprílico, juntamente com fosfatidilserina, DHA, vitaminas e minerais, podem oferecer benefícios neuroprotetores.
O desenho do estudo será um ensaio clínico randomizado controlado por placebo, com um grupo de controle que não receberá o suplemento. Os pacientes serão recrutados e selecionados com base em critérios de inclusão específicos, como idade acima de 60 anos, diagnóstico confirmado de CCL por DA, e critérios de exclusão, como outras condições neurológicas graves. Os testes neuropsicológicos específicos que serão usados para avaliar o desempenho cognitivo incluem a Mini-Mental State Examination (MMSE), Teste de Fluência Verbal, e a Escala de Avaliação de Demência de Alzheimer (ADAS-Cog). Critérios claros serão estabelecidos para determinar a melhoria ou deterioração no desempenho cognitivo, baseados em mudanças estatisticamente significativas nas pontuações dos testes ao longo do período de estudo.</t>
  </si>
  <si>
    <t>O Instanth Neo é um suplemento alimentar com uma combinação patenteada de nutrientes: ácido cáprico, caprílico, fosfatidilserina, DHA, e vitaminas e minerais. Esta combinação foi patenteada com o objetivo de suplementação na doença de Alzheimer, com base em pesquisas que indicam que esses nutrientes podem influenciar positivamente a função cognitiva. O mecanismo de ação proposto sugere que os ácidos graxos de cadeia média podem fornecer uma fonte alternativa de energia para o cérebro, enquanto o DHA e a fosfatidilserina contribuem para a integridade das membranas neuronais e sinápticas.
Os protocolos de pesquisa clínica seguidos para avaliar a eficácia do suplemento incluem diretrizes rigorosas de ensaios clínicos, como a randomização, controle por placebo, e duplo-cego. Além da pesquisa em pacientes com DA, há planos para explorar outros usos potenciais para o suplemento, como em pacientes com diferentes tipos de declínio cognitivo e em populações que buscam melhorar a função cognitiva geral.</t>
  </si>
  <si>
    <t>A produção do Instanth Neo apresenta desafios tecnológicos, como a necessidade de envase com nitrogênio para evitar a oxidação da formulação, devido à alta especificidade da composição (90% lipídios). Este processo está sendo implementado por meio de parceria com terceiros especializados em envase com nitrogênio. As especificações técnicas para o envase incluem a manutenção de um ambiente inerte e a monitorização constante da qualidade do nitrogênio utilizado, garantindo a ausência de oxidação dos ingredientes.
Com relação às pesquisas, o principal desafio é o atraso causado pela pandemia, que impactou significativamente o cronograma da pesquisa clínica prevista para iniciar em 2021. O protocolo do estudo é robusto e inclui critérios rigorosos de inclusão/exclusão, monitorização contínua dos participantes e análise estatística detalhada dos dados coletados. Parcerias dentro da universidade, como com a UNIFESP, estão sendo estabelecidas para garantir que o desenho do estudo seja satisfatório, aproveitando a expertise acadêmica e a infraestrutura disponível.</t>
  </si>
  <si>
    <t>A parceria com a UNIFESP visa avaliar a eficácia do produto AZ2021 no desfecho cognitivo de pacientes com Comprometimento Cognitivo Leve por provável Doença de Alzheimer, através de um estudo randomizado duplo-cego controlado por placebo. A UNIFESP foi escolhida como parceira devido à sua reputação e expertise em pesquisas neuropsicológicas e clínicas. Esta colaboração beneficia o estudo ao proporcionar acesso a recursos acadêmicos, expertise clínica e uma base de pacientes adequada.
Os objetivos específicos da parceria incluem a realização do estudo com rigor científico e a obtenção de dados robustos sobre a eficácia do AZ2021. O desenho do estudo incluirá dois grupos de participantes, um recebendo o AZ2021 e o outro recebendo placebo, com alocação randomizada para garantir a imparcialidade dos resultados. O tamanho da amostra planejado para o estudo será baseado em cálculos de poder estatístico para detectar diferenças significativas entre os grupos. Os critérios de inclusão e exclusão serão rigorosamente aplicados para selecionar participantes adequados.
A composição do produto AZ2021 incluirá os nutrientes patenteados do Instanth Neo, formulados para administração oral, enquanto o placebo será composto de ingredientes inertes que imitam a aparência e o sabor do AZ2021. Os testes de aceitação do paciente serão realizados para avaliar a palatabilidade e a adesão ao tratamento, garantindo que a nova forma de consumo seja bem recebida pelos pacientes.</t>
  </si>
  <si>
    <r>
      <rPr>
        <rFont val="Source Sans Pro"/>
        <color rgb="FF666666"/>
        <sz val="10.0"/>
      </rPr>
      <t xml:space="preserve">Formulário de PD&amp;I - </t>
    </r>
    <r>
      <rPr>
        <rFont val="Source Sans Pro"/>
        <b/>
        <color rgb="FF666666"/>
        <sz val="10.0"/>
      </rPr>
      <t>Ano 2023</t>
    </r>
  </si>
  <si>
    <t>INOV000023 (2021 - PESQUISA CLÍNICA - DIAMAX IG)</t>
  </si>
  <si>
    <t xml:space="preserve">Este projeto visa comprovar os benefícios e a segurança do uso do produto DiamaxIG em pacientes com Diabetes Mellitus tipo 2 e apresentar os resultados encontrados em forma de abstracts em congressos e artigos científicos. A inovação neste contexto reside na geração de novas evidências científicas que demonstrem a eficácia e segurança do DiamaxIG, contribuindo para a literatura acadêmica e influenciando práticas clínicas. Os principais benefícios esperados incluem a redução da variabilidade glicêmica e a melhoria do controle glicêmico em pacientes com Diabetes Mellitus tipo 2. Além de apresentar os resultados em congressos e artigos científicos, o projeto tem como objetivo secundário informar e educar profissionais de saúde sobre as vantagens do uso do DiamaxIG, promovendo sua adoção clínica.
</t>
  </si>
  <si>
    <t xml:space="preserve">O uso de uma fórmula especializada como o DiamaxIG para controle glicêmico pode reduzir a variabilidade glicêmica, o que é crucial para melhorar a saúde de pessoas com diabetes. O DiamaxIG foi desenvolvido com nutrientes específicos que modulam a resposta glicêmica, contribuindo para uma liberação mais lenta e constante de glicose no sangue. Os mecanismos envolvidos incluem a presença de fibras solúveis e proteínas de alta qualidade que retardam a absorção de carboidratos e promovem uma liberação gradual de glicose. As principais diferenças entre o DiamaxIG e outros produtos ou tratamentos disponíveis são a formulação única que combina nutrientes específicos para um melhor controle glicêmico e a capacidade de reduzir picos e quedas bruscas de glicose.
</t>
  </si>
  <si>
    <t xml:space="preserve">Um dos principais riscos tecnológicos é a possibilidade de a pesquisa não apresentar resultados satisfatórios em termos de redução da variabilidade glicêmica em indivíduos com diabetes mellitus tipo 2. Para mitigar este risco, a empresa planeja conduzir um estudo piloto preliminar para ajustar a metodologia e garantir a robustez do protocolo de pesquisa. Além disso, serão utilizados critérios e indicadores rigorosos para determinar o sucesso ou insucesso da pesquisa, como a redução estatisticamente significativa na variabilidade glicêmica medida por sensores contínuos de glicose.
</t>
  </si>
  <si>
    <t>Para controlar possíveis vieses de pesquisa, será seguido um protocolo bem estabelecido. A variabilidade glicêmica será avaliada utilizando sensores de monitoramento contínuo de glicose, que são atualmente o método mais avançado de quantificação. Os indivíduos adequados para essa pesquisa serão pacientes com Diabetes Mellitus tipo 2, selecionados com base em critérios de inclusão específicos, como idade, duração do diabetes e controle glicêmico basal. A duração da pesquisa será de 6 meses, permitindo uma avaliação abrangente dos efeitos do DiamaxIG.
A pesquisa também abordará a segurança de uso do DiamaxIG, monitorando possíveis efeitos colaterais e eventos adversos. Isso garantirá que o produto não apenas seja eficaz, mas também seguro para uso a longo prazo em pacientes com diabetes.
Especificações Adicionais
Justificação para escolher a UNIFESP como parceira: A UNIFESP foi escolhida devido à sua reputação em pesquisa clínica e expertise em estudos neuropsicológicos e de diabetes.
Objetivos específicos da parceria: Realizar um estudo rigoroso que forneça dados robustos sobre a eficácia do DiamaxIG.
Tamanho da amostra planejado: Determinado com base em cálculos de poder estatístico para detectar diferenças significativas entre grupos.</t>
  </si>
  <si>
    <t xml:space="preserve">Analista Científico </t>
  </si>
  <si>
    <t xml:space="preserve">Hellin dos Santos </t>
  </si>
  <si>
    <t xml:space="preserve">Gerente Científico </t>
  </si>
  <si>
    <r>
      <rPr>
        <rFont val="Source Sans Pro"/>
        <color rgb="FF666666"/>
        <sz val="10.0"/>
      </rPr>
      <t xml:space="preserve">Formulário de PD&amp;I - </t>
    </r>
    <r>
      <rPr>
        <rFont val="Source Sans Pro"/>
        <b/>
        <color rgb="FF666666"/>
        <sz val="10.0"/>
      </rPr>
      <t>Ano 2023</t>
    </r>
  </si>
  <si>
    <t>INOV000024 (2021 - ESTUDO DE CASO)</t>
  </si>
  <si>
    <t>A realização de estudos de caso (EC) permite à empresa comprovar os benefícios e a segurança de uso dos produtos, aumentar a participação na comunidade científica pela parceria com profissionais e apresentar os resultados em forma de abstracts em congressos e/ou artigos científicos. Além da participação na comunidade científica, a empresa espera obter benefícios específicos como a promoção de seus produtos, a validação científica das formulações, o aumento da confiança dos profissionais de saúde e dos consumidores, e a expansão do mercado. Esses estudos também visam fortalecer a reputação da empresa como líder em inovação e pesquisa na área de nutrição enteral.</t>
  </si>
  <si>
    <t xml:space="preserve">Os estudos de caso oferecem uma alternativa mais econômica em comparação com outros tipos de pesquisa clínica, como ensaios clínicos randomizados, que são mais complexos e caros. As economias de custo associadas incluem menores despesas com recrutamento de participantes, monitoramento, e infraestrutura de pesquisa. Além disso, os estudos de caso podem ser realizados com maior agilidade, permitindo a obtenção de resultados preliminares de forma mais rápida, o que é vantajoso para a tomada de decisões e ajustes nas estratégias de produto.
</t>
  </si>
  <si>
    <t xml:space="preserve">O principal risco dos estudos de caso prospectivos é a possibilidade de não obter o resultado esperado na conduta clínica, devido à menor capacidade de controle de vieses e à possibilidade de os estudos não serem aceitos para publicação ou apresentação devido ao menor peso científico. Para mitigar esses riscos, a empresa pretende implementar medidas específicas para minimizar vieses, como a padronização de protocolos de estudo e a utilização de critérios rigorosos de seleção de casos. Além disso, estratégias para aumentar a credibilidade dos estudos incluem a colaboração com reconhecidos profissionais de saúde e pesquisadores, a publicação em periódicos de alto impacto, e a apresentação em conferências de renome.
</t>
  </si>
  <si>
    <t>A publicação de um relato de caso envolve a escrita de um caso clínico e a evolução sobre o uso de determinado produto do portfólio, conforme o interesse manifestado pelo profissional que acompanha o caso e a empresa. Os estudos de caso podem ser realizados de forma prospectiva, através da doação de produtos a profissionais, ou de maneira retrospectiva, por levantamento de dados de um caso já finalizado.
Seleção de Casos Clínicos:
Os casos clínicos são selecionados com base em critérios de relevância clínica, potencial impacto dos resultados e interesse científico. A escolha dos casos é feita em colaboração com profissionais de saúde que identificam pacientes adequados e relatam casos com potencial para gerar dados significativos.
Vantagens e Desvantagens:
Prospectivos: Permitem o controle e monitoramento do caso desde o início, mas podem ser mais sujeitos a vieses devido à falta de randomização e controles rigorosos.
Retrospectivos: Baseiam-se em dados já coletados, o que pode reduzir custos e tempo, mas limitam a capacidade de controle sobre a qualidade dos dados e a uniformidade dos registros.
Consentimento Informado:
O consentimento informado dos pacientes é obtido de acordo com protocolos éticos rigorosos. Isso envolve a explicação detalhada do estudo, dos potenciais riscos e benefícios, e a garantia de que a participação é voluntária. Os pacientes assinam um termo de consentimento que é revisado e aprovado por um comitê de ética em pesquisa.
Divulgação dos Resultados:
Além de congressos e artigos científicos, os resultados dos estudos de caso serão divulgados através de ações de marketing e comunicação com a comunidade médica, incluindo webinars, newsletters, e materiais educativos. Esses esforços visam ampliar o alcance dos resultados e aumentar a adoção dos produtos.
Cronograma:
O cronograma para a realização dos estudos de caso inclui a identificação e seleção de casos, a execução dos estudos prospectivos e/ou retrospectivos, a análise dos dados, e a preparação dos manuscritos para publicação e apresentações. Prazos específicos serão definidos para cada fase do projeto, com o objetivo de apresentar os primeiros resultados em congressos relevantes e submeter artigos para revisão por pares dentro de 12 a 18 meses.</t>
  </si>
  <si>
    <t>Gabriela Faria de Oliveria</t>
  </si>
  <si>
    <r>
      <rPr>
        <rFont val="Source Sans Pro"/>
        <color rgb="FF666666"/>
        <sz val="10.0"/>
      </rPr>
      <t xml:space="preserve">Formulário de PD&amp;I - </t>
    </r>
    <r>
      <rPr>
        <rFont val="Source Sans Pro"/>
        <b/>
        <color rgb="FF666666"/>
        <sz val="10.0"/>
      </rPr>
      <t>Ano 2023</t>
    </r>
  </si>
  <si>
    <t>INOV000027 (2022 - PROJETO PESQUISA BÁSICA)</t>
  </si>
  <si>
    <t xml:space="preserve">A realização de pesquisas clínicas permite à empresa comprovar os benefícios e a segurança de uso dos produtos, aumentar a participação na comunidade científica através de parcerias com universidades, e apresentar os resultados em forma de abstracts em congressos e/ou artigos científicos. Além da participação na comunidade científica, a empresa espera obter benefícios específicos como a validação científica de seus produtos, aumento da credibilidade e confiança dos consumidores, potencial para melhorar a formulação de produtos existentes, e identificar novas oportunidades de mercado. Estas pesquisas também podem levar ao desenvolvimento de novas tecnologias e intervenções nutricionais, além de fortalecer as parcerias acadêmicas e de pesquisa.
</t>
  </si>
  <si>
    <t xml:space="preserve">A participação em congressos e o entendimento dos conteúdos e pesquisas recentes sobre intervenções nutricionais permitem à empresa avaliar possibilidades de desenvolvimento de novos produtos, embasando a inovação. Congressos científicos são uma fonte rica de novas ideias e tendências emergentes na área de nutrição e saúde. Por exemplo, inovações como a formulação de produtos específicos para controle glicêmico, desenvolvimento de suplementos com melhor perfil nutricional para idosos, e a criação de alimentos funcionais que atendem a necessidades dietéticas especiais surgiram da inspiração obtida em congressos. Essas interações permitem à empresa estar na vanguarda da pesquisa nutricional e aplicar as últimas descobertas em seus produtos.
</t>
  </si>
  <si>
    <t xml:space="preserve">A diversidade de temas em congressos nacionais e internacionais pode ser uma barreira, dificultando o alinhamento dos conteúdos com as inovações desejadas. A participação em congressos com pesquisas específicas é crucial para contribuir para a inovação e melhoria contínua dos produtos da Prodiet. A empresa lida com essa diversidade através de uma análise criteriosa dos programas dos congressos e pela seleção de eventos que mais se alinham com seus objetivos de pesquisa e inovação. Selecionar congressos relevantes é feito com base no impacto potencial dos temas discutidos e na presença de líderes de opinião e pesquisadores de renome na área de interesse da empresa.
</t>
  </si>
  <si>
    <t>A empresa planeja e entende as palestras, estudos e conteúdos compartilhados em congressos como uma estratégia para obter acesso a pesquisas relevantes. A programação prévia das pesquisas para congressos nacionais e internacionais, levando em conta as datas limites para submissão, é uma abordagem estratégica. A empresa garante que os resultados das pesquisas estejam disponíveis a tempo de serem apresentados, planejando cronogramas de pesquisa que considerem todas as etapas desde a concepção até a análise dos dados e redação dos abstracts.
Programação Prévia de Pesquisas:
A programação prévia envolve a definição de objetivos claros de pesquisa, a alocação de recursos adequados, e o estabelecimento de cronogramas detalhados que permitam a conclusão das pesquisas a tempo. Os critérios para a seleção de pesquisas a serem submetidas incluem a relevância científica, o alinhamento com as áreas estratégicas da empresa, e a probabilidade de aceitação pelos congressos. O processo de submissão é gerenciado através de um sistema de rastreamento de prazos, preparação de documentos e revisão por pares dentro da equipe de pesquisa para garantir a qualidade das submissões.
Critérios para Seleção de Pesquisas:
Relevância e originalidade científica
Impacto potencial na área de nutrição e saúde
Alinhamento com os objetivos estratégicos da empresa
Qualidade e robustez metodológica
Potencial para gerar dados publicáveis em revistas de alto impacto
Processo de Submissão:
O processo de submissão é rigorosamente gerenciado, começando com a identificação de congressos relevantes e a leitura cuidadosa dos requisitos de submissão. Os pesquisadores preparam abstracts e apresentações de acordo com as diretrizes do congresso, seguidos por revisões internas para garantir clareza e precisão. As submissões são acompanhadas até a aceitação final e preparação para a apresentação no evento.
Avaliação de Conteúdos em Congressos:
A empresa mantém uma equipe dedicada para revisar os programas dos congressos e selecionar as palestras e sessões mais relevantes. Participantes designados relatam as descobertas e insights obtidos, que são discutidos em reuniões de equipe para identificar oportunidades de aplicação prática.
Benefícios da Participação em Congressos:
Atualização sobre as últimas tendências e avanços científicos
Networking com pesquisadores e profissionais da área
Identificação de oportunidades de colaboração
Inspiração para novas linhas de pesquisa e desenvolvimento de produtos</t>
  </si>
  <si>
    <t>Ana Cláudia Zanini</t>
  </si>
  <si>
    <t>Ana Paula M Celes</t>
  </si>
  <si>
    <r>
      <rPr>
        <rFont val="Source Sans Pro"/>
        <color rgb="FF666666"/>
        <sz val="10.0"/>
      </rPr>
      <t xml:space="preserve">Formulário de PD&amp;I - </t>
    </r>
    <r>
      <rPr>
        <rFont val="Source Sans Pro"/>
        <b/>
        <color rgb="FF666666"/>
        <sz val="10.0"/>
      </rPr>
      <t>Ano 2023</t>
    </r>
  </si>
  <si>
    <t>INOV000031 (2021 - ENERGYZIP SÊNIOR)</t>
  </si>
  <si>
    <t>Comentário</t>
  </si>
  <si>
    <t>O objetivo do projeto é desenvolver um produto competitivo para venda em processos de licitação, além de criar um produto específico para idosos, que é o foco dos recentes lançamentos dos produtos Prodiet. Este novo produto, denominado Energyzip Sênior, será implementado tanto no mercado público quanto privado, com ênfase em licitações governamentais e em estabelecimentos de saúde que atendem a população idosa.
a) O produto será implementado no mercado de nutrição clínica, com foco em instituições de saúde, lares para idosos, e programas governamentais de suporte nutricional.
b) Exemplos de produtos lançados recentemente pelo Prodiet incluem a linha Diamax para controle glicêmico e a linha 100% Soja para consumidores com alergias alimentares.
c) O Energyzip Sênior atenderá às necessidades específicas dos pacientes idosos, oferecendo uma fórmula equilibrada com nutrientes essenciais para a saúde óssea, muscular, e cognitiva, além de ser fácil de digerir e absorver, diferenciando-se dos outros produtos Prodiet por ser totalmente voltado para as exigências nutricionais dos idosos.</t>
  </si>
  <si>
    <t>O Energyzip Sênior é um produto desenvolvido exclusivamente para pacientes idosos, expandindo o público-alvo dos produtos Prodiet. Nenhum outro produto do portfólio atual é dedicado especificamente para este público.
a) A inovação inclui tanto a criação de novos produtos específicos para idosos quanto a modificação de produtos existentes para melhor atender às necessidades desta faixa etária.
b) Produtos para idosos se diferenciam dos produtos para jovens e adultos por terem uma formulação adaptada às necessidades nutricionais dos idosos, como maior teor de proteínas de fácil digestão, vitaminas e minerais essenciais para a saúde óssea e muscular, e a inclusão de nutrientes que auxiliam na saúde cognitiva.
c) Os principais benefícios que tornam o Energyzip Sênior exclusivo para o público idoso incluem uma formulação rica em proteínas de alta qualidade, baixa em lactose, fortificada com vitaminas e minerais essenciais para idosos, e de fácil digestão, garantindo melhor absorção dos nutrientes.</t>
  </si>
  <si>
    <t>Um dos principais desafios tecnológicos é desenvolver uma fórmula isenta de lactose e com custo viável para produção em larga escala.
a) Dados mostram que uma significativa porcentagem de idosos apresenta intolerância à lactose, necessitando de produtos específicos que não contenham este componente.
b) O plano inclui a produção de variantes do Energyzip Sênior, tanto isentas de lactose quanto com lactose, para atender diferentes necessidades e preferências do mercado.
c) A empresa planeja garantir que a nova fórmula do Energyzip Sênior seja isenta de lactose e mantenha um custo viável através da utilização de ingredientes alternativos de menor custo e processos de produção eficientes, como a substituição do leite integral zero lactose por leite integral com lactose para variantes específicas.
d) Estratégias para otimizar o custo sem comprometer a qualidade incluem a reformulação do mix de vitaminas e minerais, a substituição de ingredientes de maior custo, e a negociação com fornecedores para obter melhores preços.</t>
  </si>
  <si>
    <t>A metodologia inclui a revisão da informação nutricional para reformulação do mix de vitaminas e minerais, com a retirada de componentes de maior custo como o cloreto de cálcio, e a alteração de ingredientes para versões mais econômicas.
a) Dados mostram que as necessidades nutricionais mais importantes para idosos incluem proteínas de alta qualidade, vitamina D, cálcio, vitamina B12, e fibras para manter a saúde óssea, muscular e cognitiva.
b) Estudos e feedback de clientes indicam que a retirada de fontes de maior custo pode ter um impacto positivo para o cliente, mantendo a eficácia nutricional enquanto reduz o custo final do produto.
Cronograma:
Primeiros 3 meses: Seleção de ingredientes, desenvolvimento de fórmula inicial e testes de estabilidade.
4 a 6 meses: Realização de testes sensoriais e ajustes de fórmula com base no feedback.
6 a 9 meses: Produção piloto e validação da cadeia de fornecimento.
9 a 12 meses: Preparação de documentação para submissão a congressos e publicação de resultados iniciais.
Divulgação dos Resultados:
Além de congressos e artigos científicos, os resultados dos estudos de caso serão divulgados através de campanhas de marketing direcionadas, webinars educativos, e comunicações com a comunidade médica, para maximizar a visibilidade e adoção do Energyzip Sênior.</t>
  </si>
  <si>
    <r>
      <rPr>
        <rFont val="Arial"/>
        <color rgb="FF666666"/>
        <sz val="10.0"/>
      </rPr>
      <t xml:space="preserve">Formulário de PD&amp;I - </t>
    </r>
    <r>
      <rPr>
        <rFont val="Source Sans Pro"/>
        <b/>
        <color rgb="FF666666"/>
        <sz val="10.0"/>
      </rPr>
      <t>Ano 2023</t>
    </r>
  </si>
  <si>
    <t>INOV000034 (2023 - PESQUISA CLÍNICA - CARBOCH)</t>
  </si>
  <si>
    <t xml:space="preserve">Avaliar o impacto do uso do suplemento de carboidrato em sachê na abreviação do jejum pré-operatório sobre desfechos clínicos e biomarcadores em pacientes submetidos a cirurgias eletivas ASA I e II. A justificativa para esta avaliação está baseada em evidências científicas e clínicas que indicam que a abreviação do jejum pré-operatório pode melhorar o bem-estar dos pacientes, reduzir complicações pós-operatórias e melhorar a recuperação. Estudos anteriores sugerem que a manutenção de um estado nutricional adequado até poucas horas antes da cirurgia pode reduzir a resposta inflamatória, melhorar a função imunológica e preservar a massa muscular.
</t>
  </si>
  <si>
    <t>A aplicação clínica de um suplemento produzido pela indústria brasileira visa avaliar o efeito da abreviação do tempo de jejum pré-operatório na satisfação, bem-estar e evolução clínica dos pacientes submetidos a procedimentos cirúrgicos eletivos. Além disso, busca-se reduzir sintomas desagradáveis relacionados ao jejum, como fome e sede.
a) O suplemento produzido pela indústria brasileira se diferencia de outras abordagens por ser especificamente formulado para uso pré-operatório, contendo uma combinação ideal de carboidratos de fácil digestão que fornecem energia rápida sem sobrecarregar o sistema digestivo. A formulação pode ser mais adequada e economicamente viável em comparação com produtos importados ou generalistas.
b) Os benefícios esperados do suplemento incluem maior satisfação e bem-estar dos pacientes, redução dos sintomas de fome e sede, e potencial melhora na evolução clínica, como menor tempo de recuperação e redução de complicações pós-operatórias.
c) Reduzir sintomas desagradáveis relacionados ao jejum, como fome e sede, é crucial para o conforto e bem-estar dos pacientes, podendo também contribuir para uma melhor adesão às instruções pré-operatórias e reduzir a ansiedade</t>
  </si>
  <si>
    <t>Os efeitos sobre a glicemia de pacientes submetidos a cirurgias eletivas são um risco potencial que deve ser monitorado cuidadosamente.
a) Os riscos potenciais incluem hiperglicemia ou hipoglicemia perioperatória, que podem complicar a gestão clínica dos pacientes e aumentar o risco de complicações cirúrgicas.
b) Esses riscos serão monitorados através de medições regulares da glicemia antes, durante e após a administração do suplemento e a cirurgia. O estudo incluirá protocolos rigorosos de monitoramento glicêmico e planos de ação para responder a quaisquer alterações significativas nos níveis de glicose.</t>
  </si>
  <si>
    <t>A metodologia envolve colaboração com anestesiologistas e pesquisadores parceiros, doação do produto investigacional, subvenção parcial para biomarcadores e consultoria técnica para elaboração do projeto de pesquisa.
a) O anestesiologista/pesquisador parceiro desempenha um papel crucial na condução do estudo, sendo responsável pela administração do suplemento, monitoramento dos pacientes e coleta de dados. Esta colaboração é fundamental para assegurar que o estudo seja conduzido de acordo com os padrões clínicos e éticos.
b) A subvenção parcial para biomarcadores será utilizada para medir indicadores relevantes como níveis de glicose, marcadores inflamatórios (por exemplo, proteína C-reativa), e indicadores de estresse metabólico e imunológico. Esses biomarcadores são essenciais para avaliar o impacto fisiológico do suplemento e correlacionar com os desfechos clínicos.
c) A empresa planeja avaliar o impacto do estudo na prática clínica através de uma análise abrangente dos resultados obtidos, incluindo dados clínicos e feedback dos pacientes. A intenção é publicar os resultados em revistas científicas e apresentar em congressos para disseminar os achados e influenciar as práticas clínicas em cirurgias eletivas.</t>
  </si>
  <si>
    <t>Vaneisse C L Monteiro</t>
  </si>
  <si>
    <r>
      <rPr>
        <rFont val="Source Sans Pro"/>
        <color rgb="FF666666"/>
        <sz val="10.0"/>
      </rPr>
      <t xml:space="preserve">Formulário de PD&amp;I - </t>
    </r>
    <r>
      <rPr>
        <rFont val="Source Sans Pro"/>
        <b/>
        <color rgb="FF666666"/>
        <sz val="10.0"/>
      </rPr>
      <t>Ano 2023</t>
    </r>
  </si>
  <si>
    <t>INOV000035 (2023 - PESQUISA CLÍNICA - CICATRIZAÇÃO)</t>
  </si>
  <si>
    <t xml:space="preserve">Avaliar o impacto do uso do suplemento em pó para cicatrização no tempo de cicatrização e evolução da ferida. A motivação por trás desta avaliação é baseada em evidências que sugerem que uma nutrição adequada pode acelerar o processo de cicatrização, melhorar a qualidade da cicatrização e reduzir o risco de complicações. O suplemento foi formulado para fornecer nutrientes essenciais que suportam os processos biológicos envolvidos na cicatrização de feridas.
</t>
  </si>
  <si>
    <t>A combinação de peptídeos de colágeno, arginina, micronutrientes chave para cicatrização e isomaltulose para controle glicêmico é inovadora e se diferencia de outros produtos disponíveis para cicatrização.
a) Esta combinação se diferencia por oferecer um perfil nutricional completo e balanceado que não apenas suporta a síntese de colágeno e outros componentes da matriz extracelular, mas também fornece energia de liberação lenta para controle glicêmico, essencial para pacientes com diabetes ou outras condições que afetam a cicatrização. Produtos concorrentes podem não fornecer uma combinação tão específica e sinérgica de nutrientes.
b) Os benefícios esperados incluem uma cicatrização mais rápida e eficiente, melhoria na qualidade da cicatriz, redução de inflamação e infecção, e controle melhorado dos níveis de glicose, o que é crucial para pacientes com condições crônicas como diabetes.</t>
  </si>
  <si>
    <t>Um risco tecnológico significativo é a possibilidade de o suplemento não alcançar os resultados clínicos esperados, como a redução significativa no tempo de cicatrização ou melhorias notáveis na evolução da ferida.
a) O resultado esperado na conduta clínica inclui uma redução no tempo de cicatrização e uma melhoria na qualidade da cicatrização, como menos infecção, menos inflamação e melhor formação de tecido. Este risco está sendo gerenciado através de um protocolo rigoroso de estudo clínico que inclui critérios de inclusão e exclusão bem definidos, monitoramento contínuo dos pacientes e análise detalhada dos dados coletados para garantir a robustez dos resultados.</t>
  </si>
  <si>
    <t>O projeto inclui a doação do produto investigacional, consultoria técnica, e análise de biomarcadores e escalas clínicas para avaliar o impacto do suplemento na cicatrização.
a) O processo de doação do produto investigacional aos pacientes participantes será gerido através de uma colaboração com centros de saúde e hospitais. Pacientes elegíveis serão identificados e recrutados para o estudo, e o suplemento será fornecido gratuitamente durante o período do estudo. A administração do suplemento será monitorada por profissionais de saúde para garantir adesão e segurança.
b) Os biomarcadores que serão utilizados para avaliar o impacto do suplemento incluem níveis de proteínas inflamatórias (como CRP), marcadores de formação de colágeno, e glicemia. As escalas clínicas incluem o PUSH Tool (Pressure Ulcer Scale for Healing) para avaliar a evolução da ferida, e escalas de dor e qualidade de vida para monitorar o bem-estar dos pacientes. Estas medições serão realizadas em intervalos regulares durante o estudo para acompanhar a progressão da cicatrização e a eficácia do suplemento.</t>
  </si>
  <si>
    <r>
      <rPr>
        <rFont val="Source Sans Pro"/>
        <color rgb="FF666666"/>
        <sz val="10.0"/>
      </rPr>
      <t xml:space="preserve">Formulário de PD&amp;I - </t>
    </r>
    <r>
      <rPr>
        <rFont val="Source Sans Pro"/>
        <b/>
        <color rgb="FF666666"/>
        <sz val="10.0"/>
      </rPr>
      <t>Ano 2023</t>
    </r>
  </si>
  <si>
    <t>INOV000036 (2023 - PESQUISA APLICADA - ARTESANAL)</t>
  </si>
  <si>
    <t xml:space="preserve">Avaliar a composição físico-química de dietas enterais artesanais com e sem o uso de suplementação específica, por meio de análises laboratoriais. A motivação por trás dessa avaliação é garantir que as dietas enterais artesanais ofereçam um perfil nutricional adequado e seguro para os pacientes, comparável ao das dietas industrializadas. Os objetivos clínicos e de pesquisa incluem determinar a qualidade nutricional das dietas, identificar possíveis deficiências ou excessos de nutrientes e avaliar a segurança alimentar. Este estudo busca proporcionar dados que possam melhorar a formulação das dietas artesanais e garantir que elas atendam às necessidades nutricionais dos pacientes.
</t>
  </si>
  <si>
    <t>A utilização de elementos presentes em dietas artesanais com oferta de micronutrientes e segurança é o foco inovador deste projeto.
a) A oferta de micronutrientes e a segurança alimentar são abordadas como elementos inovadores através da incorporação de suplementos específicos que garantem a presença de todos os nutrientes essenciais nas quantidades recomendadas. O valor agregado pela inclusão desses elementos nas dietas artesanais reside na melhoria da qualidade nutricional, garantindo que os pacientes recebam uma dieta balanceada que suporte sua recuperação e bem-estar. Além disso, a segurança alimentar é aumentada pela padronização e controle da composição das dietas, reduzindo o risco de contaminações e desequilíbrios nutricionais.</t>
  </si>
  <si>
    <t>Um risco potencial é a possibilidade de não observar diferenças significativas na composição físico-química de dietas enterais artesanais com e sem o uso de suplementação específica.
a) Para gerenciar esse risco, o estudo será desenhado com um tamanho de amostra adequado e análise estatística rigorosa para detectar pequenas diferenças na composição. Serão considerados cenários alternativos, como a avaliação de outros desfechos clínicos ou a reavaliação da composição das dietas e dos suplementos utilizados, caso os resultados não sejam significativos.
b) Se os resultados não forem significativos, o estudo poderá explorar outras variáveis, como a palatabilidade, a aceitação pelos pacientes e a relação custo-benefício, para fornecer recomendações práticas sobre o uso de suplementos em dietas artesanais.</t>
  </si>
  <si>
    <t>A análise química das dietas incluirá calorias, proteínas, carboidratos, gorduras, fibras, ferro, cobre, cromo, ácido fólico, ácido pantotênico e colina.
a) As análises laboratoriais específicas serão realizadas utilizando técnicas como cromatografia líquida de alta eficiência (HPLC), espectrometria de absorção atômica (AAS) e análise de composição proximal. Estas análises serão conduzidas seguindo protocolos padronizados e critérios de referência estabelecidos por diretrizes nutricionais internacionais.
b) A amostragem das dietas enterais artesanais será realizada de forma sistemática, coletando amostras representativas de diferentes preparações e locais de produção. Isso garantirá que as amostras reflitam a variabilidade das dietas consumidas pelos pacientes.
c) Os padrões ou referências utilizados para determinar a composição nutricional ideal das dietas enterais artesanais incluirão diretrizes da Organização Mundial da Saúde (OMS), Dietary Reference Intakes (DRIs) e outras regulamentações específicas para nutrição enteral. Estas diretrizes fornecem as recomendações sobre os níveis adequados de nutrientes para diferentes grupos populacionais.
d) A relação entre os resultados da análise físico-química e os desfechos clínicos dos pacientes será estabelecida através da comparação dos dados nutricionais com indicadores de saúde dos pacientes, como tempo de cicatrização, recuperação pós-operatória, e indicadores de estado nutricional (IMC, níveis séricos de nutrientes). Os resultados serão interpretados em um contexto clínico para fornecer recomendações práticas sobre a formulação e suplementação de dietas enterais artesanais.</t>
  </si>
  <si>
    <r>
      <rPr>
        <rFont val="Source Sans Pro"/>
        <color rgb="FF666666"/>
        <sz val="10.0"/>
      </rPr>
      <t xml:space="preserve">Formulário de PD&amp;I - </t>
    </r>
    <r>
      <rPr>
        <rFont val="Source Sans Pro"/>
        <b/>
        <color rgb="FF666666"/>
        <sz val="10.0"/>
      </rPr>
      <t>Ano 2023</t>
    </r>
  </si>
  <si>
    <t>INOV000037 (2023 - PESQUISA CLÍNICA - IMMAX)</t>
  </si>
  <si>
    <t xml:space="preserve">O objetivo do projeto é comprovar os benefícios e a segurança do uso do produto Immax em uma amostra de indivíduos com câncer colorretal e apresentar os resultados em forma de abstracts em congressos e artigos científicos. Além da comprovação da segurança, o projeto espera demonstrar benefícios específicos como a redução da perda de massa muscular, melhora na qualidade de vida, aumento da massa muscular, melhora do estado nutricional geral e potencial melhora na resposta ao tratamento oncológico.
</t>
  </si>
  <si>
    <t>O uso de uma fórmula especializada para pacientes oncológicos, como o Immax, pode reduzir a perda de massa muscular e/ou estimular o aumento da massa muscular, o que é crucial devido ao grande impacto na saúde e qualidade de vida das pessoas com câncer.
a) A fórmula especializada se diferencia de outras abordagens ou produtos por conter uma combinação otimizada de nutrientes essenciais especificamente formulados para atender às necessidades nutricionais de pacientes oncológicos. Isso pode incluir proteínas de alta qualidade, aminoácidos essenciais, ácidos graxos ômega-3, vitaminas, minerais e compostos bioativos que auxiliam na manutenção e ganho de massa muscular.
b) Os benefícios potenciais dessa fórmula incluem a preservação da massa muscular, melhora da força física e funcionalidade, redução da inflamação e catabolismo, melhoria da qualidade de vida, e possivelmente uma melhor resposta aos tratamentos oncológicos devido ao melhor estado nutricional.</t>
  </si>
  <si>
    <t>O principal risco é a pesquisa não apresentar resultados satisfatórios em termos de redução da perda de massa muscular ou aumento da massa muscular em indivíduos com câncer colorretal.
a) Esse risco está sendo gerenciado através de um desenho de estudo robusto, que inclui um tamanho de amostra adequado, critérios rigorosos de inclusão e exclusão, e o uso de métodos precisos de avaliação de massa muscular. Em caso de resultados negativos, cenários alternativos incluem a reavaliação da dose ou composição do suplemento, ou a consideração de subgrupos específicos de pacientes que possam se beneficiar mais claramente do produto.</t>
  </si>
  <si>
    <t>Para controlar possíveis vieses de pesquisa, o projeto segue um protocolo bem estabelecido. A massa muscular será avaliada por meio de densitometria óssea (DXA), que é um dos melhores métodos de quantificação sem exposição à radiação excessiva.
a) Para garantir a validade dos resultados e controlar possíveis vieses, medidas incluem a randomização dos participantes, duplo-cego (onde aplicável), e controle por placebo. Além disso, serão utilizadas técnicas padronizadas para coleta de dados e análise estatística rigorosa para minimizar a influência de fatores externos e vieses de seleção.
b) A estratégia de amostragem envolve o recrutamento de pacientes com diagnóstico confirmado de câncer colorretal que estejam em tratamento ativo ou em fase de recuperação pós-tratamento. O tamanho da amostra foi determinado com base em cálculos de poder estatístico para garantir que o estudo tenha força suficiente para detectar diferenças significativas nos desfechos de interesse, como a mudança na massa muscular.</t>
  </si>
  <si>
    <r>
      <rPr>
        <rFont val="Source Sans Pro"/>
        <color rgb="FF666666"/>
        <sz val="10.0"/>
      </rPr>
      <t xml:space="preserve">Formulário de PD&amp;I - </t>
    </r>
    <r>
      <rPr>
        <rFont val="Source Sans Pro"/>
        <b/>
        <color rgb="FF666666"/>
        <sz val="10.0"/>
      </rPr>
      <t>Ano 2023</t>
    </r>
  </si>
  <si>
    <t>INOV000038 (2023 - PESQUISA CLÍNICA - PEPTIMAX)</t>
  </si>
  <si>
    <t xml:space="preserve">Avaliar o impacto do uso da fórmula oligomérica Peptimax em pacientes com sintomas disabsortivos, após utilização de fórmulas poliméricas e oligoméricas em sistema fechado. A motivação por trás dessa avaliação é entender como a fórmula Peptimax pode melhorar a absorção de nutrientes e aliviar sintomas em pacientes que não responderam adequadamente a outras fórmulas. Esses pacientes muitas vezes apresentam necessidades clínicas não atendidas, como má absorção de nutrientes, perda de peso, e desnutrição, que podem comprometer sua recuperação e qualidade de vida.
</t>
  </si>
  <si>
    <t>O uso da fórmula Peptimax em pacientes refratários a outros tratamentos é inovador porque oferece uma alternativa especializada para uma população de pacientes que não obtiveram benefícios de outras abordagens nutricionais.
a) A fórmula Peptimax se diferencia de abordagens anteriores por ser oligomérica, o que significa que seus nutrientes estão em formas parcialmente digeridas, facilitando a absorção em pacientes com comprometimento da capacidade digestiva e absortiva. As expectativas em relação a essa população de pacientes incluem melhora na absorção de nutrientes, estabilização do peso, redução dos sintomas disabsortivos e uma melhora geral no estado nutricional e na qualidade de vida.</t>
  </si>
  <si>
    <t>O principal risco dos estudos de caso prospectivos é a possibilidade de não obter o resultado esperado na conduta clínica, devido à variabilidade individual dos pacientes e à natureza menos controlada desses estudos.
a) O risco de não obter o resultado esperado está sendo gerenciado através de uma cuidadosa seleção dos pacientes, utilização de protocolos padronizados e monitoramento rigoroso durante o estudo. Além disso, serão implementadas análises estatísticas apropriadas para identificar qualquer tendência ou benefício mesmo que os resultados não sejam estatisticamente significativos.
b) Se os resultados não forem satisfatórios, estratégias alternativas incluem a reavaliação dos critérios de inclusão dos pacientes, ajustes na formulação do Peptimax, ou o desenvolvimento de subgrupos específicos de pacientes que possam se beneficiar mais do produto.</t>
  </si>
  <si>
    <t>O estudo será conduzido como uma série de casos clínicos prospectivos, com doação de produtos Peptimax aos pacientes participantes.
a) A série de casos clínicos prospectivos será conduzida através da identificação e recrutamento de pacientes com sintomas disabsortivos que não responderam adequadamente a fórmulas poliméricas e oligoméricas padrão. Os critérios de seleção incluirão diagnósticos de má absorção, histórico de uso de outras fórmulas sem sucesso, e a capacidade de dar consentimento informado. Os pacientes serão monitorados de perto para avaliar a resposta à fórmula Peptimax, incluindo parâmetros como absorção de nutrientes, ganho de peso, e melhora dos sintomas disabsortivos.
b) O processo de doação dos produtos Peptimax aos pacientes participantes envolverá parcerias com centros de saúde e hospitais. A empresa fornecerá a fórmula gratuitamente durante o período do estudo, garantindo que todos os participantes tenham acesso ao suplemento necessário. A administração do Peptimax será supervisionada por profissionais de saúde, que também serão responsáveis pela coleta de dados e monitoramento do progresso dos pacientes.</t>
  </si>
  <si>
    <r>
      <rPr>
        <rFont val="Source Sans Pro"/>
        <color rgb="FF666666"/>
        <sz val="10.0"/>
      </rPr>
      <t xml:space="preserve">Formulário de PD&amp;I - </t>
    </r>
    <r>
      <rPr>
        <rFont val="Source Sans Pro"/>
        <b/>
        <color rgb="FF666666"/>
        <sz val="10.0"/>
      </rPr>
      <t>Ano 2023</t>
    </r>
  </si>
  <si>
    <t>INOV000039 (2023 - PESQUISA ÍNDICE GLICÊMICO - DIAMAX IN / SF UTI)</t>
  </si>
  <si>
    <t xml:space="preserve">Determinar o índice glicêmico de duas fórmulas especializadas. Além de comprovar o baixo índice glicêmico, o projeto espera demonstrar benefícios específicos em relação às fórmulas especializadas para pacientes com diabetes mellitus e hiperglicemia por estresse, como melhor controle glicêmico, redução de picos de glicose pós-prandiais e melhora na gestão geral da condição diabética.
</t>
  </si>
  <si>
    <t>Fórmulas especializadas com baixo índice glicêmico apresentam benefícios significativos para pacientes com diabetes mellitus e hiperglicemia por estresse. A comprovação do baixo índice glicêmico dessas fórmulas embasaria a prescrição para esses grupos populacionais.
a) A prescrição dessas fórmulas pode ser para produtos do Prodiet destinados a hospitais e clínicas, assim como para farmácias, onde poderiam ser adquiridos por consumidores finais com orientação médica.
b) A prescrição de fórmulas especializadas com baixo índice glicêmico se diferencia de outras abordagens ou produtos usados no tratamento de diabetes e hiperglicemia por estresse por oferecer um controle mais preciso e sustentado dos níveis de glicose no sangue, minimizando picos e quedas bruscas, e reduzindo o risco de complicações associadas ao diabetes.
c) O uso de fórmulas com baixo índice glicêmico pode impactar positivamente a saúde dos pacientes ao proporcionar um controle glicêmico mais estável, reduzindo a necessidade de intervenções médicas adicionais, melhorando a qualidade de vida, e potencialmente diminuindo o risco de complicações a longo prazo, como doenças cardiovasculares e neuropatias.</t>
  </si>
  <si>
    <t>O principal risco é que as fórmulas não apresentem resultados satisfatórios de baixo índice glicêmico.
a) Este risco está sendo gerenciado através de um desenho de estudo rigoroso que inclui a seleção cuidadosa dos participantes, o uso de métodos padronizados e validados para a determinação do índice glicêmico, e a realização de testes preliminares para ajustar a formulação das fórmulas antes da avaliação final.</t>
  </si>
  <si>
    <t>Para controlar possíveis vieses de pesquisa, o projeto seguirá um protocolo bem estabelecido. A determinação do índice glicêmico será realizada em um centro de referência no Brasil para este tipo de pesquisa, seguindo os protocolos recomendados na literatura científica.
a) O projeto planeja controlar possíveis vieses de pesquisa na determinação do índice glicêmico através da randomização dos participantes, cegamento dos avaliadores, e uso de métodos analíticos padronizados e validados.
b) Para garantir a validade dos resultados, serão implementadas medidas como a seleção de um tamanho de amostra adequado, a utilização de controles apropriados, e a repetição dos testes para confirmar a consistência dos resultados.
c) O centro de referência no Brasil para esse tipo de pesquisa é o Centro de Pesquisa em Alimentos (FoRC), reconhecido por sua expertise na avaliação do índice glicêmico.
d) Os protocolos específicos que serão seguidos para a determinação do índice glicêmico incluem a ingestão das fórmulas pelos participantes em jejum, a medição dos níveis de glicose no sangue em intervalos específicos após a ingestão, e a comparação dos resultados com um alimento de referência, geralmente glicose pura ou pão branco. Os dados serão analisados para calcular o índice glicêmico com base na área sob a curva glicêmica.</t>
  </si>
  <si>
    <r>
      <rPr>
        <rFont val="Source Sans Pro"/>
        <color rgb="FF666666"/>
        <sz val="10.0"/>
      </rPr>
      <t xml:space="preserve">Formulário de PD&amp;I - </t>
    </r>
    <r>
      <rPr>
        <rFont val="Source Sans Pro"/>
        <b/>
        <color rgb="FF666666"/>
        <sz val="10.0"/>
      </rPr>
      <t>Ano 2023</t>
    </r>
  </si>
  <si>
    <t>INOV000040 (2023 – SUSTENLAC)</t>
  </si>
  <si>
    <t>Sustenlac Protein: Desenvolver um produto com 25% proteína do leite, palatável, para cliente marca própria.
Sustenlac Suplemeto Alimentar: alterar categoria do produto de pó para preparo para suplemento alimentar</t>
  </si>
  <si>
    <t>Sustenlac Protein: Produto palatável com 25% de proteína do leite, com registro MAPA e diversidade de sabores, incluindo opção neutra.
Sustenlac Suplemento Alimentar: avançar com o produto no mercado de varejo, com melhora das caracteristicas sensoriais principalmente sabor chocolate.</t>
  </si>
  <si>
    <t>Sustenlac Protein: O maior desafio para este produto será a obtenção de licença MAPA e prospecção/aceitação do cliente
Sustenlac Suplemento Alimentar: maior desafio será melhorar o perfil sensorial do sabor chocolate para melhor aceitação no varejo</t>
  </si>
  <si>
    <t>Sustenlac Protein: Levantamento de volume de demanda de varejistas de Marca Própria. Processo de avaliação da fábrica e centro de distribuição para obtenção da licença MAPA
Sustenlac Suplemento Alimentar: desenvolver a fórmula de acordo com os limites para Suplementos Alimentar, avaliar em escala laboratorial e executar teste piloto para composição da informação nutricional.</t>
  </si>
  <si>
    <t>Analista de Pesquisa e Desenvolvimento</t>
  </si>
  <si>
    <t>Joyce Camargo</t>
  </si>
  <si>
    <t>Analista de AR</t>
  </si>
  <si>
    <t>Junia Carla de Oliveira Maia</t>
  </si>
  <si>
    <t>Coordenadora de AR</t>
  </si>
  <si>
    <r>
      <rPr>
        <rFont val="Source Sans Pro"/>
        <color rgb="FF666666"/>
        <sz val="10.0"/>
      </rPr>
      <t xml:space="preserve">Formulário de PD&amp;I - </t>
    </r>
    <r>
      <rPr>
        <rFont val="Source Sans Pro"/>
        <b/>
        <color rgb="FF666666"/>
        <sz val="10.0"/>
      </rPr>
      <t>Ano 2023</t>
    </r>
  </si>
  <si>
    <t>INOV000041 (2023 - PROTEÍNA LÍQUIDA)</t>
  </si>
  <si>
    <t>Desenvolver um módulo de proteína líquido para produção própria, utilizando o processo retort, que forneça o mínimo de aminoácidos conforme a RDC 21/2015, com menor volume, para uso em hospitais.
a) A necessidade específica no mercado de Nutrição Enteral que este módulo de proteína líquido busca atender é a demanda por suplementos proteicos eficientes e de baixo volume que possam ser facilmente administrados a pacientes hospitalizados. Este produto é especialmente importante para pacientes que necessitam de uma suplementação proteica concentrada devido a estados catabólicos aumentados, como aqueles em recuperação pós-cirúrgica, com feridas crônicas, ou que estão desnutridos.</t>
  </si>
  <si>
    <t>O desenvolvimento de um módulo líquido próprio, inovador para o mercado brasileiro, na categoria de Nutrição Enteral, se destaca por sua formulação concentrada e eficiente, adequada às necessidades específicas de pacientes hospitalizados.
a) Este módulo líquido próprio se diferencia dos produtos disponíveis no mercado brasileiro de Nutrição Enteral pela sua capacidade de fornecer uma alta concentração de proteínas e aminoácidos essenciais em um volume reduzido. A inovação também reside no uso do processo retort para garantir a estabilidade e segurança do produto, além de atender às exigências regulatórias da RDC 21/2015, oferecendo uma alternativa prática e eficiente para a administração de proteínas em ambientes hospitalares.</t>
  </si>
  <si>
    <t xml:space="preserve">O principal risco tecnológico associado ao desenvolvimento do módulo de proteína líquido para Nutrição Enteral é a possibilidade de não alcançar a estabilidade e integridade nutricional esperada após o tratamento térmico em autoclave. Especificamente, há riscos de desnaturação das proteínas, separação de fases na emulsão, perda de aminoácidos essenciais, contaminação microbiana e comprometimento da palatabilidade e aceitação do produto pelos pacientes. Para gerenciar esses riscos, o projeto envolve uma cuidadosa seleção de ingredientes e a otimização de parâmetros de processamento. A utilização de estabilizantes e emulsificantes adequados, a realização de testes de estabilidade física e química e o monitoramento contínuo dos níveis de aminoácidos são medidas cruciais para garantir a qualidade do produto. Controles rigorosos de qualidade e segurança, juntamente com testes sensoriais, asseguram que o produto final seja palatável e aceitável.
</t>
  </si>
  <si>
    <t>O projeto envolve o estudo da estabilidade de emulsões de proteínas, para criar uma combinação que atenda ao perfil de aminoácidos conforme o briefing do departamento científico. As formulações serão aplicadas com tratamento térmico em autoclave.
a) O estudo da estabilidade de emulsões de proteínas está sendo conduzido através de uma série de etapas experimentais que incluem a seleção de diferentes fontes proteicas, a otimização das proporções de emulsificantes e estabilizantes, e a realização de testes de estabilidade física e química das emulsões. Estes testes incluem a avaliação da separação de fases, viscosidade, e integridade proteica ao longo do tempo e sob diferentes condições de armazenamento.
b) O projeto está garantindo que o perfil de aminoácidos do módulo de proteína líquido atenda às regulamentações da RDC 21/2015 através de análises detalhadas da composição de aminoácidos de cada fórmula desenvolvida. Essas análises são realizadas utilizando métodos de cromatografia líquida de alta eficiência (HPLC) e outras técnicas de quantificação de aminoácidos. Além disso, o desenvolvimento do produto é guiado por um briefing científico que especifica os requisitos mínimos para cada aminoácido essencial, conforme estipulado pela RDC 21/2015.
c) As etapas específicas do processo de tratamento térmico em autoclave incluem:
Preparação da Formulação: Mistura dos ingredientes de acordo com a formulação otimizada, incluindo proteínas, emulsificantes, estabilizantes e água.
Homogeneização: A emulsão é homogeneizada para garantir uma distribuição uniforme das partículas e melhorar a estabilidade.
Envasamento: A emulsão homogeneizada é envasada em embalagens adequadas que suportam o tratamento térmico.
Selagem: As embalagens são seladas hermeticamente para evitar contaminação.
Tratamento Térmico em Autoclave: As embalagens seladas são submetidas ao processo de retort, onde são expostas a temperaturas elevadas (geralmente entre 110-121°C) sob pressão por um tempo específico. Este processo é controlado rigorosamente para garantir a esterilização do produto sem comprometer a integridade nutricional.
Resfriamento: Após o tratamento térmico, as embalagens são resfriadas rapidamente para evitar a degradação térmica adicional.
Armazenamento e Testes de Estabilidade: Os produtos finalizados são armazenados em condições controladas e submetidos a testes de estabilidade para garantir a sua integridade ao longo do shelf-life.</t>
  </si>
  <si>
    <r>
      <rPr>
        <rFont val="Source Sans Pro"/>
        <color rgb="FF666666"/>
        <sz val="10.0"/>
      </rPr>
      <t xml:space="preserve">Formulário de PD&amp;I - </t>
    </r>
    <r>
      <rPr>
        <rFont val="Source Sans Pro"/>
        <b/>
        <color rgb="FF666666"/>
        <sz val="10.0"/>
      </rPr>
      <t>Ano 2023</t>
    </r>
  </si>
  <si>
    <t>INOV000046 (PEPTIMAX IBD)</t>
  </si>
  <si>
    <t>Este projeto tem como objetivo desenvolver um suplemento nutricional inovador para pacientes com doenças inflamatórias intestinais, como a doença de Crohn. A formulação do produto combinará TGF beta 2, uma proteína hidrolisada do soro do leite e glutamina. Esta combinação visa oferecer uma abordagem terapêutica direcionada, proporcionando benefícios nutricionais significativos e controle da inflamação intestinal. A escolha desses componentes baseia-se em evidências científicas que demonstram a eficácia do TGF beta 2 na regulação imunológica e no suporte à saúde intestinal, bem como os benefícios da glutamina como fonte de energia para enterócitos.</t>
  </si>
  <si>
    <t>A inovação reside na integração do TGF beta 2 na formulação do suplemento, junto com a proteína hidrolisada do soro do leite e a glutamina. Esta combinação específica não está presente em produtos atuais no mercado e é projetada para fornecer um suporte nutricional mais eficaz para pacientes com doenças inflamatórias intestinais. O TGF beta 2 foi escolhido devido à sua capacidade comprovada de controlar a inflamação intestinal e melhorar os padrões nutricionais e inflamatórios em pacientes. A glutamina é incluída por seu papel crítico na manutenção da saúde intestinal, enquanto a proteína hidrolisada do soro do leite é conhecida por sua rápida absorção e suporte nutricional.</t>
  </si>
  <si>
    <t>O principal desafio tecnológico é desenvolver um produto que mantenha a integridade e a atividade biológica do TGF beta 2, juntamente com a garantia de um perfil sensorial aceitável, apesar da presença de ingredientes funcionais com sabores e texturas desafiadores. Isso inclui o desenvolvimento de estratégias de formulação e processos de produção que garantam a estabilidade do TGF beta 2 e dos outros componentes bioativos, mantendo ao mesmo tempo a palatabilidade e a aceitabilidade do produto para os consumidores.</t>
  </si>
  <si>
    <t>Pesquisa e Desenvolvimento (P&amp;D) Intensivo: A fase inicial envolverá uma pesquisa aprofundada sobre as propriedades bioquímicas e terapêuticas do TGF beta 2 e sua interação com outros componentes da formulação. Isso incluirá análises literárias e colaborações com instituições acadêmicas para explorar os mecanismos subjacentes ao efeito do TGF beta 2 em condições inflamatórias intestinais.
Desenvolvimento de Formulação e Testes Analíticos: Esta fase se concentrará na formulação do produto e no desenvolvimento de métodos analíticos para quantificar a concentração e a atividade do TGF beta 2. Métodos como cromatografia líquida de alta eficiência (HPLC) e ensaios de ligação, como ELISA, serão empregados para garantir a qualidade e consistência do ingrediente ativo.
Otimização de Sabor e Textura: Dada a importância da aceitação do consumidor, serão conduzidos testes sensoriais extensivos para ajustar o sabor, odor e textura do produto. A colaboração com especialistas em sabores e aromas será crucial para desenvolver uma formulação que mascare quaisquer sabores desagradáveis inerentes aos ingredientes bioativos, sem comprometer sua eficácia.
Desenvolvimento de Processos de Fabricação: A seleção e otimização de processos de fabricação que preservem a estabilidade dos componentes bioativos serão cruciais. Métodos como microencapsulação ou tecnologias de preservação a frio podem ser explorados para proteger o TGF beta 2 durante o processamento e armazenamento.
Ensaios Clínicos e Estudos de Mercado: Antes do lançamento comercial, serão realizados ensaios clínicos rigorosos para validar a eficácia e segurança do produto. Paralelamente, estudos de mercado serão conduzidos para avaliar a aceitação do consumidor e refinar a formulação com base nas preferências dos usuários finais.
Monitoramento Contínuo e Melhoria do Produto: Após o lançamento, o feedback dos consumidores será monitorado de perto, e ajustes contínuos na formulação e no processo de fabricação serão realizados com base nos dados coletados para garantir a satisfação do cliente e a eficácia do produto.</t>
  </si>
  <si>
    <t>Gerente Head de P&amp;D e AR</t>
  </si>
  <si>
    <t>INOV00001</t>
  </si>
  <si>
    <t>Formulário de PD&amp;I - Ano 2023</t>
  </si>
  <si>
    <t>- preencher somente os campos sombreados (cinza) e 
- adicionar cronograma no formato de imagem ao fim do formulário
- preencher um deste para cada projeto de PD&amp;I</t>
  </si>
  <si>
    <t>Dossiêdoprojeto</t>
  </si>
  <si>
    <t>DadosgeraisparaidentificaçãoevalidaçãodoprojetodePD&amp;I</t>
  </si>
  <si>
    <t>Nome completo do projeto de PD&amp;I</t>
  </si>
  <si>
    <t>Contar qual/quais a(s) EXPECTATIVA(S) da empresa caso o projeto obtenha sucesso</t>
  </si>
  <si>
    <t>Contar O QUE faz o resultado desse projeto ser tecnologicamente novo ou inovador</t>
  </si>
  <si>
    <t>Descrever qual é o RISCO ou a BARREIRA tecnológica que impossibilitava a empresa de alcançar o objetivo, antes da realização deste projeto</t>
  </si>
  <si>
    <t>Descrever quais serão as ESTRATÉGIAS sistematizadas para conseguir superar a barreira tecnológica e alcançar os objetivos. Não basta citar quais são as metodologias, mas deve-se explicar como cada uma delas se relaciona com as etapas do projeto.</t>
  </si>
  <si>
    <t>NomeCompleto</t>
  </si>
  <si>
    <t>Cargo|Função</t>
  </si>
  <si>
    <t>Arianna Schreiber</t>
  </si>
  <si>
    <t>MARKETING</t>
  </si>
  <si>
    <t>Mihaela Theer Moura</t>
  </si>
  <si>
    <t>Tahuany Leite</t>
  </si>
  <si>
    <t>Vaneisse Cristina Lima Monteiro</t>
  </si>
  <si>
    <t>Ana Paula Biz</t>
  </si>
  <si>
    <t>Raissa Bellotti</t>
  </si>
  <si>
    <t>Alyne Alves Nunes Oliveira</t>
  </si>
  <si>
    <t>[anexarimagem-preferencialmenteGantt]</t>
  </si>
  <si>
    <t>Pesquisa ,Desenvolvimento &amp; Inovação</t>
  </si>
  <si>
    <r>
      <rPr>
        <rFont val="Source Sans Pro"/>
        <color rgb="FF666666"/>
        <sz val="10.0"/>
      </rPr>
      <t xml:space="preserve">Formulário de PD&amp;I - </t>
    </r>
    <r>
      <rPr>
        <rFont val="Source Sans Pro"/>
        <b/>
        <color rgb="FF666666"/>
        <sz val="10.0"/>
      </rPr>
      <t>Ano2023</t>
    </r>
  </si>
  <si>
    <t>-preencher somente os campos sombreados (cinza)</t>
  </si>
  <si>
    <t>Cálculo de custo - Pessoal</t>
  </si>
  <si>
    <t>Salário bruto</t>
  </si>
  <si>
    <t>CPF</t>
  </si>
  <si>
    <t>notas</t>
  </si>
  <si>
    <t>Cargo/função</t>
  </si>
  <si>
    <t>Formação</t>
  </si>
  <si>
    <t>Attachments</t>
  </si>
  <si>
    <t>Salário 01</t>
  </si>
  <si>
    <t>Salário 02</t>
  </si>
  <si>
    <t>Salário 03</t>
  </si>
  <si>
    <t>Salário 04</t>
  </si>
  <si>
    <t>Salário 05</t>
  </si>
  <si>
    <t>Salário 06</t>
  </si>
  <si>
    <t>Salário 07</t>
  </si>
  <si>
    <t>Salário 08</t>
  </si>
  <si>
    <t>Salário 09</t>
  </si>
  <si>
    <t>Salário 10</t>
  </si>
  <si>
    <t>Salário 11</t>
  </si>
  <si>
    <t>Salário 12</t>
  </si>
  <si>
    <t>PD&amp;I time</t>
  </si>
  <si>
    <t>PD&amp;I (%)</t>
  </si>
  <si>
    <t>Classificação</t>
  </si>
  <si>
    <t>Pesquisador</t>
  </si>
  <si>
    <t>076.046.519-33</t>
  </si>
  <si>
    <t>CLT</t>
  </si>
  <si>
    <t>071.847.899-11</t>
  </si>
  <si>
    <t>ANALISTA DE P&amp;D PLENO</t>
  </si>
  <si>
    <t>759.837.297-72</t>
  </si>
  <si>
    <t>PJ</t>
  </si>
  <si>
    <t>Pós Graduado</t>
  </si>
  <si>
    <t>83.832.289-10</t>
  </si>
  <si>
    <t>087.823.469-17</t>
  </si>
  <si>
    <t>058.544.839-63</t>
  </si>
  <si>
    <t>317.875.738-42</t>
  </si>
  <si>
    <t>Especialista em EE</t>
  </si>
  <si>
    <t>052.485.199-93</t>
  </si>
  <si>
    <t>186.586.978-35</t>
  </si>
  <si>
    <t>Head de P&amp;D e AR</t>
  </si>
  <si>
    <t>024.486.920-09</t>
  </si>
  <si>
    <t>129.307.117-01</t>
  </si>
  <si>
    <t>Especialista de P&amp;D</t>
  </si>
  <si>
    <t>430.604.838-17</t>
  </si>
  <si>
    <t>Pós Graduada</t>
  </si>
  <si>
    <t>Cálculo do custo/hora</t>
  </si>
  <si>
    <t>Encargos sobre folha</t>
  </si>
  <si>
    <t>INSS</t>
  </si>
  <si>
    <t>Patronal</t>
  </si>
  <si>
    <t>FGTS</t>
  </si>
  <si>
    <t>Férias</t>
  </si>
  <si>
    <t>13º</t>
  </si>
  <si>
    <t>Total</t>
  </si>
  <si>
    <t>RAT</t>
  </si>
  <si>
    <t>PD&amp;I R$</t>
  </si>
  <si>
    <t>Aprovado R$</t>
  </si>
  <si>
    <t>Parcial</t>
  </si>
  <si>
    <t>Feriados</t>
  </si>
  <si>
    <t>Carnaval</t>
  </si>
  <si>
    <t>Quarta de cinzas</t>
  </si>
  <si>
    <t>Paixão de Cristo</t>
  </si>
  <si>
    <t>Tiradentes</t>
  </si>
  <si>
    <t>Dia do Trabalho</t>
  </si>
  <si>
    <t>Corpus Christi</t>
  </si>
  <si>
    <t>Independência do Brasil</t>
  </si>
  <si>
    <t>Padroeira Curitiba</t>
  </si>
  <si>
    <t>Nossa Senhora - Padroeira do Brasil</t>
  </si>
  <si>
    <t>Finados</t>
  </si>
  <si>
    <t>Proclamação da Republica</t>
  </si>
  <si>
    <t>Natal</t>
  </si>
  <si>
    <r>
      <rPr>
        <rFont val="Source Sans Pro"/>
        <color rgb="FF666666"/>
        <sz val="10.0"/>
      </rPr>
      <t xml:space="preserve">Formulário de PD&amp;I - </t>
    </r>
    <r>
      <rPr>
        <rFont val="Source Sans Pro"/>
        <b/>
        <color rgb="FF666666"/>
        <sz val="10.0"/>
      </rPr>
      <t>Ano2023</t>
    </r>
  </si>
  <si>
    <t>Checklist - outras informações</t>
  </si>
  <si>
    <t>Área</t>
  </si>
  <si>
    <t>Item</t>
  </si>
  <si>
    <t>Descrição</t>
  </si>
  <si>
    <t>Status</t>
  </si>
  <si>
    <t>Comentáriocliente</t>
  </si>
  <si>
    <t>ComentárioMcBenner</t>
  </si>
  <si>
    <t>RH</t>
  </si>
  <si>
    <t>Info.funcionários</t>
  </si>
  <si>
    <t>Listacom:Nome|CPF|Cargo|Qualificação</t>
  </si>
  <si>
    <t>FALTA OS CPFs</t>
  </si>
  <si>
    <t>Salários</t>
  </si>
  <si>
    <t>Listacomossaláriosmensaisdosfuncionáriosenvolvidos</t>
  </si>
  <si>
    <t>Pendente</t>
  </si>
  <si>
    <t>Listacomosferiadosadotadosduranteoanopelaempresa</t>
  </si>
  <si>
    <t>Qtddefuncionários</t>
  </si>
  <si>
    <t>Informaçãodonúmerototaldefuncionárioscomvínculoempregatício</t>
  </si>
  <si>
    <t>PerfilPrevidenciário</t>
  </si>
  <si>
    <t>InformaçãoquantoaopçãoINSS|CPRBenocasodetributaçãomista,informarpercentuaismêsamês</t>
  </si>
  <si>
    <t>Contabilidade</t>
  </si>
  <si>
    <t>Receitalíquida</t>
  </si>
  <si>
    <t>Valordareceitalíquidanoanobase</t>
  </si>
  <si>
    <t>Lucro|Prejuízofiscal</t>
  </si>
  <si>
    <t>InformaçãoqueseráenviadanaECFnoLALUR:valordolucrofiscalprejuízofiscalnoanobase</t>
  </si>
  <si>
    <t>RAT|FAP</t>
  </si>
  <si>
    <t>RATeFAPparacálculodoRATajustado</t>
  </si>
  <si>
    <t>ContabilizaçãoDespesa</t>
  </si>
  <si>
    <t>RazãocontábilcomacontabilizaçãodetodososinvestimentosemPD&amp;I</t>
  </si>
  <si>
    <t>Desenvolvimento</t>
  </si>
  <si>
    <t>Evidências</t>
  </si>
  <si>
    <t>Fotos,esquemas,análisesdocumentaisqueprovemqueo(s)projeto(s)realmenteexiste(m)</t>
  </si>
  <si>
    <t>Projeto</t>
  </si>
  <si>
    <t>Código Protheus</t>
  </si>
  <si>
    <t>2018 - Retort</t>
  </si>
  <si>
    <t>Vigente</t>
  </si>
  <si>
    <t>2019 - Sarcopenia</t>
  </si>
  <si>
    <t>INOV00003</t>
  </si>
  <si>
    <t>Stand-by</t>
  </si>
  <si>
    <t>2019 - Cicatrização</t>
  </si>
  <si>
    <t>2019 - Artesanal</t>
  </si>
  <si>
    <t>2021 - Diamax pó</t>
  </si>
  <si>
    <t>2021 - Marca própria</t>
  </si>
  <si>
    <t>INOV00012</t>
  </si>
  <si>
    <t>2021 - Sachê a vácuo</t>
  </si>
  <si>
    <t>2021 - Energyzip 25%</t>
  </si>
  <si>
    <t>2018 - Linha Trophic Soya Líquido</t>
  </si>
  <si>
    <t>2020 - Linha Trophic Soya Pó</t>
  </si>
  <si>
    <t>2018 - Trophic Júnior 1.5 Líq</t>
  </si>
  <si>
    <t>INOV00018</t>
  </si>
  <si>
    <t>2021 - Energyzip Pó</t>
  </si>
  <si>
    <t>INOV00019</t>
  </si>
  <si>
    <t>2022 - Peptimax Júnior</t>
  </si>
  <si>
    <t>INOV00020</t>
  </si>
  <si>
    <t>2022 - Sobremesa</t>
  </si>
  <si>
    <t>2021 - Pesquisa Clínica - Instanth Neo</t>
  </si>
  <si>
    <t>2021 - Pesquisa Clínica - Diamax IG</t>
  </si>
  <si>
    <t>2021 - Estudo de Caso</t>
  </si>
  <si>
    <t>2022 - Tetra Pak SF</t>
  </si>
  <si>
    <t>INOV00025</t>
  </si>
  <si>
    <t>2022 - Projeto Hydra</t>
  </si>
  <si>
    <t>INOV00026</t>
  </si>
  <si>
    <t>2022 - Projeto Pesquisa Básica</t>
  </si>
  <si>
    <t>2021 - Pesquisa Aplicada - Resultados P&amp;D</t>
  </si>
  <si>
    <t>INOV00028</t>
  </si>
  <si>
    <t>2021 - Pesquisa Clínica - Hdmax</t>
  </si>
  <si>
    <t>INOV00029</t>
  </si>
  <si>
    <t>2021 - Trophic Dose Única</t>
  </si>
  <si>
    <t>INOV00030</t>
  </si>
  <si>
    <t>2021 - Energyzip Sênior</t>
  </si>
  <si>
    <t>2022 - Spray dryer</t>
  </si>
  <si>
    <t>INOV00032</t>
  </si>
  <si>
    <t>2022 - NADA-KSA</t>
  </si>
  <si>
    <t>INOV00033</t>
  </si>
  <si>
    <t>2023 - PESQUISA CLÍNICA - CARBOCH</t>
  </si>
  <si>
    <t>2023 - PESQUISA CLÍNICA - CICATRIZAÇÃO</t>
  </si>
  <si>
    <t>2023 - PESQUISA APLICADA - ARTESANAL</t>
  </si>
  <si>
    <t>2023 - PESQUISA CLÍNICA - IMMAX</t>
  </si>
  <si>
    <t>2023 - PESQUISA CLÍNICA - PEPTIMAX</t>
  </si>
  <si>
    <t>2023 - PESQUISA ÍNDICE GLICÊMICO - DIAMAX IN / SF UTI</t>
  </si>
  <si>
    <t>2023 – SUSTENLAC</t>
  </si>
  <si>
    <t>2023 - PROTEÍNA LÍQUIDA</t>
  </si>
  <si>
    <t>2023 - PROTEINPT WHEY LATA</t>
  </si>
  <si>
    <t>INOV00042</t>
  </si>
  <si>
    <t>2023 - HDMAX CONSERVADOR</t>
  </si>
  <si>
    <t>INOV00043</t>
  </si>
  <si>
    <t>2023 - MIXME MS+PIRAMAL</t>
  </si>
  <si>
    <t>INOV00044</t>
  </si>
  <si>
    <t>2023 - PROJETOS PREMIX IN HOUSE</t>
  </si>
  <si>
    <t>INOV00045</t>
  </si>
  <si>
    <t>2023 - PEPTIMAX IBD</t>
  </si>
  <si>
    <r>
      <rPr>
        <rFont val="Source Sans Pro"/>
        <color rgb="FF666666"/>
        <sz val="10.0"/>
      </rPr>
      <t xml:space="preserve">Formulário de PD&amp;I - </t>
    </r>
    <r>
      <rPr>
        <rFont val="Source Sans Pro"/>
        <b/>
        <color rgb="FF666666"/>
        <sz val="10.0"/>
      </rPr>
      <t>Ano2023</t>
    </r>
  </si>
  <si>
    <t>Treinamento</t>
  </si>
  <si>
    <t>Pesquisa</t>
  </si>
  <si>
    <t>→ Estudo, pesquisa, prospecção, contato com fornecedor, etc.</t>
  </si>
  <si>
    <t>→ Análise, Teste, Formulação, etc.</t>
  </si>
  <si>
    <t>Atividades de Pesquisa, Desenvolvimento e Inovação</t>
  </si>
  <si>
    <t>Gestão e outros</t>
  </si>
  <si>
    <t>→ Contagem, reunião diretoria, controles financeiros, etc.</t>
  </si>
  <si>
    <t>RowID</t>
  </si>
  <si>
    <t>Projeto 1</t>
  </si>
  <si>
    <t>Etapa</t>
  </si>
  <si>
    <t>Colaborador</t>
  </si>
  <si>
    <t>Data</t>
  </si>
  <si>
    <t>Tempo(h)</t>
  </si>
  <si>
    <t>Classificação PRODIET</t>
  </si>
  <si>
    <t>Classificação MCBENNER</t>
  </si>
  <si>
    <t>Descrição da atividade e observações</t>
  </si>
  <si>
    <t>Revisão McBenner</t>
  </si>
  <si>
    <t>Custo</t>
  </si>
  <si>
    <t>Atividade incentiv.</t>
  </si>
  <si>
    <t>Projeto incentiv.</t>
  </si>
  <si>
    <t>Alinhamento de atividades para testes latco(bags, cestos, tubulações)</t>
  </si>
  <si>
    <t>Análise tecnica dos estudos finais de estabilidade</t>
  </si>
  <si>
    <t>Construção de processos para Marca Própria</t>
  </si>
  <si>
    <t>Estudo de plantas pilotos</t>
  </si>
  <si>
    <t>Composição de respaldo para NHcF</t>
  </si>
  <si>
    <t>Análises do EE final e aminograma</t>
  </si>
  <si>
    <t>Estudo e análise do briefing</t>
  </si>
  <si>
    <t>Degustação para definição das caracteristicas sensorial</t>
  </si>
  <si>
    <t>discussão de protocolo UFRN</t>
  </si>
  <si>
    <t>fechamento do tema NHcF</t>
  </si>
  <si>
    <t>Conhecendo possibilidades de bicos</t>
  </si>
  <si>
    <t>Definindo IN e porção</t>
  </si>
  <si>
    <t>Definição dos testes na Embrapa</t>
  </si>
  <si>
    <t>Receitas para testar o ARTS</t>
  </si>
  <si>
    <t>Construção da arquiteura de MP</t>
  </si>
  <si>
    <t>Análise de resultados preliminares</t>
  </si>
  <si>
    <t>definição do layout do sache a vácuo</t>
  </si>
  <si>
    <t>Alinhamento semanal</t>
  </si>
  <si>
    <t>Resultados preliminares dos testes feitos</t>
  </si>
  <si>
    <t>resultados Spray Dryer e SiO2</t>
  </si>
  <si>
    <t>Business case</t>
  </si>
  <si>
    <t>Discussào de todos os resultados obtidos</t>
  </si>
  <si>
    <t>Rounds para composição nutricional da formula</t>
  </si>
  <si>
    <t>Pesquisa básica para desenvolvimento de protocolo de pesquisa clínica</t>
  </si>
  <si>
    <t>Pesquisa básica para desenvolvimento de novo produto</t>
  </si>
  <si>
    <t>Pesquisa básica para desenvolvimento de protocolo de estudo de caso</t>
  </si>
  <si>
    <t>Pesquisa básica para produção de material cientifico</t>
  </si>
  <si>
    <t>Pesquisa básica para escrita de artigo cientifico</t>
  </si>
  <si>
    <t>Pesquisa básica para definição de protocolo de Relato de caso</t>
  </si>
  <si>
    <t>Escrita de artigo cientifico</t>
  </si>
  <si>
    <t>Pesquisa básica para elaboração de material científico</t>
  </si>
  <si>
    <t>Pesquisa básica para elaboração de respaldo científico</t>
  </si>
  <si>
    <t>Pesquisa básica para desenvolvimento de protocolo de relato de caso</t>
  </si>
  <si>
    <t>Pesquisa básica para análise de resultados de pesquisa clínica</t>
  </si>
  <si>
    <t>Avaliação informação nutricional em relação ao atendimento do target</t>
  </si>
  <si>
    <t>Reserva de hospedagem visita técnica fornecedor IFF</t>
  </si>
  <si>
    <t>Avaliação especificação técnica Dióxido de Silício</t>
  </si>
  <si>
    <t>Apresentação status projetos equipe de P&amp;D</t>
  </si>
  <si>
    <t>Avaliação resultados análise base do produto para investigação contribuição de B1</t>
  </si>
  <si>
    <t>Homologação e solicitação de amostra do mix de vitaminas e minerais DSM para teste industrial para aprovação final</t>
  </si>
  <si>
    <t>Investigação contribuição vitamina B1 junto aos fornecedores de aroma e corante</t>
  </si>
  <si>
    <t>Definição de etapas, atribuição de atividades demais setores, cronograma envio de materiais para teste piloto</t>
  </si>
  <si>
    <t>Inscrição curso Inovação em Pesquisa e Desenvolvimento de Alimentos FoodTech</t>
  </si>
  <si>
    <t>Cálculo de custo da fórmula com mix alternativo DSM</t>
  </si>
  <si>
    <t>Simulações de produtos e investimento em plantas piloto</t>
  </si>
  <si>
    <t>Cadastro mixes software</t>
  </si>
  <si>
    <t>Separação materiais para envio teste piloto Doremus</t>
  </si>
  <si>
    <t>Teste de bancada (avaliação prática) estabilidade fórmula para definição de estabilizantes e dosagens</t>
  </si>
  <si>
    <t>Discussão opções de MP para alteração de fonte proteica láctea</t>
  </si>
  <si>
    <t>Acompanhamento desenvolvimento do projeto junto com o Científico</t>
  </si>
  <si>
    <t>Cálculo custo matérias primas para teste piloto Doremus</t>
  </si>
  <si>
    <t>Mitura matérias primas líquidas para envio teste piloto Doremus</t>
  </si>
  <si>
    <t>Discussão opção de mix e dosagem do PA para atendimento fórmula Suplemento Alimentar</t>
  </si>
  <si>
    <t>Apresentação receitas para aplicação e teste de administração via sonda</t>
  </si>
  <si>
    <t>Discussão com fornecedor de aroma sobre contribuição de vitamina B1</t>
  </si>
  <si>
    <t>Alinhamento P&amp;D e AR status projetos</t>
  </si>
  <si>
    <t>Discussão informação nutricional versus dosagem do produto</t>
  </si>
  <si>
    <t>Teste piloto Doremus</t>
  </si>
  <si>
    <t>Apresentação IFF proposta fórmula para redução de custo</t>
  </si>
  <si>
    <t>Discussão técnica com Mauá sobre planta pilotos como parceiro para testes</t>
  </si>
  <si>
    <t>Cálculo e avaliação informação nutricional versus dosagem 1.0 e 1.2kcal do produto</t>
  </si>
  <si>
    <t>Envio análise de macronutrientes - teste spray dryer</t>
  </si>
  <si>
    <t>Avaliação de sabor e odor, substituição por aromas leite e pó e baunilha Takasago</t>
  </si>
  <si>
    <t>Teste piloto validação aroma</t>
  </si>
  <si>
    <t>Preenchimento RDV</t>
  </si>
  <si>
    <t>Elaboração cronograma de desenvolvimento do produto</t>
  </si>
  <si>
    <t>Avaliação informação nutricional versus dosagem 1.0 e 1.2kcal do produto</t>
  </si>
  <si>
    <t>Preparo de amostras para avaliação de sabor e odor</t>
  </si>
  <si>
    <t>Discussão fonte proteica, fatores antinutricionais e aplicação em receita</t>
  </si>
  <si>
    <t>Avaliação informação nutricional e determinação da dose diária de consumo</t>
  </si>
  <si>
    <t>Alinhamentos status projetos P&amp;D e AR</t>
  </si>
  <si>
    <t>Definição de Claims</t>
  </si>
  <si>
    <t>Aplicação em Trophic Basic Enteral</t>
  </si>
  <si>
    <t>Aplicação em Trophic Fiber</t>
  </si>
  <si>
    <t>Alinhamentos status projetos CI primeiro triemestre</t>
  </si>
  <si>
    <t>Alinhamento alteração de fórmula outros setores</t>
  </si>
  <si>
    <t>Elaboração apresentação proposta fórmula dose mix + dose de consumo</t>
  </si>
  <si>
    <t>Apresentação proposta fórmula dose mix + dose de consumo para Gerência</t>
  </si>
  <si>
    <t>Apresentação proposta fórmula dose mix + dose de consumo para Científico e  AR</t>
  </si>
  <si>
    <t>Envio base Duas Rodas para desenvolvimento aroma de chocolate</t>
  </si>
  <si>
    <t>Envio Base Doremus para desenvolvimento aroma de chocolate</t>
  </si>
  <si>
    <t>Avaliação de diluição, sabor, odor, administraçã amostra spray dryer, aplicação em T. Basic Enteral</t>
  </si>
  <si>
    <t>Avaliação de diluição, sabor, odor, administração amostra spray dryer, aplicação em T. Fiber</t>
  </si>
  <si>
    <t>Preparo para envio avaliação diretoria amostra aplicação Spray Dryer e Sio2</t>
  </si>
  <si>
    <t>Discussão técnica com o Comercial sobre alteração de dose de consumo</t>
  </si>
  <si>
    <t>Envio base IFF para testes adicionais de desenvolvimento de proposta de fórmula com redução de custo</t>
  </si>
  <si>
    <t>Envio base IFF para desenvolvimento de aroma chococlate</t>
  </si>
  <si>
    <t>Teste de Administração gravitacional em fórmula sem carragena e lecitina</t>
  </si>
  <si>
    <t>Elaboração apresentação com resultados dos testes de diluição, custo, propostas à Diretoria Técnica, Industrial e CEO</t>
  </si>
  <si>
    <t>Apresentação à Gerência e ajustes no arquivo de apresentação Diretoria Técnica, Industrial e CEO )</t>
  </si>
  <si>
    <t>Apresentação à Diretoria Técnica</t>
  </si>
  <si>
    <t>Apresentação à Diretoria Industrial e CEO</t>
  </si>
  <si>
    <t>Avaliação de Administração Gravitacional sem carragena e lecitina com Gerência P&amp;D</t>
  </si>
  <si>
    <t>Avaliação de sabor e odor com alteração de aroma leite condensado com Gerência P&amp;D</t>
  </si>
  <si>
    <t>Alinhamento status desenvolvimento do porjeto com Científico</t>
  </si>
  <si>
    <t>Aplicação e avaliação de sabor e odor com aroma leite condensado Synergy</t>
  </si>
  <si>
    <t>Criação de fórmulas chocolate e morango no software de desenvolvimento de produto</t>
  </si>
  <si>
    <t>Avaliação de custo para definição de fórmula variando4 fonte fibras e mix de vitaminas e minerais</t>
  </si>
  <si>
    <t>Desenvolvimento de novo produto - avaliação de viabilidade de matérias primas e desenho nutricional</t>
  </si>
  <si>
    <t>Desenvolvimento de protocolo de estudo de pesquisa clínica</t>
  </si>
  <si>
    <t>Alinhamento de desenvolvimento de pesquisa clínica</t>
  </si>
  <si>
    <t>Alinhamento de desenvolvimento de estudo de caso com profissionais</t>
  </si>
  <si>
    <t>Desenvolvimento de protocolo de estudo de pesquisa de aplicação</t>
  </si>
  <si>
    <t>Prospecção de pesquisa sobre cicatrização</t>
  </si>
  <si>
    <t>Estudo de caso com produto HDmax + DiamaxIG</t>
  </si>
  <si>
    <t>Estudo de caso com produto Energyzip Senior</t>
  </si>
  <si>
    <t>pesquisa básica nutriente HMO</t>
  </si>
  <si>
    <t>pesquisa básica estudo Instanth Neo ASPEN</t>
  </si>
  <si>
    <t>pesquisa básica estudo Instanth Neo</t>
  </si>
  <si>
    <t>protocolo teste clínico tetra pack SF</t>
  </si>
  <si>
    <t>pesquisa básica protocolo para pesquisa clínica</t>
  </si>
  <si>
    <t>acompanhamento pesquisa clínica</t>
  </si>
  <si>
    <t>pesquisa básica HMO</t>
  </si>
  <si>
    <t>avaliação sensorial</t>
  </si>
  <si>
    <t>pesquisa básica protocolo fosfatidilseria na nutrição enteral</t>
  </si>
  <si>
    <t>pesquisa básica estudos de caso 2023</t>
  </si>
  <si>
    <t>pesquisa básica respaldo biotina NHcF</t>
  </si>
  <si>
    <t>pesquisa básica protocolo para pesquisa aplicada</t>
  </si>
  <si>
    <t>análise formulação</t>
  </si>
  <si>
    <t>pesquisa básica comunicação produto</t>
  </si>
  <si>
    <t>pesquisa básica sobre biotina</t>
  </si>
  <si>
    <t>Pesquisa básica formulação - albumina</t>
  </si>
  <si>
    <t>Pesquisa básica formulação</t>
  </si>
  <si>
    <t>pesquisa básica protocolo relato de caso - fibrose cística</t>
  </si>
  <si>
    <t>pesquisa básica sobre protocolo pesquisa de aplicação</t>
  </si>
  <si>
    <t>Pesquisa básica formulação - Medtrition</t>
  </si>
  <si>
    <t>pesquisa clínica - discussão resultados parciais</t>
  </si>
  <si>
    <t>pesquisa básica protocolo relato de caso - trophic infant</t>
  </si>
  <si>
    <t>pesquisa básica protocolo para pesquisa clínica - pancreatite</t>
  </si>
  <si>
    <t>Avaliação de resultados obtidos para T6A</t>
  </si>
  <si>
    <t>Atualização de planilhas de acompanhamento de resultados</t>
  </si>
  <si>
    <t>Elaboração de previsão estatística para comportamento do produto</t>
  </si>
  <si>
    <t>Discussão sobre target nutricional do produto, para modificação da formulação</t>
  </si>
  <si>
    <t>Conferência de NF de análise e transposte, e envio para pagamento</t>
  </si>
  <si>
    <t>Contato com Mcassab para avaliação de atualizações na investigação sobre vitamina B1</t>
  </si>
  <si>
    <t>Modificação de níveis de pré-mix na formulação, para atendimento ao target nutricional do produto</t>
  </si>
  <si>
    <t>Avaliação de proposta comercial de análise para PL</t>
  </si>
  <si>
    <t>Elaboração de solicitação de análise, considerando nova proposta comercial</t>
  </si>
  <si>
    <t>Elaboração de IN para dieta NHcF</t>
  </si>
  <si>
    <t>Elaboração de solicitação de análise para T9LD do Trophic Soya 1.5</t>
  </si>
  <si>
    <t>Pesquisa bibliográfica para determinação de agente protetor da vitamina C</t>
  </si>
  <si>
    <t>Apresentação dos resultados do EE da dieta NHcF para gerência</t>
  </si>
  <si>
    <t>Apresentação dos resultados do EE da dieta NHcF para diretoria e avaliação das possibilidades de registro</t>
  </si>
  <si>
    <t>Cálculo para determinação da quantidade adequada de ácido cítrico e ácido ascórbico na produto Trophic Soya 1.5 Fiber</t>
  </si>
  <si>
    <t>Discussão técnica com gerência sobre possibilidades para novos testes</t>
  </si>
  <si>
    <t>Contato com comprador para solicitação de amostras de ácido cítrico e citrato de sódio</t>
  </si>
  <si>
    <t>Revisão de fórmulas para reformulação de pré-mix de vitaminas e envio de documentação para fornecedor.</t>
  </si>
  <si>
    <t>Avaliação das conclusões sobre investigação sobre Vitamina B1</t>
  </si>
  <si>
    <t>Atualização de resultados de análise para T6LD das dietas HH e HN</t>
  </si>
  <si>
    <t>Aceite de serviço de análise</t>
  </si>
  <si>
    <t>Follow up de resultados em atraso.</t>
  </si>
  <si>
    <t>Conferência de NF de análise e questionamento ao laboratório devido à valores divergentes</t>
  </si>
  <si>
    <t>Avaliação de metodologia de referência para determinação de macronutrientes x metodologia utilizada pela Prodiet</t>
  </si>
  <si>
    <t>Envio de NF de análise para pagamento</t>
  </si>
  <si>
    <t>Avaliação de resultados obtidos para teste DAUS</t>
  </si>
  <si>
    <t>Organização de dados e início de elaboração de análise estatística para registro da dieta NHcF</t>
  </si>
  <si>
    <t>Discussão técnica sobre possibildiades de alteração do aroma do produto.</t>
  </si>
  <si>
    <t>Conferência e envio de NF de análise para pagamento</t>
  </si>
  <si>
    <t>Contato com laboratório para avaliação de diferentes métodos para determinação de Vitamina C</t>
  </si>
  <si>
    <t>Avaliação de incertezas de análise reais para vitaminas, para elaboração de gráficos para relatório de EE</t>
  </si>
  <si>
    <t>Discussão técnica com gerência sobre resultados obtidos</t>
  </si>
  <si>
    <t>Avaliação de incertezas de análise reais para minerais, para elaboração de gráficos para relatório de EE</t>
  </si>
  <si>
    <t>Envio de NF de cobrança para remessa de material necessário para início da pesquisa.</t>
  </si>
  <si>
    <t>Discussão com científico sobre IN da dieta NHcF</t>
  </si>
  <si>
    <t>Avaliação de resultados de PL.</t>
  </si>
  <si>
    <t>Envio de NF de cobrança de remessa de amostras para análise</t>
  </si>
  <si>
    <t>Elaboração de arquivo de ET para dieta NHcF</t>
  </si>
  <si>
    <t>Revisão de declaração de composição de pré-mixes</t>
  </si>
  <si>
    <t>Follouw up de documentação para desenvolvimento do pré-mix</t>
  </si>
  <si>
    <t>Avaliação da inclusão de ácido cítrico em teste piloto</t>
  </si>
  <si>
    <t>Inclusão de pré-mix no centric e simulações de formulação, com avaliação estatística.</t>
  </si>
  <si>
    <t>Follow up para previsão de recebimento de amostras de ácido cítrico e ácido ascórbico</t>
  </si>
  <si>
    <t>Avaliação de EE recentes, para determinação de comportamento de vitaminas em produtos pó</t>
  </si>
  <si>
    <t>Atualização de resutlados de macronutrientes para retort HH, HN e HNcF</t>
  </si>
  <si>
    <t>Recebimento de resultados de T9LD para Trophic Soya 1.5 e atualização de planilha EEALD</t>
  </si>
  <si>
    <t>Elaboração de templeta e especificação centric do ácido cítrico, para inclusão de ácido cítrico na formulação do retort UTI</t>
  </si>
  <si>
    <t>Alteração de fórmula do retort UTI, para inclusão de ácido cítrico e elaboração de tendência de resultados.</t>
  </si>
  <si>
    <t>Avaliação dos resultados de PL para T6A das dietas HH, HN e HNcF</t>
  </si>
  <si>
    <t>Avaliação do resutlado de PL para T9LD do Trophic Soya 1.5</t>
  </si>
  <si>
    <t>Elaboração de gráficos para relatório de EE, como parte do dossiê de registro do produto NHcF</t>
  </si>
  <si>
    <t>Levantamento de laudos de nutrientes pendentes para compor dossiê de registro do produto NHcF</t>
  </si>
  <si>
    <t>Levantamento de laudos necessários para registro do produto NHcF</t>
  </si>
  <si>
    <t>Levantamento de dados para elaboração de tendência de comportamento</t>
  </si>
  <si>
    <t>Avaliação dos resultados de reanálise para PL de T6A e T6LD</t>
  </si>
  <si>
    <t>Levantamento de dados para elaboração de tendência de comportamento, considerando novos estudos</t>
  </si>
  <si>
    <t>Avaliação de FT de ácido ascórbico e solicitação de amostra</t>
  </si>
  <si>
    <t>Recebimento de laudo de PL para T6A das dietas HH, HN e HNcF e atualização de planilha de análise</t>
  </si>
  <si>
    <t>Recebimento de laudo de PL para T6A  e atualização de planilha de análise</t>
  </si>
  <si>
    <t>Recebimento de laudo de PL para T9LD e atualização de planilha de análise</t>
  </si>
  <si>
    <t>Envio de NF para pagamento</t>
  </si>
  <si>
    <t>Pesquisa bibliográfica sobre barreiras proporcionadas por diferentes tipos de material de embalagem</t>
  </si>
  <si>
    <t>Aceite de ordem de serivço para análise de PL e atualização de planilha de controle de análise</t>
  </si>
  <si>
    <t>Encerramento da investigação sobre vitamina B1, com fornecedor Mcassab</t>
  </si>
  <si>
    <t>Discussão técnica sobre condução de estudo de estabilidade pela Universidade de Erechim</t>
  </si>
  <si>
    <t>Discussão técnica sobre resultados de perfil lipidico e impacto de amostras para pesquisa</t>
  </si>
  <si>
    <t>Avaliação de documentação para pré-mix de vitaminas</t>
  </si>
  <si>
    <t>Avaliação de possível fornecedor de vitamina B1 encapsulada</t>
  </si>
  <si>
    <t>Contato com fornecedor sobre diluentes utilizados no pré-mix</t>
  </si>
  <si>
    <t>Avaliação de tendência para elaboração de</t>
  </si>
  <si>
    <t>Avaliação de ômega 6 em óleo de canola, para desenvolvimento de MP</t>
  </si>
  <si>
    <t>Avaliação de tendência para elaboração para fórmula frutas amarelas</t>
  </si>
  <si>
    <t>Avaliação de tendência para elaboração para fórmula frutas vermelhas</t>
  </si>
  <si>
    <t>Avaliação de tendência para elaboração para fórmula guaraná</t>
  </si>
  <si>
    <t>Avaliação de tendência para elaboração para fórmula abacaxi com hortelã</t>
  </si>
  <si>
    <t>Folow up sobre status do desenvolvimento do pré-mix de vitamina</t>
  </si>
  <si>
    <t>Avaliação de estrutras de material de embalagem e pesquisa bibliográfica</t>
  </si>
  <si>
    <t>Avaliação de requisitos para início de estudo no produto Trophic Fiber</t>
  </si>
  <si>
    <t>Elaboração de gráficos e avaliação estatística para relatório de EE, como parte do dossiê de registro do produto NHcF</t>
  </si>
  <si>
    <t>Avaliação de ficha técnica de pré-mix e envio de solicitação de ajuste</t>
  </si>
  <si>
    <t>Avaliação de laudos de fontes de nutrientes necessários para registro do produto NHcF</t>
  </si>
  <si>
    <t>Revisão do material escrito até o momento para registro do produto NHcF</t>
  </si>
  <si>
    <t>Discussão com a equipa sobre estratégia para teste piloto e revisão de cálculos para adição de vitamina C isolada</t>
  </si>
  <si>
    <t>Avaliação dos resultados obtidos para T6A HH, HN e HNcF e atualização de planilhas</t>
  </si>
  <si>
    <t>Avaliação de resultados de vitaminas, minerais e macronutrientes para dietas HNcF e HN e avaliação de possibilidade de EE reduzido</t>
  </si>
  <si>
    <t>Avaliação de resultados em estudo de estabilidade tempo final (dieta NHcF)</t>
  </si>
  <si>
    <t>Prospeção de copacker e embalagem</t>
  </si>
  <si>
    <t>Avaliação de resultados em estudo de estabilidade e avaliação de ajustes em mix de vitaminas</t>
  </si>
  <si>
    <t>Elaboração de check list para aprovação de novas matérias-primas</t>
  </si>
  <si>
    <t>Simulações de produto e levantamento de investimento em plantas pilotos</t>
  </si>
  <si>
    <t>Discutir estratégia de dossiê para relatório cientifio</t>
  </si>
  <si>
    <t>Apresentar nova forma de compartilhar amnograma com a equipe via Centric</t>
  </si>
  <si>
    <t>Discutir estratégia para evitar crise de falta de colina no mercado</t>
  </si>
  <si>
    <t>Alinhamento semanal de projeto entre os departamentos</t>
  </si>
  <si>
    <t>Benchmark de produto</t>
  </si>
  <si>
    <t>Discussão de estratégia com cliente</t>
  </si>
  <si>
    <t>Sensorial de teste de bancada</t>
  </si>
  <si>
    <t>Apresentação de status para diretoria</t>
  </si>
  <si>
    <t>Alinhamento de status do projeto com pesquisadora</t>
  </si>
  <si>
    <t>Alinhamento para visita internacional à fornecedor</t>
  </si>
  <si>
    <t>Apresentação de status de regulamentação de produto para diretoria</t>
  </si>
  <si>
    <t>Alinhamento de status do projeto com pesquisador</t>
  </si>
  <si>
    <t>Avaliação de amostras com fornecedor de aroma</t>
  </si>
  <si>
    <t>Avaliação de resultados de teste piloto planta DAUS</t>
  </si>
  <si>
    <t>Apresentação pela diretoria das etapas do projeto</t>
  </si>
  <si>
    <t>Reunião mensal para atualização de status de projetos</t>
  </si>
  <si>
    <t>Avaliação de dizeres de rotulagem e estrtégia de divulgação</t>
  </si>
  <si>
    <t>Teste piloto - planta Doremus</t>
  </si>
  <si>
    <t>Avaliação de sugestão de melhoria no fornecedor IFF</t>
  </si>
  <si>
    <t>Reunião com fornecedor DSM para definir ajustes de premix</t>
  </si>
  <si>
    <t>Treinamento com as pesquisadoras do projeto Preop da Universidade de Erechim/RS</t>
  </si>
  <si>
    <t>Alinhamento com pesquisadora para próximos passos</t>
  </si>
  <si>
    <t>Visita à BioEdTeck para prospecção de inovação</t>
  </si>
  <si>
    <t>Apresentação de estratégias de marketing para definição de marcas</t>
  </si>
  <si>
    <t>Apresentação de primeiros resultados com aplicação de SiO2</t>
  </si>
  <si>
    <t>Start up Projeto DAUS Prodiet</t>
  </si>
  <si>
    <t>Avaliação de ajustes de desenvolvimento</t>
  </si>
  <si>
    <t>Avalaição de resultados obtidos em estudo de estabilidade</t>
  </si>
  <si>
    <t>Avaliação de fórmulas teóricas para levar ao teste piloto Embrapa</t>
  </si>
  <si>
    <t>Pesquisa de fornecedor de software de gestão de projetos</t>
  </si>
  <si>
    <t>Treinamento com fornecedor Alibra para convenção interna</t>
  </si>
  <si>
    <t>Reunião trimestral para atualização de status de projetos</t>
  </si>
  <si>
    <t>Pesquisa de arquitetura de marcas Prodiet</t>
  </si>
  <si>
    <t>Treinamento de mini curso</t>
  </si>
  <si>
    <t>Apresentação de possiveis layouts para embalagem à vácuo</t>
  </si>
  <si>
    <t>Avalaição de ajustes em formulação</t>
  </si>
  <si>
    <t>Participação em gurpo de trabalho de Nutrição Infantil</t>
  </si>
  <si>
    <t>Continuação de avalaição de ajustes em formulação</t>
  </si>
  <si>
    <t>Como elaborar dossiê de estudo de estabilidade para solicitação de registro</t>
  </si>
  <si>
    <t>Orientação para visitas à fábrica</t>
  </si>
  <si>
    <t>Idealização de cronograma de liberação de artes</t>
  </si>
  <si>
    <t>Sustenlac S.A. - Apresentação para definir declaração de porção</t>
  </si>
  <si>
    <t>Participação em gurpo de trabalho de Rotulagem</t>
  </si>
  <si>
    <t>Elaborar documento para grupo de trabalho de Nutrição Enteral</t>
  </si>
  <si>
    <t>Avaliar documento elaborado por consultoria do grupo de trabalho de nutrição enteral</t>
  </si>
  <si>
    <t>Orcamento com empresas especializadas em documentação MAPA</t>
  </si>
  <si>
    <t>Apresentação prévia de resultados obtidos nos testes</t>
  </si>
  <si>
    <t>Busca por solução quanto ao aminograma junto com fornecedor IFF</t>
  </si>
  <si>
    <t>Apresentação de resultados obtidos nos testes</t>
  </si>
  <si>
    <t>Alinhamento para produção em novo co-packer DAUS</t>
  </si>
  <si>
    <t>Ajuste em formulação</t>
  </si>
  <si>
    <t>Ajuste em especificação técnica para produção DAUS</t>
  </si>
  <si>
    <t>Avaliar possibilidades para extensão de shelf life</t>
  </si>
  <si>
    <t>Apresentação de possibilidades para extensão de shelf life</t>
  </si>
  <si>
    <t>Avaliar resultados obtivos em estudo de estabilidade</t>
  </si>
  <si>
    <t>Verificação novas MP's + contato fornecedores</t>
  </si>
  <si>
    <t>Trâmites fiscais - direcional NF's</t>
  </si>
  <si>
    <t>Avaliação novas MP's x fórmula</t>
  </si>
  <si>
    <t>Planejamento instalação autoclave</t>
  </si>
  <si>
    <t>Envio bobina para teste Erechim</t>
  </si>
  <si>
    <t>Atualizações sistema</t>
  </si>
  <si>
    <t>Alinhamento testes Latco - novos pouches / instalação equipamentos / melhorias envasadora</t>
  </si>
  <si>
    <t>Planejamento teste Embrapa + contato Embrapa + avaliação melhorias fórmula UTI + alinhamento registro novo produto NHcF</t>
  </si>
  <si>
    <t>Verificação e análise resultados perfil lipídico</t>
  </si>
  <si>
    <t>Ajustes formulação UTI + Planejamento teste Embrapa + avaliação novo pouch teste autoclave (fabricação bandejas)</t>
  </si>
  <si>
    <t>Elaboração especificações novas MP's + contato fornecedores</t>
  </si>
  <si>
    <t>Elaboração especificações novas MP's</t>
  </si>
  <si>
    <t>Levantamento testes repetidos</t>
  </si>
  <si>
    <t>Planejamento teste Embrapa + avaliação resultados último teste</t>
  </si>
  <si>
    <t>Planejamento teste Embrapa + avaliação resultados último teste + estudo nova formulação UTI</t>
  </si>
  <si>
    <t>Estudo formulação proteínas líquidas</t>
  </si>
  <si>
    <t>Estudo formulação proteínas líquidas + planejamento teste Embrapa + pesagem MP's teste Embrapa</t>
  </si>
  <si>
    <t>Inserção novas especificações Centric + contato fornecedores</t>
  </si>
  <si>
    <t>Definições teste Latco - instalação autoclave / envasadora + teste novos pouches</t>
  </si>
  <si>
    <t>Realização análises FQ T6A - dietas HH / HN / HNcF</t>
  </si>
  <si>
    <t>Atualização cronograma</t>
  </si>
  <si>
    <t>Avaliação resultados análises FQ</t>
  </si>
  <si>
    <t>Solicitação atualização simulador custos + planejamento teste Embrapa</t>
  </si>
  <si>
    <t>Inserção novas especificações Centric + fórmula sorvete</t>
  </si>
  <si>
    <t>Atualizações SP novo pouch</t>
  </si>
  <si>
    <t>Envio PA para análise externa</t>
  </si>
  <si>
    <t>Envio PA para análise externa + avaliação e alinhamento chegada novos equipamentos</t>
  </si>
  <si>
    <t>Estudo nova formulação UTI</t>
  </si>
  <si>
    <t>Contato fornecedores + avaliação fórmulação</t>
  </si>
  <si>
    <t>Apresentação visita DSM - novas MP's</t>
  </si>
  <si>
    <t>Verificação novos equipamentos</t>
  </si>
  <si>
    <t>Vaidação documento embalagem para novo fornecedor</t>
  </si>
  <si>
    <t>Pesquisa possíveis plantas piloto</t>
  </si>
  <si>
    <t>Estudo nova formulação UTI + pesagem MP's</t>
  </si>
  <si>
    <t>Estudo nova formulação UTI + elaboração fórmula</t>
  </si>
  <si>
    <t>Avaliação resultados NHcF para registro</t>
  </si>
  <si>
    <t>Exploração opções rotulagem / embalagem secundária</t>
  </si>
  <si>
    <t>Estudo nova formulação UTI + ajustes fórmula</t>
  </si>
  <si>
    <t>Exploração novos parceiros sorvete</t>
  </si>
  <si>
    <t>Contato fornecedores novas MP's</t>
  </si>
  <si>
    <t>Verificação MP's teste Embrapa + contato Embrapa</t>
  </si>
  <si>
    <t>Realização análises FQ T6A</t>
  </si>
  <si>
    <t>Contato fornecedores novas MP's + planejamento teste Embrapa + avaliação novo w-3</t>
  </si>
  <si>
    <t>Consulta custo visita fornecedor embalagem inovadora + contato fornecedor</t>
  </si>
  <si>
    <t>Pesagem MP's teste Embrapa + avaliação nova fórmula UTI + planejamento teste Embrapa</t>
  </si>
  <si>
    <t>Exploração novo pouch + contato fornecedor</t>
  </si>
  <si>
    <t>Pesquisa possíveis plantas piloto + consulta fornecedor gel proteína</t>
  </si>
  <si>
    <t>Elaboração especificação novo pouch</t>
  </si>
  <si>
    <t>Estudo proteínas líquidas</t>
  </si>
  <si>
    <t>Trâmites logísticos deslocamento teste Embrapa</t>
  </si>
  <si>
    <t>Planejamento teste Embrapa</t>
  </si>
  <si>
    <t>Discussão técnica junto ao mkt</t>
  </si>
  <si>
    <t>Contato fornecedor novas MP's</t>
  </si>
  <si>
    <t>Contato fornecedor pouch - novas dimensões</t>
  </si>
  <si>
    <t>Contato fornecedor pouch - exploração diferentes barreiras</t>
  </si>
  <si>
    <t>Inserção tarefas teams</t>
  </si>
  <si>
    <t>Planejamento teste Embrapa + contao fornecedores</t>
  </si>
  <si>
    <t>Planejamento teste Embrapa + elaboração fórmula proteínas líquidas</t>
  </si>
  <si>
    <t>Exploração novas opções w-3</t>
  </si>
  <si>
    <t>Contato fornecedor pouch - exploração diferentes barreiras + estudo proteínas líquidas</t>
  </si>
  <si>
    <t>Solicitação atualização simulador custos novas MP's</t>
  </si>
  <si>
    <t>Alinhamento técnico status projeto</t>
  </si>
  <si>
    <t>Envio pouches - confeccção bandejas autoclave</t>
  </si>
  <si>
    <t>Contato fornecedores + planejamento teste Embrapa</t>
  </si>
  <si>
    <t>Avaliação quantidade zinco fórmula</t>
  </si>
  <si>
    <t>Curso embalagens flexíveis</t>
  </si>
  <si>
    <t>Separação MP's teste Embrapa + contato fornecedores</t>
  </si>
  <si>
    <t>Avaliação previsão forecast início vendas</t>
  </si>
  <si>
    <t>Ensaio custos para desenvolvimento de produto</t>
  </si>
  <si>
    <t>Check pesagens teste Embrapa + separação materiais teste Embrapa</t>
  </si>
  <si>
    <t>Curso embalagens flexíveis + elaboração projeto bebidas esportivas</t>
  </si>
  <si>
    <t>TB sorvete</t>
  </si>
  <si>
    <t>Elaboração relatório sorvete</t>
  </si>
  <si>
    <t>Envio produtos análise externa - T9LD</t>
  </si>
  <si>
    <t>Deslocamento teste Embrapa</t>
  </si>
  <si>
    <t>Teste piloto Embrapa - dieta UTI + proteínas líquidas</t>
  </si>
  <si>
    <t>Retorno Curitiba - teste Embrapa</t>
  </si>
  <si>
    <t>Avaliação resultados + elaboração relatório teste Embrapa</t>
  </si>
  <si>
    <t>Relatório teste Embrapa</t>
  </si>
  <si>
    <t>Coordenação retorno materiais teste Embrapa + trâmites ficais RDV</t>
  </si>
  <si>
    <t>Desenvolvimento de ajustes sensoriais de cor</t>
  </si>
  <si>
    <t>Preparo de amostras com ajustes sensoriais</t>
  </si>
  <si>
    <t>BC - Energyzip pó</t>
  </si>
  <si>
    <t>Envio de amostras para análise</t>
  </si>
  <si>
    <t>Análises FQ - Trophic Soya com ajustes de pressão</t>
  </si>
  <si>
    <t>Relatório de projeto</t>
  </si>
  <si>
    <t>Relatório e encaminhamento de observações sobre testes tampa +selo</t>
  </si>
  <si>
    <t>Ajustes sensoriais - testes de coloração e aroma</t>
  </si>
  <si>
    <t>Envio de amostras T9 + Análises FQ e TAP</t>
  </si>
  <si>
    <t>Apresentação, degustação e aprovação de fórmulas finais</t>
  </si>
  <si>
    <t>Testes com novo Aroma de Morango e Troca de Carmim</t>
  </si>
  <si>
    <t>Reunião com fornecedor para novos corantes</t>
  </si>
  <si>
    <t>Aplicação de Bico - FASE 3</t>
  </si>
  <si>
    <t>Reunião com fornecedor para novos ingredientes/MP's</t>
  </si>
  <si>
    <t>Aplicação de Bico, variações de testes, avaliações comparativas - FASE 3</t>
  </si>
  <si>
    <t>Reunião prospecção de Plantas Piloto - Mauá</t>
  </si>
  <si>
    <t>Testes de vedação e administração do produto via Bomba de Infusão - FASE 3</t>
  </si>
  <si>
    <t>Testes de administração via BI - FASE 3</t>
  </si>
  <si>
    <t>Análises FQ após ajustes de pressão de homogeneização</t>
  </si>
  <si>
    <t>Teste UHT de novo corante - Duas Rodas</t>
  </si>
  <si>
    <t>Visita técnica a BioEdTech</t>
  </si>
  <si>
    <t>Aplicação de selos de vedação - FASE 3</t>
  </si>
  <si>
    <t>Atualização de relatório após aplicação de tampas</t>
  </si>
  <si>
    <t>Alinhamento do projeto</t>
  </si>
  <si>
    <t>Aplicação de ácido cítrico ou ascórbico em formulação</t>
  </si>
  <si>
    <t>Reunião com fornecedor Logoplaste sobre embalagens plásticas</t>
  </si>
  <si>
    <t>Aplicação de ácido cítrico em PA</t>
  </si>
  <si>
    <t>Aplicação de bico FASE 3 em bag</t>
  </si>
  <si>
    <t>Visita técnica a CAVAC - Ultrassom</t>
  </si>
  <si>
    <t>Aplicação de ácido cítrico - avaliação de pH</t>
  </si>
  <si>
    <t>Alinhamento de testes com a IFF</t>
  </si>
  <si>
    <t>Alinhamento e agendamento de Testes Piloto</t>
  </si>
  <si>
    <t>Aplicação de corantes diferentes em PA - Avaliação de estabilidade</t>
  </si>
  <si>
    <t>Relatório de visita técnica - BioEdtech</t>
  </si>
  <si>
    <t>Avaliação de custo em aplicação de corantes em PA</t>
  </si>
  <si>
    <t>Testes de aplicação e repetibilidade -FASE1</t>
  </si>
  <si>
    <t>Análise FQ com redução de pressão de homogeneização</t>
  </si>
  <si>
    <t>BC Cicatrização</t>
  </si>
  <si>
    <t>Reunião com IFF sobre testes e alterações de fórmula</t>
  </si>
  <si>
    <t>Ajustes sensorias, troca de aroma e de corante</t>
  </si>
  <si>
    <t>Ajustes sensoriais de aroma mascarante em dois sabores</t>
  </si>
  <si>
    <t>BC Energyzip pó</t>
  </si>
  <si>
    <t>Ajustes sensoriais, adição de sucralose</t>
  </si>
  <si>
    <t>Avaliação de custos de aplicação de corantes e aromas</t>
  </si>
  <si>
    <t>Relatório de alterações de pressão de homogeneização</t>
  </si>
  <si>
    <t>Desenvolvimento de sabor morango</t>
  </si>
  <si>
    <t>Avaliação de formulação de micronutrientes</t>
  </si>
  <si>
    <t>Avaliação de troca de aroma de leite condensado</t>
  </si>
  <si>
    <t>Avaliação de vedação de tampas - FASE 1</t>
  </si>
  <si>
    <t>Pesquisa básica - Levantamento científico sobre novo ingrediente</t>
  </si>
  <si>
    <t>Pesquisa básica - Discussão sobre o levantamento científico sobre novo ingrediente</t>
  </si>
  <si>
    <t>Pesquisa básica - Discussão em equipe sobre o projeto e novas evidências científicas</t>
  </si>
  <si>
    <t>Pesquisa Clínica - Contextualização e apresentação sobre o projeto</t>
  </si>
  <si>
    <t>Análise sensorial do produto</t>
  </si>
  <si>
    <t>Pesquisa Clínica - Levantamento de profissionais para prospecção de relatos de casos e pesquisa</t>
  </si>
  <si>
    <t>Pesquisa Clínica - Prospecção para relato de caso</t>
  </si>
  <si>
    <t>Pesquisa Clínica - Discussão sobre lista de profissionais prospectados e resultados do levantamento de estudos sobre o tema</t>
  </si>
  <si>
    <t>Pesquisa Clínica - Discussão sobre delineamento do estudo</t>
  </si>
  <si>
    <t>Pesquisa clínica - Conversa preliminar para prospecção para relato de caso ou pesquisa clínica</t>
  </si>
  <si>
    <t>Pesquisa básica - Apresentação de resultados de busca sobre pancreatite crônica</t>
  </si>
  <si>
    <t>Pesquisa básica - Busca e leitura de artigos sobre pancreatite crônica - elaboração de síntese dos achados</t>
  </si>
  <si>
    <t>Pesquisa básica - Discussão de cronograma e elaboração de projeto de pesquisa</t>
  </si>
  <si>
    <t>Pesquisa clínica- Visita ao Hospital Pequeno Príncipe para prospecção de relatos de caso</t>
  </si>
  <si>
    <t>Pesquisa básica - Discussão de metodologia para elaboração de protocolo de pesquisa</t>
  </si>
  <si>
    <t>Pesquisa básica - Busca e leitura de artigos sobre desenhos de estudo e consumo alimentar - elaboração de síntese dos achados</t>
  </si>
  <si>
    <t>Pesquisa básica - Definição de proposta de protocolo para pesquisadora</t>
  </si>
  <si>
    <t>Pesquisa básica - Levantamento de referências para elaboração de respaldo - NHcF</t>
  </si>
  <si>
    <t>Pesquisa básica - Elaboração de respaldo - NHcF</t>
  </si>
  <si>
    <t>Pesquisa básica - Revisão e edição de respaldo - NHcF</t>
  </si>
  <si>
    <t>Pesquisa básica - Conferência de receita no Centric - Incio</t>
  </si>
  <si>
    <t>Pesquisa básica - Alinhamento e revisão do Respaldo - NHcF</t>
  </si>
  <si>
    <t>Pesquisa básica - Conferência de receita - Alinhamento e revisão</t>
  </si>
  <si>
    <t>Pesquisa clínica - Elaboração de projeto de pesquisa</t>
  </si>
  <si>
    <t>Pesquisa Clínica - Revisão, edição e alinhamento do projeto com a equipe interna</t>
  </si>
  <si>
    <t>Pesquisa Clínica - Prospecção para ensaio clínico, relato de caso ou série de casos</t>
  </si>
  <si>
    <t>Pesquisa Clínica - Revisão, edição e alinhamento do projeto para submissão ao comitê de ética</t>
  </si>
  <si>
    <t>Pesquisa Clínica - Alinhamento para relato de caso</t>
  </si>
  <si>
    <t>Pesquisa Clínica - Alinhamento sobre densidade calórica da fórmula - Peptimax</t>
  </si>
  <si>
    <t>Pesquisa básica - Levantamento sobre hidrólise de proteína e aplicações clínicas</t>
  </si>
  <si>
    <t>Pesquisa Clínica - Revisão de projeto de pesquisa</t>
  </si>
  <si>
    <t>Pesquisa Clínica - Prospecção para ensaio clínico, relato de caso ou série de casos - UFPA</t>
  </si>
  <si>
    <t>Pesquisa básica - Alinhamento sobre módulos proteicos</t>
  </si>
  <si>
    <t>Pesquisa básica - Atualização de planilha de estimativa de consumo de nutrientes em diferentes faixas etárias</t>
  </si>
  <si>
    <t>Pesquisa Clínica - Alinhamento para divulgação de relato de caso</t>
  </si>
  <si>
    <t>Pesquisa básica - Alinhamento para atualização de planilha de estimativa de consumo de nutrientes em diferentes faixas etárias</t>
  </si>
  <si>
    <t>Pesquisa Clínica - Elaboração de material para divulgação de relato de caso</t>
  </si>
  <si>
    <t>Desenvolvimento - Teste de dispositivo em conjunto com P&amp;DI</t>
  </si>
  <si>
    <t>Pesquisa Clínica - Alinhamento para protocolo de estudo</t>
  </si>
  <si>
    <t>Pesquisa básica - Levantamento de desfechos de estudos com dietas oligoméricas</t>
  </si>
  <si>
    <t>Desenvolvimento - Discussão sobre o cronogramas e etapas do projeto</t>
  </si>
  <si>
    <t>Pesquisa básica - Discussão sobre o levantamento de desfechos de estudos com dietas oligoméricas</t>
  </si>
  <si>
    <t>Pesquisa Clínica - Alinhamento sobre parceria com pesquisador</t>
  </si>
  <si>
    <t>Pesquisa básica - Elaboração de apresentação sobre levantamento sobre hidrólise de proteína e aplicações clínicas</t>
  </si>
  <si>
    <t>Pesquisa Clínica - Divulgação e discussão de resultados de projeto de pesquisa</t>
  </si>
  <si>
    <t>Desenvolvimeto - Alinhamento pré round: novos itens no produto</t>
  </si>
  <si>
    <t>Pesquisa Clínica - Alinhamento para série de casos</t>
  </si>
  <si>
    <t>Desenvolvimeto - Round: novos itens no produto</t>
  </si>
  <si>
    <t>Alinhamento de atividades para primeira compra</t>
  </si>
  <si>
    <t>Alinhamentos de parceria</t>
  </si>
  <si>
    <t>Definição de Marca para produto</t>
  </si>
  <si>
    <t>Alinhamento dos dados de BC</t>
  </si>
  <si>
    <t>Alinhamento modulo whey criança</t>
  </si>
  <si>
    <t>Alinhamento final de produto</t>
  </si>
  <si>
    <t>Definindo as linhas de embalagens e layout</t>
  </si>
  <si>
    <t>Round cientifico</t>
  </si>
  <si>
    <t>Alinhamento de custo</t>
  </si>
  <si>
    <t>Direcionais da pesquisa</t>
  </si>
  <si>
    <t>Avaliação de BC</t>
  </si>
  <si>
    <t>Apresentação do BC</t>
  </si>
  <si>
    <t>Apresentação e alinhamento do produto</t>
  </si>
  <si>
    <t>Reestudo de ingredientes</t>
  </si>
  <si>
    <t>Alinhamentos para teste industrial</t>
  </si>
  <si>
    <t>Alinhamento para pesquisa/serie de casos</t>
  </si>
  <si>
    <t>Análise sensorial</t>
  </si>
  <si>
    <t>Pesquisa básica - Revisão de literatura sobre de desfechos de estudos</t>
  </si>
  <si>
    <t>Pesquisa Clínica - Revisão de literatura sobre ferramentas de avaliação de desfechos clínicos</t>
  </si>
  <si>
    <t>Pesquisa básica para desenvolvimento de resumo cientifico para congresso</t>
  </si>
  <si>
    <t>Prospecção de centro para realização de Relato de caso e definição de protocolo</t>
  </si>
  <si>
    <t>Pesquisa básica para desenvolvimento de protocolo de teste de produto</t>
  </si>
  <si>
    <t>Pesquisa básica para desenvolvimento de protocolo de pesquisa clinica</t>
  </si>
  <si>
    <t>Pesquisa Clínica - Análise de resultados obtidos com o uso do produto em população específica</t>
  </si>
  <si>
    <t>Pesquisa básica relacionada à viabilidade de uso do produto</t>
  </si>
  <si>
    <t>congresso Ganepão - atualizações paciente UTI, Pesquisa clínica e estudos de casos</t>
  </si>
  <si>
    <t>Pesquisa básica de MP junto ao fornecedor</t>
  </si>
  <si>
    <t>Testes sensoriais / Testes de degustação para substituição aroma leite condensado</t>
  </si>
  <si>
    <t>Teste de aplicação de Dióxido de Silício em diferentes dosagens, avaliação de aspeco, degustação, passagem pela sonda</t>
  </si>
  <si>
    <t>Teste de aplicação fornecedor alternativo de citrato de colina, para avaliação de aspecto, degustação</t>
  </si>
  <si>
    <t>Elaboração do relatório com resultados da aplicação de citrato de colina alternativo</t>
  </si>
  <si>
    <t>Alinhamento técnico</t>
  </si>
  <si>
    <t>Teste para avaliação de nova matéria prima</t>
  </si>
  <si>
    <t>Teste para avaliação passagem de produto pela sonda com 4,5% dióxido de silício</t>
  </si>
  <si>
    <t>Testes sensoriais / Testes de degustação aplicação aroma chocolate Duas Rodas</t>
  </si>
  <si>
    <t>Testes sensoriais / Testes de degustação aplicação aroma chocolate Doremus</t>
  </si>
  <si>
    <t>Teste para avaliação de novo fornecedor de dosador</t>
  </si>
  <si>
    <t>Desenvolvimento de relatório de avaliação de nova matéria prima</t>
  </si>
  <si>
    <t>Testes sensoriais / Testes de degustação sabor neutro</t>
  </si>
  <si>
    <t>Teste para avaliação do método de diluição para dose 30g</t>
  </si>
  <si>
    <t>Testes sensoriais / Testes de degustação substituição aroma leite condensado pelo fornecedor Sinergy</t>
  </si>
  <si>
    <t>Alinhamento sobre estoque de mix</t>
  </si>
  <si>
    <t>Relatório de teste para avaliação de novo fornecedor de dosador</t>
  </si>
  <si>
    <t>Alinhamento P&amp;D</t>
  </si>
  <si>
    <t>Testes sensoriais / Testes de degustação reformulação aroma leite condensado</t>
  </si>
  <si>
    <t>Aplicação e preparo de amostras para envio degustação gerência</t>
  </si>
  <si>
    <t>Elaboração relatório teste industrial de matéria prima alternativa</t>
  </si>
  <si>
    <t>Visita técnica UFPR para análises de reometria para estudo de fluidez de pós</t>
  </si>
  <si>
    <t>Testes sensoriais / Testes de degustação aroma leite condensado Doremus</t>
  </si>
  <si>
    <t>Testes sensoriais / Testes de degustação aroma chocolate Halal Duas Rodas</t>
  </si>
  <si>
    <t>Testes sensoriais / Testes de degustação aroma chocolate  e belga Takasago</t>
  </si>
  <si>
    <t>Apresentação curso de embalagens</t>
  </si>
  <si>
    <t>Apresentação ASPEN</t>
  </si>
  <si>
    <t>Feedback para fornecedor sobre testes de aplicação aroma reformulado</t>
  </si>
  <si>
    <t>Testes sensoriais / degustação para avaliação de dose de aplicação aroma reformulado</t>
  </si>
  <si>
    <t>Testes sensoriais/degustação para avaliação embalagem de fornecedor alternativo</t>
  </si>
  <si>
    <t>Preenchimento controle de mudança</t>
  </si>
  <si>
    <t>Elaboração apresentação para treinamento colaboradores fábrica sobre desenvolvimento de produto</t>
  </si>
  <si>
    <t>Treinamento para uso software Monday</t>
  </si>
  <si>
    <t>Discussão de ideias para elaboração treinamento sobre P&amp;D</t>
  </si>
  <si>
    <t>Teste para avaliação de nova matéria prima SiO2/fornecedor Nicrom</t>
  </si>
  <si>
    <t>Teste para avaliação de nova matéria prima SiO2/fornecedor Vogler</t>
  </si>
  <si>
    <t>Teste sensorial/degustação aplicação aromas chocolates diluição em leite</t>
  </si>
  <si>
    <t>Aplicação de cálculo para levantamento do PA</t>
  </si>
  <si>
    <t>Elaboração de estudo de protocolo</t>
  </si>
  <si>
    <t>Apresentação protótipos Vitafoods</t>
  </si>
  <si>
    <t>Teste piloto de envase</t>
  </si>
  <si>
    <t>Teste industrial avaliação matéria prima alternativa</t>
  </si>
  <si>
    <t>Estudo de ajuste de formulação</t>
  </si>
  <si>
    <t>Pesquisa por novas matérimas primas em conjunto com fornecedor</t>
  </si>
  <si>
    <t>Desenvolvimento relatório de teste industrial avaliação matéria prima alternativa</t>
  </si>
  <si>
    <t>Aplicação de cálculo para levantamento do PA Soya</t>
  </si>
  <si>
    <t>Teste sensorial/degustação com aplicação de nova matéria prima PIS - Shandong Wonderful (Nicrom)</t>
  </si>
  <si>
    <t>Teste de degustação e avaliação de solubilidade</t>
  </si>
  <si>
    <t>Aplicação e preparo de amostras com aroma reformulado para envio gerência</t>
  </si>
  <si>
    <t>Relatório aplicação de nova matéria prima PIS - Shandong Wonderful (Nicrom)</t>
  </si>
  <si>
    <t>Aplicação de cálculo para levantamento do PA com aroma reformulado</t>
  </si>
  <si>
    <t>Desenvolvimento de composição/formulação teórica com diferentes fontes proteicas</t>
  </si>
  <si>
    <t>Apresentação para Científico da pesquisa de composição teórica</t>
  </si>
  <si>
    <t>Teste de solubilidade Beterraba e Cenoura Temperart</t>
  </si>
  <si>
    <t>Teste de passagem de produto pela sonda</t>
  </si>
  <si>
    <t>Aplicação de cálculo para levantamento do PA Soya Fiber</t>
  </si>
  <si>
    <t>Pesquisa básica de MP junto ao fornecedor aplicação de substituto de cacau</t>
  </si>
  <si>
    <t>Apuração de matérias primas para teste piloto</t>
  </si>
  <si>
    <t>Teste de degustação, solubilidade, aspecto de aplicação matéria prima alternativa CasCa CC 909 Armor</t>
  </si>
  <si>
    <t>Teste para avaliação de solubilidade + sensorial + passagem pela sonda - Soya Fiber</t>
  </si>
  <si>
    <t>Relatório teste de degustação, solubilidade, aspecto de aplicação matéria prima alternativa CasCa CC 909 Armor</t>
  </si>
  <si>
    <t>Aplicação de cálculo para levantamento do PA com aroma reformulado após negociação de custo</t>
  </si>
  <si>
    <t>Apuração de matérias primas e quantidade para teste piloto</t>
  </si>
  <si>
    <t>Teste de degustação solubilidade + sensorial + passagem sonda + colher medida + osmolalidade - Soya Fiber redução xantana</t>
  </si>
  <si>
    <t>Preparo de amostra aplicação aroma chocolate para apresentação gerência</t>
  </si>
  <si>
    <t>Workshop ESG e apresentação/degustação aplicações novos ingredientes DSM</t>
  </si>
  <si>
    <t>Teste de desgustação com a gerência</t>
  </si>
  <si>
    <t>Elaboração apresentação para alinhamento técnico</t>
  </si>
  <si>
    <t>Teste de degustação proposta fornecedor reformulação para redução de custo</t>
  </si>
  <si>
    <t>protocolo estudos de caso</t>
  </si>
  <si>
    <t>pesquisa básica - treinamento</t>
  </si>
  <si>
    <t>Informação nutricional Diamax IG RTH</t>
  </si>
  <si>
    <t>congresso ASPEN - atualizações paciente UTI e fórmula artesanal</t>
  </si>
  <si>
    <t>pesquisa básica protocolo de relato de caso</t>
  </si>
  <si>
    <t>discussão resultados parciais</t>
  </si>
  <si>
    <t>Pesquisa básica formulação - presencial Naturaltech</t>
  </si>
  <si>
    <t>Aula final do curso de embalagens flexíveis e apresentação de projeto de final de curso</t>
  </si>
  <si>
    <t>Seleção de análises para análise de T12 LD</t>
  </si>
  <si>
    <t>Avaliação de resultados obtidos versus esperado, considerando fórmula Centric para definição de necessidade de reformulação</t>
  </si>
  <si>
    <t>Avaliação se resultados obtidos atendem o target nutricional para o produto</t>
  </si>
  <si>
    <t>Elaboraçã de informação nutricional do produto Diamax IG RTH, de acordo com resultados analíticos do estudo 22_10</t>
  </si>
  <si>
    <t>Levantamento bilbiográfico para entendimento do comportamento de diferentes proteínas ao tratamento térmico</t>
  </si>
  <si>
    <t>Pesquisa sobre laboratórios acreditados para realização de análises nos produtos retort</t>
  </si>
  <si>
    <t>Avaliação de amostras do retort UTI obtidas em teste EMBRAPA e seleção de critérios de análise para avaliação do impacto na concentração de vitaminas, considerando tempo de espera para esterelização</t>
  </si>
  <si>
    <t>Conferência de NF de cobrança e envio para análise</t>
  </si>
  <si>
    <t>Avaliação da concentração de lactose no produto, consideranto aumento de 1% para 2% na matéria-prima WPI</t>
  </si>
  <si>
    <t>Avaliação análise disponíveis para determinação do impacto na concentração de vitaminas, considerando tempo de espera para esterelização</t>
  </si>
  <si>
    <t>Determinação do atendimento ao target nutricional para nova IN produto Diamax IG RTH</t>
  </si>
  <si>
    <t>Aplicação de critérios de aceitação de método de análises propostos pelos laboratórios Measurlabs e SGS são adequados aos produtos retort</t>
  </si>
  <si>
    <t>Elaboração de ET para Diamax IG RTH, conforme estudo 22_10</t>
  </si>
  <si>
    <t>Aplicação de critérios de aceitação junto ao fornecedor para avaliação de adequabilidade de diluentes presentes no pré mix</t>
  </si>
  <si>
    <t>Aplicação de testes de previsão  para avaliação do atendimento ao target nutricional</t>
  </si>
  <si>
    <t>Avaliação da adequabilidade de parâmetros de análise, para produtos Prodiet, propostos pelo laboratório SGS</t>
  </si>
  <si>
    <t>Seleção de análises para avaliação das amostras obtidas no teste Embrapa</t>
  </si>
  <si>
    <t>Seleção de análises para avaliação da composição de amostra de bancada</t>
  </si>
  <si>
    <t>Avaliação da adequabilidade de parâmetros de análise, para produtos Prodiet, propostos pelo laboratório Measurlabs</t>
  </si>
  <si>
    <t>Cálculo de composição de pré-mistura de vitaminas, considerando diluição de matérias-primas</t>
  </si>
  <si>
    <t>Alteração de formulação, de modo a atender limites regulatório para ômega 6 e ômega 3</t>
  </si>
  <si>
    <t>Avaliação de metodologia proposta por laboratório externo, para análise de esterelidade comercial</t>
  </si>
  <si>
    <t>Elaboração de relatório para compravação de similaridade de fórmulas do produto Diamax IG RTH</t>
  </si>
  <si>
    <t>Pesquisa científica para estabelecer níveis de segurança de uso para o aditivo carragena</t>
  </si>
  <si>
    <t>Aplicação de critérios de aceitação para laudos de vitaminas e minerais, para compor dossiê de registro do produto Diamax IG RTH.</t>
  </si>
  <si>
    <t>Aplicação de critérios de aceitação para pré-mix, para aplicação no produto acabado</t>
  </si>
  <si>
    <t>Conferência de NF de serviço de transporte, de análise e envio para pagamento.</t>
  </si>
  <si>
    <t>Elaboraão de relatório para compravação de similaridade de fórmulas do produto Diamax IG RTH</t>
  </si>
  <si>
    <t>Pesquisa para defenição de metodologia padrão para análise de vitaminas e minierais, em conjunto com laboratório MesaruLabs</t>
  </si>
  <si>
    <t>Avaliação do comportamento do pré mix de vitaminas em teste de bancada.</t>
  </si>
  <si>
    <t>Pesquisa para defenição de metodologia padrão para análise de macronutrientes e minierais, em conjunto com laboratório Eurofins</t>
  </si>
  <si>
    <t>Conferência de nota fiscal de cobrança de análise e questionamento sobre cobrança duplicada.</t>
  </si>
  <si>
    <t>Seleção de análises para avaliação da composição do produto após 12 meses de estudo de estabildiade</t>
  </si>
  <si>
    <t>Elaboração de relatório que descreve o comportamento do produto em administraçao via sonda</t>
  </si>
  <si>
    <t>Avaliação de resultados analíticos de vitaminas obtidos na amostra do teste realizado em março/2023</t>
  </si>
  <si>
    <t>Pesquisa para avaliação da possibilidade de aumento do prazo de validade da pré mistura de gluconato de zinco</t>
  </si>
  <si>
    <t>Pesquisa para defenição de metodologia padrão para análise de gorduras que será realizada pleo copacker</t>
  </si>
  <si>
    <t>Avaliação de troca de metoldogia para análise de Vitamina A nos produtos Diamax IG RTH e Trophic Soya RTH, realizada pelo laboratório Eurofins</t>
  </si>
  <si>
    <t>Teste piloto para avaliação do produto obtido com adição de agentes protetores de vitamina C</t>
  </si>
  <si>
    <t>Seleção de análises para avaliação da composição do produto após realização de teste piloto</t>
  </si>
  <si>
    <t>Aplicação e preparo de amostras para envio para análise, após teste piloto</t>
  </si>
  <si>
    <t>Estudo para entendimento do controle de mudança relacionado ao produto</t>
  </si>
  <si>
    <t>Desenvolvimento de tópicos relevantes para equipe de P&amp;D</t>
  </si>
  <si>
    <t>Estudo, junto com laboratório Eurofins para definição de parâmetros analíticos para análise de amostra de teste industrial</t>
  </si>
  <si>
    <t>Pesquisa para definição de laboratório com conhecimento para análise de gorduras totais por método butirímetro</t>
  </si>
  <si>
    <t>Estudo de qual a maneira correta de reportar resultados de ácido fólico, considerando a quantificação de folato na amostra</t>
  </si>
  <si>
    <t>Avaliação de resultados analíticos obtidos no período de 9 meses do estudo de estabilidade das dietas HH, HN e HNcF</t>
  </si>
  <si>
    <t>Avaliação de resultados analíticos obtidos no período de 6 meses do estudo de estabilidade das dietas Diamax IG RTH e Trophic Soya RTH</t>
  </si>
  <si>
    <t>Avaliação de resultados analíticos obtidos na amostra de teste de bancada</t>
  </si>
  <si>
    <t>Pesquisa para determinação da temperatura ideal para emulsão da fase gordurasa do produto</t>
  </si>
  <si>
    <t>Pesquisa para correta aplicação do fator de conversão folato : ácido fólico, considerado parâmetros analíticos reportados em laudo.</t>
  </si>
  <si>
    <t>Avaliação de resultados analíticos de perfil lipidico, obtidos para dieta UTI</t>
  </si>
  <si>
    <t>Aplicação de critérios de seleção, para determinação de sabor do produto para teste piloto.</t>
  </si>
  <si>
    <t>Aplicação de testes para determinação do cálculo correto dos parâmetros ácido fólico e folato, em resutados analíticos</t>
  </si>
  <si>
    <t>Avaliação de resultados de esterelidade comercial</t>
  </si>
  <si>
    <t>Pesquisa sobre incerteza de metodologia analítica, para determinação de vitaminas e minerais</t>
  </si>
  <si>
    <t>Avaliação de resultados de vitaminas marcadoras para estudo de estabilidade no período de 6 meses para dieta UTI</t>
  </si>
  <si>
    <t>Avaliação de resultados de vitaminas, minerais e macronutrientes para estudo de estabilidade no período de 12 meses</t>
  </si>
  <si>
    <t>Aplicação de critérios de aceitação sobre material de embalagem, para tomada de decisão sobre seguir com análise de vitamina c</t>
  </si>
  <si>
    <t>Avaliação do controle de mudança para produto e aceite das ações necessárias</t>
  </si>
  <si>
    <t>Avaliação de resultados analíticos, para validação de pré-mix alternativo</t>
  </si>
  <si>
    <t>Avaliação de resultado analíticos obtidos em 12 meses de estudo de estabilidade</t>
  </si>
  <si>
    <t>Conforência de NF e envio para pagamento</t>
  </si>
  <si>
    <t>Avaliação de resultados de vitamina C em amostra obtida em teste piloto</t>
  </si>
  <si>
    <t>Aplicação de critérios de aceitação em documentação de aroma</t>
  </si>
  <si>
    <t>Atualização de planilhas de resultados, para dieta retort UTI</t>
  </si>
  <si>
    <t>Elaboração de documentos necessários para condução de teste piloto para produto Trophic Soya 1.5 Fiber</t>
  </si>
  <si>
    <t>Elaboração de Especificação técnica para produto Protein PT Liquid</t>
  </si>
  <si>
    <t>Elaboração de estudo para desenvolvimento do produto.</t>
  </si>
  <si>
    <t>Aplicação de critérios de aceitação para seleção de testes necessários para iníciode fabricação em copacker</t>
  </si>
  <si>
    <t>Condução de estudo para avaliação dos resultados obtidos com pré mistura de vitaminas e minerais alternativo</t>
  </si>
  <si>
    <t>Seleção de matérias primas necessárias para teste piloto do produto Trophic Soya 1.5 Fiber e viabilização da pesagem das mesmas</t>
  </si>
  <si>
    <t>Seleção de produtos que retort que serão enviados para análise de estudo de estabilidade.</t>
  </si>
  <si>
    <t>Avaliação de resultados analiticos de perfil lipidico para Trophic Soya 1.5</t>
  </si>
  <si>
    <t>Atualização de planilhas de resultados, para 12 meses de estudo de estabilidade</t>
  </si>
  <si>
    <t>Aplicação de critérios de aceitação para determinação de metodologia analítica adequada para o produto e levantamento do número de amostras necessárias para estudo de estabilidade</t>
  </si>
  <si>
    <t>Levantamento bibliográfico para elaboração de artigo</t>
  </si>
  <si>
    <t>Levantamento de requisitos microbiológicos necessários para avaliação da qualidade microbiológica do produto Protein PT Liquid</t>
  </si>
  <si>
    <t>Aplicação de estudo para determinação de pontos necessários para artigo científico</t>
  </si>
  <si>
    <t>Elaboração de racional para similaridade de fórmulas, para condução de estudo de estabilidade reduzido</t>
  </si>
  <si>
    <t>Elaboração da especificação técnica do produto em inglês e avaliação da unidade correta para report da análise de salmonela.</t>
  </si>
  <si>
    <t>Aplicação de estudo para determinação de adequabilidade de pré-mix de vitaminas</t>
  </si>
  <si>
    <t>Avaliação, junto com responsável de planta piloto, sobre atendimento de requisitos necessários para realização de teste de formulação.</t>
  </si>
  <si>
    <t>Pesquisa bibliográfica sobre perfil nutricional da proteína isolada da soja</t>
  </si>
  <si>
    <t>Pesquisa para determinação de wort case de embalagem, para manutenção das características dos produtos</t>
  </si>
  <si>
    <t>Conferência de NF e envio para pagamento</t>
  </si>
  <si>
    <t>Aplicação de critérios de aceitação em laudo de aminograma</t>
  </si>
  <si>
    <t>Início de homologação de pré-mix</t>
  </si>
  <si>
    <t>Aplicação de critérios de aceitação em documentação de pré-mix de vitaminas</t>
  </si>
  <si>
    <t>Treinamento de novo colaborador na formulação do produto Diamax IN</t>
  </si>
  <si>
    <t>Levantamento de metodologia analítica para análise de vitamina B1 em aroma em pó</t>
  </si>
  <si>
    <t>Aplicação de critério de aceitação em teste de partículas queimadas</t>
  </si>
  <si>
    <t>Realização de teste em escala piloto, para o produto Trophic Soya 1.5 Fiber</t>
  </si>
  <si>
    <t>Avaliação de aceitação do sensorial do produto em congresso de nutrição</t>
  </si>
  <si>
    <t>Seleção de análises para avaliação do produto obtido em teste piloto</t>
  </si>
  <si>
    <t>Avaliação do atendimento do pré-mix target infantil ao produto Peptimax Júnior</t>
  </si>
  <si>
    <t>Desenvolvimento de formulação para avaliação da concentração de Ômega 3 e DHA no produto Peptimax Júnior</t>
  </si>
  <si>
    <t>Avaliação de ações necessárias para continuidade dos testes de desenvolvimento do produto</t>
  </si>
  <si>
    <t>Aplicação de análise de risco para cadastro e compra de pré-mix de vitaminas reformulado.</t>
  </si>
  <si>
    <t>Elaboração de estratégia para definição da informação nutricional dos sabores baunilha e chocolate.</t>
  </si>
  <si>
    <t>Avaliação de resultados analíticos obtidos em teste piloto do produto</t>
  </si>
  <si>
    <t>Elaboração de tendência de resultados para determinaçao de IN provisória</t>
  </si>
  <si>
    <t>Aplicação de teste sensorial no produto</t>
  </si>
  <si>
    <t>Elaboração de especificação técnica do produto</t>
  </si>
  <si>
    <t>Deslocamento para início de produção em copacker DAUS</t>
  </si>
  <si>
    <t>Primeira produção em copacker DAUS</t>
  </si>
  <si>
    <t>Deslocamento após primeira produção em copacker DAUS</t>
  </si>
  <si>
    <t>Avaliação de resultados de lactose obtidos em laboratório</t>
  </si>
  <si>
    <t>Revisão da informação nutricional do produto</t>
  </si>
  <si>
    <t>Avaliação das primeiras propostas para determinação da composição do produto</t>
  </si>
  <si>
    <t>Avaliação dos resultados laboratorias para vitaminas obtidos em teste piloto</t>
  </si>
  <si>
    <t>Elaboração de comparativo entre os resultados dos últimos 3 testes piloto do produto Trophic Soya 1.5 Fiber, para estabelecer influência do pH dos resultados</t>
  </si>
  <si>
    <t>Aplicação de critérios de seleção, para qualificação de fornecedor de aroma para o produto</t>
  </si>
  <si>
    <t>Avaliação da concentração de iodo no produto Trophic Soya 1.5, quando utilizado pré mix com concentração de 0,895 mcg/100g</t>
  </si>
  <si>
    <t>Aumento na quantidade de prémix utilizado na formulação e avaliação do atendimento ao target nutricional do produto</t>
  </si>
  <si>
    <t>Avaliação da estrutura da etiqueta de nacionalização do produto Prosource</t>
  </si>
  <si>
    <t>Aplicação de testes sensoriais para avaliação de novas propostas de aroma para o produto.</t>
  </si>
  <si>
    <t>Aplicação de critérios de arredondamento para apresentação dos resultados obtidos no estudo de estabilidade com duraçãod e 12 meses para produto HH</t>
  </si>
  <si>
    <t>Aplicação de critérios de aceitação para cadastro do rótulo do produto licenciado</t>
  </si>
  <si>
    <t>Pesquisa em literatura sobre análise de cistina e cisteína para avaliação de resultados analíticos</t>
  </si>
  <si>
    <t>Apontamento de características do produto, para que o pedido de compra de Prosource possa ser emitida</t>
  </si>
  <si>
    <t>Avaliação de resultados obtidos para produto obtido no teste DAUS e elaboração de comparativo para determinalção de decaimento.</t>
  </si>
  <si>
    <t>Aplicação de pré-mix de minerais em formulação teórica, para atendimento do target nutricional do produto.</t>
  </si>
  <si>
    <t>Curso embalagens flexíveis + apresentação projeto</t>
  </si>
  <si>
    <t>Validação nova envasadora Embrapa</t>
  </si>
  <si>
    <t>Elaboração Business Case sorvete</t>
  </si>
  <si>
    <t>Pesquisa para criação novo projeto</t>
  </si>
  <si>
    <t>Validação lotes de MP teste Embrapa</t>
  </si>
  <si>
    <t>Estudo novos ativos para implantação na fábrica</t>
  </si>
  <si>
    <t>Triagem amostras teste piloto + avaliação formulação UTI + análise pH amostra UTI</t>
  </si>
  <si>
    <t>Pesquisa básica de nova MP junto a fornecedores</t>
  </si>
  <si>
    <t>Atualização relatório teste Embrapa com resultados das amostras (avaliação resultados análises realizadas)</t>
  </si>
  <si>
    <t>Testes para avaliação de nova MP</t>
  </si>
  <si>
    <t>Testes aplicados para novo pouch</t>
  </si>
  <si>
    <t>Desenvolvimento de estratégias para a implantação da nova linha de produção</t>
  </si>
  <si>
    <t>Definição de estratégias para testes de avaliação do novo pouch junto a fornecedor</t>
  </si>
  <si>
    <t>Aplicação de cálculo de custos para levantamento de produto</t>
  </si>
  <si>
    <t>Avaliação contrato de prestação de serviços Embrapa + trâmites internos</t>
  </si>
  <si>
    <t>Envio de amostras para análise externa</t>
  </si>
  <si>
    <t>Validação de resultados do teste Embrapa +  envio amostras pouch para análise pelo fornecedor</t>
  </si>
  <si>
    <t>Envio de amostras para análise externa + testes aplicados para novo pouch</t>
  </si>
  <si>
    <t>Trâmites fiscais RDV teste Embrapa</t>
  </si>
  <si>
    <t>Avaliação sistema fechamento pouch</t>
  </si>
  <si>
    <t>Pesquisa básica percentual perdas para fabricação do produto</t>
  </si>
  <si>
    <t>Levantamento das etapas do projeto para aplicação prática</t>
  </si>
  <si>
    <t>Acompanhamento e validação novo copacker + aplicação testes novo pouch</t>
  </si>
  <si>
    <t>Solicitação homologação novas MPs</t>
  </si>
  <si>
    <t>Planejamento teste novo pouch</t>
  </si>
  <si>
    <t>Estudo novo display-caixa</t>
  </si>
  <si>
    <t>Alinhamento técnico sistema fechamento do pouch + avaliação consumo novas MP's</t>
  </si>
  <si>
    <t>Consolidação dos testes - Latco</t>
  </si>
  <si>
    <t>Pesquisa básica novos ativos para implantação da nova linha de produção</t>
  </si>
  <si>
    <t>Alinhamento técnico no Centro de Pesquisas em Reologia e Fluidos Não-Newtonianos (CRNN - UTFPR)</t>
  </si>
  <si>
    <t>Testes aplicados para novo pouch + avaliação custos para novo Estudo de Estabilidade</t>
  </si>
  <si>
    <t>Pesquisa básica de nova MP junto a fornecedores + Pesquisa básica resultados aminograma e vitaminas para registro nova fórmula</t>
  </si>
  <si>
    <t>Elaboração Business Case rev.2 - avaliação novos ativos</t>
  </si>
  <si>
    <t>Estudo nova caixa-display</t>
  </si>
  <si>
    <t>Avaliação estrutura fórmula - novo aroma</t>
  </si>
  <si>
    <t>Testes aplicados para novo pouch + alinhamento técnico estratégias nova fórmula NHcF</t>
  </si>
  <si>
    <t>Trâmites fiscais RDV teste IFF</t>
  </si>
  <si>
    <t>Pesquisa básica de nova MP junto a fornecedores + avaliação nova fórmula redução açúcar Trophic Infant</t>
  </si>
  <si>
    <t>Elaboração Business Case rev.2 - avaliação novos ativos + gastos mkt</t>
  </si>
  <si>
    <t>Avaliação resultados análises realizadas + atualização relatório</t>
  </si>
  <si>
    <t>Teste de bancada com pouch para validação régua de administração</t>
  </si>
  <si>
    <t>Estudo concorrentes - ingredientes formulação Prodiet</t>
  </si>
  <si>
    <t>Elaboração Business Case rev.2 - gastos mkt + forecast Comercial</t>
  </si>
  <si>
    <t>Trâmites fiscais - contrato Embrapa</t>
  </si>
  <si>
    <t>Apresentação Business Case sorvete</t>
  </si>
  <si>
    <t>Atualização Business Case sorvete (pesquisa custo) + Atualização relatório com resultados análises externas</t>
  </si>
  <si>
    <t>Teste de bancada com novo premixes vit/min padrão pediátrico</t>
  </si>
  <si>
    <t>Simulação de custos</t>
  </si>
  <si>
    <t>Elaboração relatório novos premixes vit/min padrão pediátrico</t>
  </si>
  <si>
    <t>Consolidação informações Business Case</t>
  </si>
  <si>
    <t>Elaboração relatório teste validação régua adminstração</t>
  </si>
  <si>
    <t>Atualização relatório teste validação régua adminstração + alinhamento técnico arte final</t>
  </si>
  <si>
    <t>Atualização relatório sorvete</t>
  </si>
  <si>
    <t>Elaboração treinamento para Produção</t>
  </si>
  <si>
    <t>Teste de bancada nova PIS e novo OC</t>
  </si>
  <si>
    <t>Estudo prováveis gastos para testes industriais Latco</t>
  </si>
  <si>
    <t>Elaboração relatório nova PIS</t>
  </si>
  <si>
    <t>Apresentação Kick-off novo projeto</t>
  </si>
  <si>
    <t>Estudo pouch Prodiet + elaboração spec Prodiet</t>
  </si>
  <si>
    <t>Estudo proteínas x interações</t>
  </si>
  <si>
    <t>Estudo pouch Prodiet + elaboração spec Prodiet + avaliação arte final - régua administração</t>
  </si>
  <si>
    <t>Teste de bancada com sachê para amostra</t>
  </si>
  <si>
    <t>Compartilhamento resultado TB sachê para amostra</t>
  </si>
  <si>
    <t>Testes aplicados + melhorias próximo teste piloto</t>
  </si>
  <si>
    <t>Pesquisa junto a fornecedor para avaliação nova fórmula - redução açúcar Trophic Infant</t>
  </si>
  <si>
    <t>Estudo planejamento testes de bancada</t>
  </si>
  <si>
    <t>Estudo novo adaptador de garrafa</t>
  </si>
  <si>
    <t>Alinhamento técnico envio amostras análise externa - Estudo de Estabilidade</t>
  </si>
  <si>
    <t>Solicitação códigos para imput formulações</t>
  </si>
  <si>
    <t>Pesquisa junto a fornecedor para nova PIS</t>
  </si>
  <si>
    <t>Atualização relatório - novo adaptador de garrafa</t>
  </si>
  <si>
    <t>Validação instruções de preparo novo copacker</t>
  </si>
  <si>
    <t>Pesquisa junto a fornecedor - novas MP's</t>
  </si>
  <si>
    <t>Verificação cadastros Immax 52g</t>
  </si>
  <si>
    <t>Testes aplicados novo adaptador garrafa de água</t>
  </si>
  <si>
    <t>Atualização spec pouch - inclusão bico Enplus</t>
  </si>
  <si>
    <t>Testes de bancada novo CasCa e OC</t>
  </si>
  <si>
    <t>Conferência pesagens MP's para teste Tetra Pak</t>
  </si>
  <si>
    <t>Elaboração relatório novo OC</t>
  </si>
  <si>
    <t>Trâmites fiscais - constrato Embrapa</t>
  </si>
  <si>
    <t>Atualização spec pouch - FT fornecedor com medidas Prodiet</t>
  </si>
  <si>
    <t>Trâmites fiscais - teste Tetra Pak</t>
  </si>
  <si>
    <t>Pesquisa junto a fornecedor - estabilidade proteínas</t>
  </si>
  <si>
    <t>Testes aplicados nova PIS - planejamento TP/TI</t>
  </si>
  <si>
    <t>Elaboração relatório novo CasCa</t>
  </si>
  <si>
    <t>Estudo novo TCM</t>
  </si>
  <si>
    <t>Avaliação testes aplicados novo OC</t>
  </si>
  <si>
    <t>Innovation Day junto a fornecedor</t>
  </si>
  <si>
    <t>Atualização Business Case - preenchimento pelas demais áreas</t>
  </si>
  <si>
    <t>Validação resultados 1o semestre para apresentar à área</t>
  </si>
  <si>
    <t>Discussão técnica e alinhamento - resultados 1o semestre</t>
  </si>
  <si>
    <t>Trâmites fiscais contrato Embrapa</t>
  </si>
  <si>
    <t>Avaliação FT pouch e atualização spec Prodiet</t>
  </si>
  <si>
    <t>Alinhamento técnico próximos passos formulação NHcF</t>
  </si>
  <si>
    <t>Apresentação Ganepão 2023</t>
  </si>
  <si>
    <t>Consolidação dos testes e planejamento TI - Latco</t>
  </si>
  <si>
    <t>Pesquisa básica - elaboração de relatório com síntese de resultados/evidências para elaboração de novo produto</t>
  </si>
  <si>
    <t>Pesquisa clínica - elaboração de projeto de pesquisa clínica</t>
  </si>
  <si>
    <t>Pesquisa básica - elaboração de projeto para novo produto (briefing, levantamento de editais, cronograma)</t>
  </si>
  <si>
    <t>Pesquisa clínica - elaboração de material para divulgação de resultados  em evento científico</t>
  </si>
  <si>
    <t>Pesquisa clínica - elaboração de material para divulgação de resultados  em evento científico em conjunto com o pesquisador parceiro</t>
  </si>
  <si>
    <t>Pesquisa básica - Revisão de projeto para novo produto (briefing, levantamento de editais, cronograma) em conjunto com diretoria técnica</t>
  </si>
  <si>
    <t>Pesquisa clínica - elaboração e revisão de material para divulgação de resultados  em evento científico, em conjunto com o pesquisador parceiro</t>
  </si>
  <si>
    <t>Pesquisa clínica - Revisão de material para divulgação de resultados  em evento científico, em conjunto com o pesquisador parceiro e diretoria técnica</t>
  </si>
  <si>
    <t>Pesquisa básica - Revisão da literatura sobre aplicação clínica de nutriente para elaboração de novo produto</t>
  </si>
  <si>
    <t>Pesquisa clínica - Revisão de projeto após considerações do comitê de ética em pesquisa</t>
  </si>
  <si>
    <t>Pesquisa clínica - Gravação de material para divulgação de resultados  em evento científico (Simpósio Acerto), em conjunto com o pesquisador parceiro</t>
  </si>
  <si>
    <t>Pesquisa clínica - Revisão/edição de projeto após considerações do comitê de ética em pesquisa</t>
  </si>
  <si>
    <t>Pesquisa clínica -Ajuste de projeto em resposta ao Comitê de ética e pesquisa</t>
  </si>
  <si>
    <t>Pesquisa básica - elaboração de síntese sobre nova fórmula</t>
  </si>
  <si>
    <t>Pesquisa básica  - elaboração de síntese sobre melhoria de produto</t>
  </si>
  <si>
    <t>Pesquisa clínica - eleboração de projeto de pesquisa em cicatrização</t>
  </si>
  <si>
    <t>Avaliação de parâmetros analíticos para determinação de Vitamina B1 em aroma utilizado na formulação.</t>
  </si>
  <si>
    <t>Pesquisa clínica - Eleboração de projeto de pesquisa em Parkinson e fibose cística em parceria com a Universidade Federal do Pará</t>
  </si>
  <si>
    <t>Pesquisa básica  - elaboração de síntese sobre desenvolvimento de produto</t>
  </si>
  <si>
    <t>Pesquisa clínica - Eleboração de projeto de pesquisa em pediatria em parceria com o Hospital Pequeno Príncipe</t>
  </si>
  <si>
    <t>Pesquisa clínica -Ajuste de relato de caso para submissão em congresso</t>
  </si>
  <si>
    <t>Acompanhamento do teste piloto.</t>
  </si>
  <si>
    <t>Conferência de NF de cobrança e envio para análise.</t>
  </si>
  <si>
    <t>Seleção de análises para obtenção dos resultados para avaliação da composição do produto após realização de teste piloto.</t>
  </si>
  <si>
    <t>Organização das orientações e documentos necessários para envio do produto para análise em laboratório externo.</t>
  </si>
  <si>
    <t>Seleção de análise para verificar a presença de vitamina B1 no aroma.</t>
  </si>
  <si>
    <t>Seleção de análises para avaliação da composição do produto após 12 meses de estudo de estabilidade.</t>
  </si>
  <si>
    <t>Seleção de análises para avaliação do comportamento de vitaminas marcadoras durante estudo de estabilidade.</t>
  </si>
  <si>
    <t>Organização das orientações e documentos necessários para envio do produto para análise em laboratório externo. E preparo do produto para envio.</t>
  </si>
  <si>
    <t>Avaliação dos resultados das análises realizadas para avaliar a composição do produto após realização de teste piloto.</t>
  </si>
  <si>
    <t>Seleção de análises para obtenção dos resultados para avaliação da composição do produto após realização de teste piloto e início do estudo de estabilidade.</t>
  </si>
  <si>
    <t>Seleção de análises laboratoriais para avaliar a composição do produto após teste piloto.</t>
  </si>
  <si>
    <t>Seleção de análises laboratoriais para avaliar a possibilidade de extender a shelf life do produto.</t>
  </si>
  <si>
    <t>Preencimento da Especificação Técnica provisória e envio para avaliação técnica.</t>
  </si>
  <si>
    <t>Análise dos resultados de lactose e cálculo por 100 Kcal.</t>
  </si>
  <si>
    <t>Pesquisa na literatura científica sobre o comportamento dos nutrientes observado na última análise realizada no Trophic Soya 1.5 Fiber</t>
  </si>
  <si>
    <t>Preenchimento do EE do retort HH com resultados para T12 e organização dos laudos/dados.</t>
  </si>
  <si>
    <t>Conferência do resultado de análise de nutrientes do produto processado em nova planta.</t>
  </si>
  <si>
    <t>Elaboração de respostas às exigências da agencia reguladora sobre o resgistro do Diamax IG RTH</t>
  </si>
  <si>
    <t>Preenchimento do EE do Trophic Soya 1.5 (SFDK) e organização dos laudos/dados.</t>
  </si>
  <si>
    <t>Separação e conferência de matéria-prima para formulação.</t>
  </si>
  <si>
    <t>Acompanhamento teste de envase.</t>
  </si>
  <si>
    <t>Avaliação dos nutrientes para determinação de informação nutricional.</t>
  </si>
  <si>
    <t>Preenchimento do Estudo de Estabilidade do Energyzip Lac e organização dos laudos/dados.</t>
  </si>
  <si>
    <t>Realizado ajuste e correção dos limites regulatórios na planilha de estudo de estabilidade do Energyzip Lac.</t>
  </si>
  <si>
    <t>Preenchimento do Estudo de Estabilidade e organização dos laudos/dados.</t>
  </si>
  <si>
    <t>Elaboração do relatório de extensão de shelf life do trophic soya 1.5.</t>
  </si>
  <si>
    <t>Preenchimento do EE do retort HH/HN/HNcF com resultados para T12 e organização dos laudos/dados.</t>
  </si>
  <si>
    <t>Realizado alinhamento das últimas exigências para registro do NHcF.</t>
  </si>
  <si>
    <t>Analise dos resultados do EE dos retorts e composição da IN dos produtos.</t>
  </si>
  <si>
    <t>Análise dos dados de PL do Trophic Soya Pó com redução de gordura.</t>
  </si>
  <si>
    <t>Apresentação dos dados de T0 do Suslac e definição da IN.</t>
  </si>
  <si>
    <t>Análise de dados e elaboração do relatório de Estudo de Estabilidade do Retort HH.</t>
  </si>
  <si>
    <t>Conferência de laudos, pesquisa e elaboração de declação para exigência de agência reguladora do processo de registro do NHcF.</t>
  </si>
  <si>
    <t>Análise de dados e elaboração do relatório de Estudo de Estabilidade do Retort HN.</t>
  </si>
  <si>
    <t>Análise de dados e elaboração do relatório de Estudo de Estabilidade do Retort HN e HNcF.</t>
  </si>
  <si>
    <t>Análise de dados e elaboração do relatório de Estudo de Estabilidade do Retort HNcF.</t>
  </si>
  <si>
    <t>Análise de dados e elaboração do relatório de Estudo de Estabilidade do Retort HH e HNcF.</t>
  </si>
  <si>
    <t>Etiquetagem/Separação das amostras para Estudo Clínico e EE.</t>
  </si>
  <si>
    <t>Separação e prepardo de amostras para envio para análises externas.</t>
  </si>
  <si>
    <t>Análise de resultado teor vitamina B1 em aroma reformulado e aplicação teórica no produto</t>
  </si>
  <si>
    <t>Preparo de amostra e envio laboratório externo para análise lactose</t>
  </si>
  <si>
    <t>Teste para de volume de água para diluição diferentes densidades calóricas</t>
  </si>
  <si>
    <t>Teste de análise fisico quimicas (aspecto pó, sensorial, administração por sonda) para estudo composição informação nutricional</t>
  </si>
  <si>
    <t>Degustação base encaminhada IFF para aplicação aroma</t>
  </si>
  <si>
    <t>Teste de reaplicação e degustação aroma reformulado - redução de dose</t>
  </si>
  <si>
    <t>Elaboração especificaçõ Dióxido de Silício</t>
  </si>
  <si>
    <t>Avaliação ficha técnica Cenoura fornedor Sansiril</t>
  </si>
  <si>
    <t>Teste para análise do aspecto do produto e degustação com aplicação novo fornecedor Colina</t>
  </si>
  <si>
    <t>Relatório de aplicação novo fornecedor Colina</t>
  </si>
  <si>
    <t>Elaboração Controle de Mudanças</t>
  </si>
  <si>
    <t>Preparo de amostra e envio com aplicação/reformulação aroma para degustação Coordenadora</t>
  </si>
  <si>
    <t>Envio de nova base do produto para aplicação e sugestão aroma IFF</t>
  </si>
  <si>
    <t>Aplicação de cálculo e estudo de custo formulação com aroma chocolate belga</t>
  </si>
  <si>
    <t>Cadastro novo aroma belga no sistema</t>
  </si>
  <si>
    <t>Teste de degustação com diretoria - reformulação aroma</t>
  </si>
  <si>
    <t>Teste avaliação fórmula com feijão (aspesto, solubilidade, admnistração sonda, sabor)</t>
  </si>
  <si>
    <t>Teste de dosagem Dióxido de Silício fornecedor Nicrom em mistura com óleo líquido</t>
  </si>
  <si>
    <t>Desenvolvimento da especificação técnica do novo aroma chocolate belga</t>
  </si>
  <si>
    <t>Desenvolvimento da fórmula no sistema</t>
  </si>
  <si>
    <t>Alinhamento técnico para buscar solução para composição de perfil lipidico</t>
  </si>
  <si>
    <t>Desenvolvimento do projeto em Business Case</t>
  </si>
  <si>
    <t>Pesquisa básica de matéria prima junto a fornecedor</t>
  </si>
  <si>
    <t>Desenvolvimento da especificação técnica e informação nutricional</t>
  </si>
  <si>
    <t>Aplicação de calculo de custo atualizado para produto final</t>
  </si>
  <si>
    <t>ajustes projeto cep</t>
  </si>
  <si>
    <t>início pesquisa após aprovação cep</t>
  </si>
  <si>
    <t>Pesquisa básica: aula Dr Marcelo Valente</t>
  </si>
  <si>
    <t>pesquisa básica para projeto proteína líquida medtrition</t>
  </si>
  <si>
    <t>Aplicação de critério de seleção para avaliação da vialibilidade da fórmula</t>
  </si>
  <si>
    <t>Avaliação de parâmetros essenciais para qualidade das matérias-primas utilizadas no produto</t>
  </si>
  <si>
    <t>Avaliação de métodos de análise de triptofano, para avaliação de aminograma dos produtos que contenham soja na formulação</t>
  </si>
  <si>
    <t>Determinação de melhorias de processamento UHT, para homogeneidade entre copackers</t>
  </si>
  <si>
    <t>Elaboração de análise de atendimento nutricional do produto, como parte de exigência para registro do produto</t>
  </si>
  <si>
    <t>Avaliação de resutaltados analíticos para estudo de estensão de prazo de validade do produto, de 9 para 12 meses</t>
  </si>
  <si>
    <t>Atualização de dados para sequencia do processo de importação do produto Prosource</t>
  </si>
  <si>
    <t>Definição de tendêcnia de comportamento para pefil lipidico e avaliação de resultados</t>
  </si>
  <si>
    <t>Definição de qual aroma será utilizado no produto sabor baunilha.</t>
  </si>
  <si>
    <t>Elaboração de resposta a exigência da Anvisa, para registro do produto NHcF</t>
  </si>
  <si>
    <t>Discussão técnica para avaliação do risco de alteração da informação nutricional para Vitamina B1</t>
  </si>
  <si>
    <t>Avaliação de resultados analíticos para Energyzip Vitalc (Sustenlac suplemeto alimentar)</t>
  </si>
  <si>
    <t>Avaliação de estabilizantes em visita a feira FISA</t>
  </si>
  <si>
    <t>Avaliação de resultados analíticos e elaboração de tendência de comportamento para previsão de resultados em 12 meses</t>
  </si>
  <si>
    <t>Avaliação de resultados analíticos para 12 meses de estudo, para dietas HH, HN e HNcF</t>
  </si>
  <si>
    <t>Avaliação de tendência de comportamento para 12 meses de estudo de estabilidade, para dietas HH, HN e HNcF</t>
  </si>
  <si>
    <t>Aplicação de critérios de seleção para composição de fibras do produto</t>
  </si>
  <si>
    <t>Modificação da quantidade de pré-mix de minerais aplicado a formulação e elaboração de critérios de aceitação para avaliação do atendimento ao target nutricional</t>
  </si>
  <si>
    <t>Aplicação de critérios de aceitação para elaboração de especificação de matérias-primas utilizadas na formulação</t>
  </si>
  <si>
    <t>Elaboração de Informação nutricional para dietas HH, HN e HNcF, com base nos resultados analíticos de estudo de estabildiade</t>
  </si>
  <si>
    <t>Avaliação limite de aceitação para especificação da Vitamina B12</t>
  </si>
  <si>
    <t>Discussão técnica sobre atendimento nutricional do produto e definição de informação nutricional, junto a diretoria técnica.</t>
  </si>
  <si>
    <t>Aplicação de tedência de comportamento do sabor baunilha, para definição da informação nutricional dos produtos morango e chocolate</t>
  </si>
  <si>
    <t>Avaliação de resultados de teste de bancada para definição de fórmulas possíveis</t>
  </si>
  <si>
    <t>Avaliação de requisitos para nova fábrica de líquidos, com entendimento de premissas equipamentos e processo</t>
  </si>
  <si>
    <t>Treinamento de colaboradora para elaboração de especificação técnica após finalização de estudo de estabilidade</t>
  </si>
  <si>
    <t>Alinhamento técnico - nova fábrica de líquidos - premissas equipamentos e processo</t>
  </si>
  <si>
    <t>Avaliação do resultado de reanálise da vitamina K</t>
  </si>
  <si>
    <t>Definição  de informação nutriocional do produto, com base em tendência de comportamento</t>
  </si>
  <si>
    <t>Aplicação de critérios de aceitação para elaboração de especificação de pré mix utilizadas na formulação</t>
  </si>
  <si>
    <t>Verificação custos para nova fábrica líquidos</t>
  </si>
  <si>
    <t>Estudo estabilidade proteínas em emulsões</t>
  </si>
  <si>
    <t>2023 - Proteína Líquida</t>
  </si>
  <si>
    <t>Validação Business Case sorvete</t>
  </si>
  <si>
    <t>Atualiazação spec pouch + testes caixa de expedição</t>
  </si>
  <si>
    <t>Realização análises FQ dietas HH, HN, HNcF</t>
  </si>
  <si>
    <t>Atualização arquivos com resultados análises FQ + planejamento teste piloto Embrapa + envio pouches teste migração</t>
  </si>
  <si>
    <t>Testes caixa de expedição</t>
  </si>
  <si>
    <t>Alinhamento teste piloto Embrapa</t>
  </si>
  <si>
    <t>Estudo estabilidade proteínas em emulsões + contato fornecedores</t>
  </si>
  <si>
    <t>Alinhamento técnico estrutura pouch + laudo de migração</t>
  </si>
  <si>
    <t>Alinhamento teste piloto Embrapa - instalação high shear</t>
  </si>
  <si>
    <t>Alinhamento técnico instalação envasadora e teste piloto pouch</t>
  </si>
  <si>
    <t>Contato fornecedor - entendimento estabilidade proteína</t>
  </si>
  <si>
    <t>Alinhamento teste piloto Embrapa - instalação high shear + laudo migração pouch</t>
  </si>
  <si>
    <t>Atualização Business Case sorvete</t>
  </si>
  <si>
    <t>Atualização e validação formulação sorvete</t>
  </si>
  <si>
    <t>Contato fornecedor - entendimento estabilidade proteína + desenvolvimento da 1a formulação</t>
  </si>
  <si>
    <t>Alinhamento técnico cronograma projeto</t>
  </si>
  <si>
    <t>Desenvolvimento fórmulas iniciais para TB</t>
  </si>
  <si>
    <t>Contato fornecedor - nova proteína</t>
  </si>
  <si>
    <t>Contato fornecedor - entendimento composição nova MP</t>
  </si>
  <si>
    <t>Estudo formulação e MP's</t>
  </si>
  <si>
    <t>Entendimento análise sensorial concorrentes e novas aplicações + estudo nova formulação</t>
  </si>
  <si>
    <t>Avaliação custos novas MP's</t>
  </si>
  <si>
    <t>Trâmites fiscais - teste Latco</t>
  </si>
  <si>
    <t>Desenvolvimento fórmula inicial</t>
  </si>
  <si>
    <t>Planejamento TB</t>
  </si>
  <si>
    <t>Atualização custo formulação + apresentação banca Business Case</t>
  </si>
  <si>
    <t>Atualização cronograma projeto + alinhamento instalação envasadora para TP</t>
  </si>
  <si>
    <t>Bancada formulações iniciais + avaliação resultados</t>
  </si>
  <si>
    <t>Planejamento teste piloto - disponibilidade de MP's</t>
  </si>
  <si>
    <t>Avaliação resultados TB + planejamento novas formulações</t>
  </si>
  <si>
    <t>Elaboração specs Prodiet novas MP's</t>
  </si>
  <si>
    <t>Estudo novo WPH sem lactose + contato fornecedores</t>
  </si>
  <si>
    <t>Estudo novos sachês amostras</t>
  </si>
  <si>
    <t>Elaboração formulações</t>
  </si>
  <si>
    <t>Ajustes formulação UTI - baixa viscosidade</t>
  </si>
  <si>
    <t>Planejamento teste piloto Embrapa - uso high shear</t>
  </si>
  <si>
    <t>Planejamento teste piloto Embrapa - simulações + instalação high-shear</t>
  </si>
  <si>
    <t>Trâmites logísticos teste Embrapa</t>
  </si>
  <si>
    <t>Planejamento teste piloto Embrapa - simulações + pesagem MP's</t>
  </si>
  <si>
    <t>Avaliação resultados T12 dietas HH/HN/HNcF</t>
  </si>
  <si>
    <t>Elaboração relatório testes de bancada</t>
  </si>
  <si>
    <t>Alinhamento técnico resultados testes bancada para piloto</t>
  </si>
  <si>
    <t>Ajustes formulações com aminoácidos</t>
  </si>
  <si>
    <t>Elaboração specs Prodiet novas MP's + planejamento teste piloto 20kg</t>
  </si>
  <si>
    <t>Planejamento teste piloto Embrapa - simulações + pesagem MP's + ajustes sistema</t>
  </si>
  <si>
    <t>Alinhamento técnico - teste piloto</t>
  </si>
  <si>
    <t>Ajuste cronograma teste industrial Latco</t>
  </si>
  <si>
    <t>Publicação especificações novas MP's</t>
  </si>
  <si>
    <t>Estudo enzima em rotulagem + WPH sem lactose</t>
  </si>
  <si>
    <t>Planejamento teste piloto Embrapa -  pesagem MP's + envio materiais</t>
  </si>
  <si>
    <t>Planejamento teste piloto Embrapa -  pesagem MP's + envio materiais / teste industrial Latco</t>
  </si>
  <si>
    <t>Alinhamento técnico nova envasadora para fábrica Prodiet</t>
  </si>
  <si>
    <t>Double check MP's envio Embrapa + fracionamento aditivos</t>
  </si>
  <si>
    <t>Estudo WPH sem lactose + contato fornecedores</t>
  </si>
  <si>
    <t>Planejamento teste piloto Embrapa -  envio materiais / revisão simulações</t>
  </si>
  <si>
    <t>Planejamento teste piloto Embrapa -  receitas a serem testadas + deslocamento RJ</t>
  </si>
  <si>
    <t>Teste piloto Embrapa - UTI</t>
  </si>
  <si>
    <t>Teste piloto Embrapa - receitas validadas em TB</t>
  </si>
  <si>
    <t>Elaboração relatório teste piloto Embrapa</t>
  </si>
  <si>
    <t>Contato fornecedor novo WPI</t>
  </si>
  <si>
    <t>Preenchimento das ET's dos Retorts HH, HN e HNcF.</t>
  </si>
  <si>
    <t>Aplicação de testes sensorias para o produto com aroma reformulado</t>
  </si>
  <si>
    <t>Avaliação da manutenção da informação nutricional do produto Baunilha nos sabores chocolate e morango</t>
  </si>
  <si>
    <t>Avaliação de documento de fibra de batata para aplicação no produto</t>
  </si>
  <si>
    <t>Desenvolvimento de estratégia para inclusão de produto no sistema Protheus</t>
  </si>
  <si>
    <t>Aplicação de critérios de aceitação para utilização de óleo de girassol nos produtos e contato com fornecedor do óleo</t>
  </si>
  <si>
    <t>Elaboração de comparativo entre diferentes fórmulas do produto Diamax IG RTH para registro do produto</t>
  </si>
  <si>
    <t>Elaboração de resposta de exigência Anvisa para registro do produto Diamax IG RTH</t>
  </si>
  <si>
    <t>Aplicação de critérios de aceitação para especificação técnica do produtos sabor baunilha e chocolate</t>
  </si>
  <si>
    <t>Condução de teste piloto em planta piloto para avaliação do pH do produto, após alteração da composição de fibras</t>
  </si>
  <si>
    <t>Avaliação de fontes de nutrientes em pré mix de minerais que podem estar contribuindo para aumento de pH no produto acabado</t>
  </si>
  <si>
    <t>Avaliação de ações necessárias para continuidade dos testes de desenvolvimento do produto Trophic Soya 1.5 Fiber</t>
  </si>
  <si>
    <t>Separação de amostras para envio análises de EE</t>
  </si>
  <si>
    <t>Pesquisa por novos fornecedores de matéria prima</t>
  </si>
  <si>
    <t>Elaboração de estudo de protocolo retomada de projeto com PUCPR</t>
  </si>
  <si>
    <t>Elaboração da informação nutricional com leite</t>
  </si>
  <si>
    <t>Execução das análises fisico quimicas no produto com 12 meses de validade, par comporvação da validade</t>
  </si>
  <si>
    <t>Alinhamento técnico sobre protocolo do projeto com PUCPR</t>
  </si>
  <si>
    <t>Participação em evento de fornecedor de aroma nobre Inovação</t>
  </si>
  <si>
    <t>Execução da análise para determinação do valor de osmolalidade</t>
  </si>
  <si>
    <t>Levantamento de análises e testes para elaboração de budget</t>
  </si>
  <si>
    <t>Organização das análises laboratóriais e preparo do envio das amostras.</t>
  </si>
  <si>
    <t>Separação e preparo de amostras para envio para análises externas.</t>
  </si>
  <si>
    <t>Conferência de laudos/parâmetros/monografia para peticionamento do HNcF.</t>
  </si>
  <si>
    <t>Análise de dados e elaboração do relatório de Estudo de Estabilidade e do relatório de administração do Retort HNcF.</t>
  </si>
  <si>
    <t>Preenchimento do Estudo de Estabilidade do Diamax IN e organização dos laudos/dados.</t>
  </si>
  <si>
    <t>Pesquisa na literatura científica sobre o comportamento dos nutrientes observados durante o EE do HH.</t>
  </si>
  <si>
    <t>Pesquisa na literatura e análise de CoAs de fonte de nutrientes. Criação da base de dados com as características dos minerais/vitaminas.</t>
  </si>
  <si>
    <t>Planejamento de TI Latco</t>
  </si>
  <si>
    <t>Viabilizando proteinas com fornecedor Vogler</t>
  </si>
  <si>
    <t>Análise para viabilzar projeto in house</t>
  </si>
  <si>
    <t>Estudo de distribuição e penetraçào de calor</t>
  </si>
  <si>
    <t>Planejamento de TP</t>
  </si>
  <si>
    <t>Estudo de distribuição e penetração de calor</t>
  </si>
  <si>
    <t>Atualizações</t>
  </si>
  <si>
    <t>Análise para viabilzar MP</t>
  </si>
  <si>
    <t>BC versão embalagem lata 140g</t>
  </si>
  <si>
    <t>Planejamento teste industrial Latco</t>
  </si>
  <si>
    <t>Treinamento para o projeto de proteína líquida</t>
  </si>
  <si>
    <t>Deslocamento teste proteína líquida</t>
  </si>
  <si>
    <t>TB para avaliação de MP (proteína) alternativa</t>
  </si>
  <si>
    <t>Elaboração Instruções de Fabricação teste Latco + planejamento teste industrial Latco</t>
  </si>
  <si>
    <t>Alinhamento técnico validação térmica da autoclave</t>
  </si>
  <si>
    <t>Verificação de matérias-primas para o teste retort Latco</t>
  </si>
  <si>
    <t>Inserção Centric NHcF com ajuste de miexes</t>
  </si>
  <si>
    <t>Planejamento teste Latco - chegada pouches / bandejas autoclave</t>
  </si>
  <si>
    <t>Inserção Centric fórmula NHcF com ajuste mixes</t>
  </si>
  <si>
    <t>Estudo de formulação de proteína líquida</t>
  </si>
  <si>
    <t>Atualização de cronograma + planejamento de testes</t>
  </si>
  <si>
    <t>Estudos de relatórios anteriores do processo retort</t>
  </si>
  <si>
    <t>Estudo dos relatórios dos testes retorts anteriores</t>
  </si>
  <si>
    <t>Discussão técnica e alinhamento - resultados 2° semestre</t>
  </si>
  <si>
    <t>Double check MP's envio Latco</t>
  </si>
  <si>
    <t>Contato fornecedor - novas embalagens retort</t>
  </si>
  <si>
    <t>Contato fornecedor - entedimento da estabilidade de proteína</t>
  </si>
  <si>
    <t>Trâmites fiscais - NF's teste industrial Latco</t>
  </si>
  <si>
    <t>Atualização cronograma teste industrial Latco</t>
  </si>
  <si>
    <t>Pesquisa básica para desenvolvimento de protocolo de estudo clinico</t>
  </si>
  <si>
    <t>congresso ESPEN - atualizações paciente UTI, Oncologia, Pesquisa clínica e estudos de casos</t>
  </si>
  <si>
    <t>Pesquisa básica para elaboração de material cientifico</t>
  </si>
  <si>
    <t>Elaboração relatório sobre teste de envase na máquina envasadora</t>
  </si>
  <si>
    <t>Produção de amostra de bancada para envio para análise externa</t>
  </si>
  <si>
    <t>Degustação de produto para avaliação de sabor propoposta aroma baunilha IFF</t>
  </si>
  <si>
    <t>Alinhamento status projetos entre P&amp;D e AR</t>
  </si>
  <si>
    <t>Elaboração do relatório com resultados testes com óleo liquido e dióxido de silício</t>
  </si>
  <si>
    <t>Contato fornecedores feedback testes MPs e homologação</t>
  </si>
  <si>
    <t>Elaboração apresentação resultados do último quadrimestre de 2023</t>
  </si>
  <si>
    <t>Teste de bancada com aplicação de WPC substituindo Caseinato para degustação e avaliação de sabor</t>
  </si>
  <si>
    <t>Teste de bancada com aplicação de MPC substituindo Caseinato para degustação e avaliação de sabor</t>
  </si>
  <si>
    <t>Alinhamento budget 2024</t>
  </si>
  <si>
    <t>Cálculo de custo da formulação substituindo Caseinato por WPC e MPC</t>
  </si>
  <si>
    <t>Atualização da conclusão no relatório de teste de óleo liquido com dióxido</t>
  </si>
  <si>
    <t>Análise de aspecto, sabor, odor, administração em sonda e osmolalidade da amostra com validade de 18 meses envasada em sachê a vácuo</t>
  </si>
  <si>
    <t>Replicação da alteração de fórmula no software após teste de bancada para definiação da dose de aditivos</t>
  </si>
  <si>
    <t>Alinhamento de contrato teste/consultoria Alvaro PUCPR</t>
  </si>
  <si>
    <t>Alinhamento atividades e prazos com outros setores</t>
  </si>
  <si>
    <t>Compilado dos itens discutidos entre alinhamento das áreas</t>
  </si>
  <si>
    <t>Elaboração relatório com testes de aplicação e degustação do WPC e MPC como substituição do caseinato</t>
  </si>
  <si>
    <t>Alinhamento status do projeto e elaboração da AF com Marketing</t>
  </si>
  <si>
    <t>Desenvolvimento de novo produto - avaliação de viabilidade</t>
  </si>
  <si>
    <t>Alinhamento de resultados de pesquisa clínica</t>
  </si>
  <si>
    <t>Desenvolvimento de materiais para comunicação sobre novo produto</t>
  </si>
  <si>
    <t>Avaliação de especificação técnica para HH, HN e HNcF</t>
  </si>
  <si>
    <t>Definição e estratétigia para execução de teste piloto</t>
  </si>
  <si>
    <t>Revisão de Informação nutricional de fibras, frente a requisitos legais.</t>
  </si>
  <si>
    <t>Elaboração de cronograma para participação de P&amp;D na instalação de autoclave industrial</t>
  </si>
  <si>
    <t>Aplicação de critérios de aceitação, para eleger formulação que irá para teste piloto e início de estudo de estabilidade</t>
  </si>
  <si>
    <t>Aplicação de critérios de aceitação para especificação de qualidade dos aromas utilizados no produto.</t>
  </si>
  <si>
    <t>Avaliação sensorial para produto sabor morango, com diferentes propostas de aromas.</t>
  </si>
  <si>
    <t>Avaliação sensorial para produto com pH corrigido com ácido cítrico</t>
  </si>
  <si>
    <t>Elaboração de estratégia para execução de teste piloto.</t>
  </si>
  <si>
    <t>Aplicação de critérios de aceitação em relatório de estudo de estabilidade da dieta HNcF</t>
  </si>
  <si>
    <t>Pesquisa para determinação de requisitos de matérias primas, para prospecção de fornecedores</t>
  </si>
  <si>
    <t>Avaliação de fórmulas Centric premix minerais, para verificação de atendimento ao target nutricional</t>
  </si>
  <si>
    <t>Aplicação de norma de amostragem, para determinação de número de amostras significativas para análise de defeito no hanger</t>
  </si>
  <si>
    <t>Elaboração de relatório final de estudo de estabilidade para confirmação do prazo de validade do produto</t>
  </si>
  <si>
    <t>Elaboração de documento descritivo das características dos produto</t>
  </si>
  <si>
    <t>Aplicação de análise sensorial para avaliação da reformulação do produto.</t>
  </si>
  <si>
    <t>Aplicação de critérios de aceitação para testes realizados com pré mix de minerais reformulado</t>
  </si>
  <si>
    <t>Avaliação da viabilidade de realização de testes de bancadas na Embrapa</t>
  </si>
  <si>
    <t>Elaboração de estratégia para cadastro de produto, afim de eliminar duplicidade</t>
  </si>
  <si>
    <t>Elaboração de racional para determinação do motivo para decaimento de vitamina C na dieta UTI</t>
  </si>
  <si>
    <t>Elaboração de estratégia para inicio de estudo de avaliação de manutenção da cor, para produto sabor morango</t>
  </si>
  <si>
    <t>Benchmarking em fornecedor de pré mix para estabelecer necessidades para o projeto</t>
  </si>
  <si>
    <t>Aplicação de critérios de seleção, junto a fornecedor de estabilizantes, para melhora de fórmula do produto</t>
  </si>
  <si>
    <t>Aplicação de critérios de seleção, junto a laboratório analítico para avaliação da continuidade das análises de T12</t>
  </si>
  <si>
    <t>Avaliação crítica de pontos levantados em benchmarking, e discussão com gerência e diretoria quais serão os pontos de controle</t>
  </si>
  <si>
    <t>Aplicação de critérios de aceitação para definição de periodicidade de análise de matérias primas</t>
  </si>
  <si>
    <t>Reunião de followup de projeto</t>
  </si>
  <si>
    <t>Discussão de risco da nova apresentação comercial do UHT com adaptador RTH</t>
  </si>
  <si>
    <t>Elaboração de apresentação para equipe comercial</t>
  </si>
  <si>
    <t>Planejamento de testes em co-packer Latco</t>
  </si>
  <si>
    <t>Revisão de apresentação para equipe comercial</t>
  </si>
  <si>
    <t>Visita in loco ao fornecedor NeoBrasil</t>
  </si>
  <si>
    <t>Apresentação do produto reformulado na Conveção Comercial</t>
  </si>
  <si>
    <t>Reunião com fornecedor Cargill</t>
  </si>
  <si>
    <t>Visita in loco ao fornecedor Eurofins</t>
  </si>
  <si>
    <t>Planejamento teste piloto Prodiet</t>
  </si>
  <si>
    <t>Atualização cronograma + planejamento testes bancada nova proteína</t>
  </si>
  <si>
    <t>Planejamento feira CPHI Barcelona</t>
  </si>
  <si>
    <t>Avaliação resultados testes de bancada + planejamento testes bancada</t>
  </si>
  <si>
    <t>Apresentação higlights evento Degusta Duas Rodas</t>
  </si>
  <si>
    <t>Estudo matriz com dados dieta NHcF + planejamento teste industrial Latco</t>
  </si>
  <si>
    <t>Avaliação novas MP's para teste piloto</t>
  </si>
  <si>
    <t>Verificação novas MP's para teste bancada</t>
  </si>
  <si>
    <t>Atualização cronograma + planejamento testes</t>
  </si>
  <si>
    <t>Planejamento feira CPHI Barcelona + contato fornecedores</t>
  </si>
  <si>
    <t>Estudo matriz com dados dieta NHcF</t>
  </si>
  <si>
    <t>Alinhamento técnico teste piloto Prodiet</t>
  </si>
  <si>
    <t>Deslocamento CPHI Barcelona</t>
  </si>
  <si>
    <t>Evento CPHI Barcelona - prospecção novos fornecedores</t>
  </si>
  <si>
    <t>Compilação dados CPHI Barcelona + contato fornecedores + planejamento teste industrial Latco</t>
  </si>
  <si>
    <t>Alinhamento técnico validação térmica autoclave</t>
  </si>
  <si>
    <t>Ajuste fórmulas Centric premix minerais + apresentação CPHI Barcelona</t>
  </si>
  <si>
    <t>Alinhamento técnico fórmulas Centric + teste industrial Latco</t>
  </si>
  <si>
    <t>Contato fornecedores CPHI Barcelona</t>
  </si>
  <si>
    <t>Entendimento formula avaliada pelo Centífíco</t>
  </si>
  <si>
    <t>Estudo consumo novas MP's</t>
  </si>
  <si>
    <t>Atualização pastas sistema</t>
  </si>
  <si>
    <t>Avaliação WPH baixa lactose</t>
  </si>
  <si>
    <t>Atualização matriz dieta HN</t>
  </si>
  <si>
    <t>Planejamento TP Prodiet</t>
  </si>
  <si>
    <t>Planejamento teste Latco - chegada pouches / bandejas autoclave / pesagem MP's</t>
  </si>
  <si>
    <t>Ativação novas estruturas</t>
  </si>
  <si>
    <t>Estudo previsão budget 2024</t>
  </si>
  <si>
    <t>Deslocamento teste Latco</t>
  </si>
  <si>
    <t>Avaliação documentos pouch</t>
  </si>
  <si>
    <t>Organização e avaliação MP's retort laboratório</t>
  </si>
  <si>
    <t>TP Prodiet avaliação dimensional embalagem + Avaliação dos resultados + Atualização relatório</t>
  </si>
  <si>
    <t>TP novo adaptador e hanger + avaliação resultados</t>
  </si>
  <si>
    <t>Criação estrutura NHcF</t>
  </si>
  <si>
    <t>Alinhamento e avaliação resultados TP novo adaptador/hanger</t>
  </si>
  <si>
    <t>Planejamento teste Ltaco + Atualização e treinamento cronogramas</t>
  </si>
  <si>
    <t>Atualização relatório + cronograma</t>
  </si>
  <si>
    <t>Alinhamento técnico teste Latco</t>
  </si>
  <si>
    <t>Atualização cronogramas</t>
  </si>
  <si>
    <t>Pesquisa científica para conteúdo científico do produto</t>
  </si>
  <si>
    <t>Pesquisa científica para desenvolvimento do produto</t>
  </si>
  <si>
    <t>Pesquisa básica - análise de desfechos e resumo científico.</t>
  </si>
  <si>
    <t>Desenvolvimento de conteúdo científico para submissão da pesquisa</t>
  </si>
  <si>
    <t>Pesquisa básica para desenvolvimento de protocolo e prospecção</t>
  </si>
  <si>
    <t>Pesquisa científica para desenvolvimento de conteúdo científico</t>
  </si>
  <si>
    <t>Pesquisa básica para desenvolvimento de protocolo de estudo.</t>
  </si>
  <si>
    <t>Pesquisa básica para desenvolvimento de conteúdo científico</t>
  </si>
  <si>
    <t>BRASPEN - pesquisa elaboração poster apresentação estudos de caso</t>
  </si>
  <si>
    <t>Congresso BRASPEN - - atualizações paciente UTI, Oncologia, Pesquisa clínica e estudos de casos</t>
  </si>
  <si>
    <t>Pesquisa básica para desenvolvimento do produto</t>
  </si>
  <si>
    <t>Pesquisa básica para desenvolvimento de respaldo científico</t>
  </si>
  <si>
    <t>Pesquisa básica para elaboração de protocolo de estudo</t>
  </si>
  <si>
    <t>Braspen - material atualização paciente UTI, Oncologia, Pesquisa clínica e estudos de casos</t>
  </si>
  <si>
    <t>Pesquisa básica para desenvolvimento de pesquisa de aplicação, desenho de protocolo</t>
  </si>
  <si>
    <t>Pesquisa básica para desenvolvimento de novo produto e apresentação</t>
  </si>
  <si>
    <t>Pesquisa clínica - alinhamento de pesquisa e desfecho de prospecção</t>
  </si>
  <si>
    <t>Pesquisa básica de MP para desenvolvimento do produto</t>
  </si>
  <si>
    <t>Pesquisa básica - análise de desfechos</t>
  </si>
  <si>
    <t>Pesquisa básica para avaliação de MP para desenvolvimento do produto</t>
  </si>
  <si>
    <t>SUM de Tempo(h)</t>
  </si>
  <si>
    <t>SUM de Custo</t>
  </si>
  <si>
    <t>Camila Mendes Pereira Total</t>
  </si>
  <si>
    <t>Hellin dos Santos Total</t>
  </si>
  <si>
    <t>Juliana Lamas Roberto Total</t>
  </si>
  <si>
    <t>Lizianne Angelica Shmeil Total</t>
  </si>
  <si>
    <t>Total geral</t>
  </si>
  <si>
    <r>
      <rPr>
        <rFont val="Source Sans Pro"/>
        <color rgb="FF666666"/>
        <sz val="10.0"/>
      </rPr>
      <t xml:space="preserve">Formulário de PD&amp;I - </t>
    </r>
    <r>
      <rPr>
        <rFont val="Source Sans Pro"/>
        <b/>
        <color rgb="FF666666"/>
        <sz val="10.0"/>
      </rPr>
      <t>Ano2023</t>
    </r>
  </si>
  <si>
    <t>Rateio</t>
  </si>
  <si>
    <t>Investimentos com terceiros</t>
  </si>
  <si>
    <t>Diferença</t>
  </si>
  <si>
    <t>Fornecedor</t>
  </si>
  <si>
    <t>CNPJ</t>
  </si>
  <si>
    <t>Notafiscal</t>
  </si>
  <si>
    <t>Valor</t>
  </si>
  <si>
    <t>Descrição da Atividade</t>
  </si>
  <si>
    <t>Objetivo do gasto e eventual info de rateio</t>
  </si>
  <si>
    <t>Incentivado?</t>
  </si>
  <si>
    <t>Valor incentivado</t>
  </si>
  <si>
    <t>Conf. val. rateio</t>
  </si>
  <si>
    <t>Count</t>
  </si>
  <si>
    <t>INOV00015</t>
  </si>
  <si>
    <t>INOV00013|INOV00001</t>
  </si>
  <si>
    <t>Eurofins do Brasil Análise de Alimentos Ltda.</t>
  </si>
  <si>
    <t>Análise de vitaminas, minerais e macronutrientes (Trophic Basic Enteral a vácuo - T6A / T12LD NHcF)</t>
  </si>
  <si>
    <t>J&amp;J Serviços de Entregas Ltda - ME</t>
  </si>
  <si>
    <t>Envio de amostra para análise</t>
  </si>
  <si>
    <t>Fundação de Apoio à Universidade de São Paulo</t>
  </si>
  <si>
    <t>Análise de DP – Avaliação de pressão de homogeneização.</t>
  </si>
  <si>
    <t>ZAY SERVIÇOS DE ANÁLISES QUÍMICAS LTDA</t>
  </si>
  <si>
    <t>Aluguel de espaço em câmara climática, para estudo acelerado das dietas retort HH, HN e HNcF V04 e V05 + sachê a vácuo</t>
  </si>
  <si>
    <t>CELL TARGET EVENTOS E CURSOS LTDA</t>
  </si>
  <si>
    <t>Inscrição em congresso para profissional autor de relato de caso</t>
  </si>
  <si>
    <t>FoodTech Consultoria Ltda.</t>
  </si>
  <si>
    <t>Curso FoodTech - Inovação de Alimentos</t>
  </si>
  <si>
    <t>Nota em nome Camila</t>
  </si>
  <si>
    <t>DPR Turismo Ltda</t>
  </si>
  <si>
    <t>Aluguel de veículo visita DSM Suíça</t>
  </si>
  <si>
    <t>INOV00011</t>
  </si>
  <si>
    <t>Envio de amostra para análise (PL - T16LD)</t>
  </si>
  <si>
    <t>Fundação de apoio à Pesquisa</t>
  </si>
  <si>
    <t>Apoio à pesquisa clinica</t>
  </si>
  <si>
    <t>PRODIET NUTRICAO CLINICA LTDA</t>
  </si>
  <si>
    <t>Doação de Produtos para Estudo de Caso</t>
  </si>
  <si>
    <t>Análise de vitaminas marcadoras para T6LD das dietas HH, HN e HNcF</t>
  </si>
  <si>
    <t>Análise de vitaminas C e B1 - teste Daus</t>
  </si>
  <si>
    <t>Envio de amostra de bobina para teste Científico</t>
  </si>
  <si>
    <t>INOV00016|INOV00013</t>
  </si>
  <si>
    <t>Envio para análise de PL para T9 (Trophic Soya 1.5) e reanálise do T6A e T6LD (Trophic Basic Enteral vácuo)</t>
  </si>
  <si>
    <t>Análise de vitaminas, minerais e macronutrientes para T9LD</t>
  </si>
  <si>
    <t>INOV00012|INOV00025</t>
  </si>
  <si>
    <t>Studio Madcreative Design Ltda - ME</t>
  </si>
  <si>
    <t>Serviços de marketing - Desenvolvimento de rotulagem, naming, estudos de concorrentes / Ajuste de rotulagem</t>
  </si>
  <si>
    <t>Fundação de desenv. da pesquisa do agronegócio - FUNDEPAG</t>
  </si>
  <si>
    <t>Análise de perfil lipídico - T9</t>
  </si>
  <si>
    <t>Análise de perfil lipídico - T6A das dietas HH, HN e HNcF</t>
  </si>
  <si>
    <t>Análise de perfil lipídico - T6A</t>
  </si>
  <si>
    <t>Envio de amostra para análise de DP</t>
  </si>
  <si>
    <t>AZUL LINHAS AEREAS BRASILEIRAS S.A.</t>
  </si>
  <si>
    <t>NA</t>
  </si>
  <si>
    <t>Aéreo teste Embrapa/RJ - Lizianne</t>
  </si>
  <si>
    <t>abril/2023</t>
  </si>
  <si>
    <t>GOL Linhas Aéreas S.A</t>
  </si>
  <si>
    <t>Aéreo teste Embrapa/RJ - Juliana</t>
  </si>
  <si>
    <t>Análise de DHA, para amostra com produção Prodiet</t>
  </si>
  <si>
    <t>Análise de macronutrientes para teste piloto realizado na Doremus</t>
  </si>
  <si>
    <t>Doação de amostra para pesquisador</t>
  </si>
  <si>
    <t>Análise de perfil lipídico para T6A</t>
  </si>
  <si>
    <t>Análise de vitaminas, minerais e macronutrientes para T6A das dietas HH, HN e HNcF</t>
  </si>
  <si>
    <t>Trip Travel</t>
  </si>
  <si>
    <t>Aéreo ASPEN (retorno)</t>
  </si>
  <si>
    <t>American Airlines</t>
  </si>
  <si>
    <t>Aéreo ASPEN (ida)</t>
  </si>
  <si>
    <t>Hospedagem Las vegas (1 noite adiantamento)</t>
  </si>
  <si>
    <t>Inscrição no congresso ASPEN</t>
  </si>
  <si>
    <t>RDV teste Embrapa/RJ</t>
  </si>
  <si>
    <t>RDV teste Embrapa/RJ - Everton</t>
  </si>
  <si>
    <t>CAD - CLINICA DE ANESTESIOLOGIA E DOR LTDA</t>
  </si>
  <si>
    <t>Publicação em evento científico</t>
  </si>
  <si>
    <t>INOV00014|INOV00016</t>
  </si>
  <si>
    <t>TAM Linhas Aéreas S.A.</t>
  </si>
  <si>
    <t>Aéreo teste IFF/SP - Lorini</t>
  </si>
  <si>
    <t>Ajustado</t>
  </si>
  <si>
    <t>Envio de MP para teste Embrapa/RJ</t>
  </si>
  <si>
    <t>Tourhouse</t>
  </si>
  <si>
    <t>Assist Card - seguro 19-26/04</t>
  </si>
  <si>
    <t>LSD Serviços de Tradução LTDA</t>
  </si>
  <si>
    <t>Tradução de resumo para congresso</t>
  </si>
  <si>
    <t>Labor Três Laboratórios e Consultoria Técnica Ltda.</t>
  </si>
  <si>
    <t>Análise de esterilidade comercial - T0 UTI</t>
  </si>
  <si>
    <t>Envio de amostra para análise de EC e PL</t>
  </si>
  <si>
    <t>RDV teste IFF - Cotia/SP - Juliana</t>
  </si>
  <si>
    <t>Envio de amostra para análise de PL</t>
  </si>
  <si>
    <t>Análise de marcadores para T9LD das dietas HH, HN e HNcF</t>
  </si>
  <si>
    <t>Análise de marcadores para T6LD das dietas Diamax IG RTH e Trophic Soya RTH</t>
  </si>
  <si>
    <t>INOV00001|INOV00021</t>
  </si>
  <si>
    <t>Análise de Vitamina C e ácido pantotênico no retort UTI – teste março/2023 / Análise de zinco e proteína para amostra de teste de bancada do projeto sobremesa</t>
  </si>
  <si>
    <t>Fundação Arthur Bernardes</t>
  </si>
  <si>
    <t>1a/2 parcela contrato Embrapa FUNARBE de R$19.200,00 (contrato 004/23)</t>
  </si>
  <si>
    <t>Análise de perfil lipídico</t>
  </si>
  <si>
    <t>Doação de produtos para realização de série de casos</t>
  </si>
  <si>
    <t>Análise de perfil lipídico - T12LD</t>
  </si>
  <si>
    <t>INOV00014|INOV00016|INOV00010|INOV00001</t>
  </si>
  <si>
    <t>Análise de vit C e Cu de teste realizado na IFF, para avaliação de agente protetor da vitamina C (Trophic Soya 1.5 Fiber) / Análise de vit C de teste realizado na IFF, para avaliação de agente protetor da vitamina C (Energyzip 25%) / Análise para homologação de pré-mix ALT (Diamax IN) / Análise de marcadores T6LD  (UTI)</t>
  </si>
  <si>
    <t>Doação de Produtos para Estudo de Caso - Jenifer Cardoso</t>
  </si>
  <si>
    <t>Doação de Produtos para Estudo de Caso - Juliana Pastore</t>
  </si>
  <si>
    <t>MCI Suisse SA, Rue du Pré-Bouvier 9, 1242 Satigny, Switzerland - ESPEN</t>
  </si>
  <si>
    <t>Inscrição em congresso ESPEN</t>
  </si>
  <si>
    <t>Cell Target Eventos e Cursos Ltda.</t>
  </si>
  <si>
    <t>Inscrição em congresso para apresentação de resultados de estudo de caso/divulgação científica</t>
  </si>
  <si>
    <t>2a/2 parcela contrato Embrapa FUNARBE de R$19.200,00 (contrato 004/23)</t>
  </si>
  <si>
    <t>Aéreo teste Tetra Pak Monte Mor/SP - Rafael</t>
  </si>
  <si>
    <t>Análise de vitaminas, minerais e macronutrientes para T12</t>
  </si>
  <si>
    <t>INOV00019|INOV00010</t>
  </si>
  <si>
    <t>Análise de vitaminas, minerais e macronutrientes para T0 do Energyzip Pó Morango / Análise para verificar a presença de Vitamina B1 no Aroma de Leite Condensado</t>
  </si>
  <si>
    <t>Análise de vitaminas para o Trophic Soya 1.5 Fiber após teste industrial</t>
  </si>
  <si>
    <t>INOV00016|INOV00040</t>
  </si>
  <si>
    <t>DEUTSCHE LUFTHANSA AG</t>
  </si>
  <si>
    <t>Passagem aérea para teste P&amp;D - Latco</t>
  </si>
  <si>
    <t>Não localizada na contabilidade</t>
  </si>
  <si>
    <t>Análise de marcadores para o Trophic Soya RTH e Diamax RTH - T9LD</t>
  </si>
  <si>
    <t>TUV SUD SFDK Laboratório de Análise de Produto Ltda</t>
  </si>
  <si>
    <t>Análise de iodo  - T12</t>
  </si>
  <si>
    <t>BQ PLUS MEDICAL CO LTD</t>
  </si>
  <si>
    <t>BQ20231084-F</t>
  </si>
  <si>
    <t>Molde (ativo) para injeção de uma peça plástica</t>
  </si>
  <si>
    <t>Projeto não incentivado</t>
  </si>
  <si>
    <t>Análise de macronutrientes, minerais e vitaminas para HH, HN e HNcF - T12</t>
  </si>
  <si>
    <t>Análise de vitaminas e minerais do Trophic Soya 1.5 T12, visando a extensão de shelf life</t>
  </si>
  <si>
    <t>INOV00031|INOV00010</t>
  </si>
  <si>
    <t>Clinica Valente de Geriatria</t>
  </si>
  <si>
    <t>44.442.510/0001-94</t>
  </si>
  <si>
    <t>Consultoria científica - envelhecimento e massa muscular</t>
  </si>
  <si>
    <t>BRASPEN</t>
  </si>
  <si>
    <t>inscrição BRASPEN pesquisadora Gesika - projeto relato de caso</t>
  </si>
  <si>
    <t>INOV00040|INOV00017</t>
  </si>
  <si>
    <t>Análise de Vitaminas, Minerais e Macronutrientes do Energyzip Suslac (T0) / Análise de lactose para a linha Soya pó</t>
  </si>
  <si>
    <t>Tetra Pak LTDA</t>
  </si>
  <si>
    <t>Teste industrial do Trophic Soya 1.5 Fiber na Tetra Pak.</t>
  </si>
  <si>
    <t>INOV00001|INOV00041</t>
  </si>
  <si>
    <t>LOCALIZA RENT A CAR S/A</t>
  </si>
  <si>
    <t>AASDU - 1134842</t>
  </si>
  <si>
    <t>Aluguel de carro para o teste piloto na EMBRAPA/RJ</t>
  </si>
  <si>
    <t>Análise de lactose, glúten e aminograma.</t>
  </si>
  <si>
    <t>Barra Bonita Shopping Empreendimentos e Participações LTDA</t>
  </si>
  <si>
    <t>00.821.438/0002-11</t>
  </si>
  <si>
    <t>Hospedagem durante teste piloto na EMBRAPA/RJ</t>
  </si>
  <si>
    <t>Retirado pelo Gerson</t>
  </si>
  <si>
    <t>Análise de Macronutrientes, minerais e vitaminas DiamaxIN (T12) e NEO (T0)</t>
  </si>
  <si>
    <t>Envio de amostra para análise (tamanho de termopar)</t>
  </si>
  <si>
    <t>Análise de Macronutrientes, minerais e vitaminas</t>
  </si>
  <si>
    <t>Análise de vitaminas.</t>
  </si>
  <si>
    <t>INOV00001|INOV00031</t>
  </si>
  <si>
    <t>Análise de distribuição de partículas em Trophic Soya produzido na DAUS</t>
  </si>
  <si>
    <t>testes pilotos realizados na TetraPak, para matrização de novas fórmulas.</t>
  </si>
  <si>
    <t>Doação de Produto Immax para Pesquisa Clinica</t>
  </si>
  <si>
    <t>Análise de Vitamina C (T0)</t>
  </si>
  <si>
    <t>Doação de Produto Immax/Peptimax para Estudo de Caso</t>
  </si>
  <si>
    <t>Doação de Produto Peptimax/Instanth Neo para Estudo de caso</t>
  </si>
  <si>
    <t>Doação de Produto Immax para Estudo de Caso</t>
  </si>
  <si>
    <t>Doação de Produto Retort UTI para Pesquisa Clinica</t>
  </si>
  <si>
    <t>Doação de Produto DiamaxIN para Pesquisa Clinica</t>
  </si>
  <si>
    <t>Pagamento Fundação da PC FoRC</t>
  </si>
  <si>
    <t>LABORATORIO PADRAO SA</t>
  </si>
  <si>
    <t>01.588.888/0032-94</t>
  </si>
  <si>
    <t>Pagamento de exames laboratoriais</t>
  </si>
  <si>
    <t>Doação de Produto Peptimax/Enterfiber para Estudo de caso</t>
  </si>
  <si>
    <t>Doação de Produto Trophic Infant para Estudo de caso</t>
  </si>
  <si>
    <t>04.329.668/0001-38</t>
  </si>
  <si>
    <t>20.618.029/0001-49</t>
  </si>
  <si>
    <t>68.314.830/0001-27</t>
  </si>
  <si>
    <t>09.241.991/0001-79</t>
  </si>
  <si>
    <t>02.980.901/0001-12</t>
  </si>
  <si>
    <t>26.785.411/0001-23</t>
  </si>
  <si>
    <t>73.506.453/0001−68</t>
  </si>
  <si>
    <t>00.799.205/0001-89</t>
  </si>
  <si>
    <t>08.183.359/0003-15</t>
  </si>
  <si>
    <t>11.115.312/0001-67</t>
  </si>
  <si>
    <t>50.276.237/0001-78</t>
  </si>
  <si>
    <t>09.296.295/0001-60</t>
  </si>
  <si>
    <t>07.575.651/0001-59</t>
  </si>
  <si>
    <t>Booking</t>
  </si>
  <si>
    <t xml:space="preserve">ASPEN </t>
  </si>
  <si>
    <t>08.183.359/0001-53</t>
  </si>
  <si>
    <t>03.289.084/0001-13</t>
  </si>
  <si>
    <t>02.012.862/0001-60</t>
  </si>
  <si>
    <t>43.503.492/0001-40</t>
  </si>
  <si>
    <t>02.021.076/0001-29</t>
  </si>
  <si>
    <t>20.320.503/0001-51</t>
  </si>
  <si>
    <t>P&amp;S Clinica Medica LTDA - ME</t>
  </si>
  <si>
    <t>23.777.744/0001-12</t>
  </si>
  <si>
    <t xml:space="preserve">MCI Suisse SA, Rue du Pré-Bouvier 9, 1242 Satigny, Switzerland - ESPEN </t>
  </si>
  <si>
    <t>02.908.901/0001-12</t>
  </si>
  <si>
    <t>Jota Ka Comunicação e Marketing Ltda</t>
  </si>
  <si>
    <t>24.151.788/0001-03</t>
  </si>
  <si>
    <t>DHL Express (Brazil) Ltda</t>
  </si>
  <si>
    <t>Tetra Pak Ltda</t>
  </si>
  <si>
    <t>61.528.030/0001-60</t>
  </si>
  <si>
    <t>Dimed S/A Distribuidora de Medicamentos</t>
  </si>
  <si>
    <t>92.665.611-0522/15</t>
  </si>
  <si>
    <t>Localiza Rent a Car S/A</t>
  </si>
  <si>
    <t>16.670.085/0166-63</t>
  </si>
  <si>
    <t>Spectral Service AG</t>
  </si>
  <si>
    <t>DE 122 805 644</t>
  </si>
  <si>
    <t>Editora Grafica Everest Ltda</t>
  </si>
  <si>
    <t>LDS serviços de tradução LTDA</t>
  </si>
  <si>
    <t>RaiaDrogasil S/A</t>
  </si>
  <si>
    <t>61.585.865/0512-28</t>
  </si>
  <si>
    <t>61.585.865/1043-64</t>
  </si>
  <si>
    <t>61.585.865/0298-00</t>
  </si>
  <si>
    <t>MCI Suisse S/A</t>
  </si>
  <si>
    <t>Fleury S/A</t>
  </si>
  <si>
    <t>60.840.055/0001-31</t>
  </si>
  <si>
    <t>Draft Grupo de de comunicación Healthcare S/A</t>
  </si>
  <si>
    <t>KLM – Cia. Real Holandesa de Aviação</t>
  </si>
  <si>
    <t>33.643.420/0001-45</t>
  </si>
  <si>
    <t>Brasil Sul Servicos Administrativos LTDA</t>
  </si>
  <si>
    <t>11.183.59/0001-53</t>
  </si>
  <si>
    <t>Ibis</t>
  </si>
  <si>
    <t>42.567.032/0001-13</t>
  </si>
  <si>
    <t>Gol Linhas Aéreas</t>
  </si>
  <si>
    <t>RDV</t>
  </si>
  <si>
    <t>ALLEGIS CONSULT. EM TREINAMENTO E ASSUNTOS REGULAT. LTDA</t>
  </si>
  <si>
    <t>11.507.939/0001-63</t>
  </si>
  <si>
    <t>Medtrition</t>
  </si>
  <si>
    <t>Riomar Trading LTDA</t>
  </si>
  <si>
    <t>23.093.434/0003-40</t>
  </si>
  <si>
    <t>Laboratorio Padrão AS</t>
  </si>
  <si>
    <t>01.588.888/0001-98</t>
  </si>
  <si>
    <t>LSD Servicos de traducao LTDA</t>
  </si>
  <si>
    <t>ASPEN</t>
  </si>
  <si>
    <t>SUM de Valor incentivado</t>
  </si>
  <si>
    <t>00.821.438/0002-11 Total</t>
  </si>
  <si>
    <t>Barra Bonita Shopping Empreendimentos e Participações LTDA Total</t>
  </si>
  <si>
    <t>73.506.453/0001−68 Total</t>
  </si>
  <si>
    <t>DPR Turismo Ltda Total</t>
  </si>
  <si>
    <t>04.329.668/0001-38 Total</t>
  </si>
  <si>
    <t>Eurofins do Brasil Análise de Alimentos Ltda. Total</t>
  </si>
  <si>
    <t>20.320.503/0001-51 Total</t>
  </si>
  <si>
    <t>Fundação Arthur Bernardes Total</t>
  </si>
  <si>
    <t>50.276.237/0001-78 Total</t>
  </si>
  <si>
    <t>Fundação de desenv. da pesquisa do agronegócio - FUNDEPAG Total</t>
  </si>
  <si>
    <t>20.618.029/0001-49 Total</t>
  </si>
  <si>
    <t>J&amp;J Serviços de Entregas Ltda - ME Total</t>
  </si>
  <si>
    <t>02.021.076/0001-29 Total</t>
  </si>
  <si>
    <t>Labor Três Laboratórios e Consultoria Técnica Ltda. Total</t>
  </si>
  <si>
    <t>16.670.085/0166-63 Total</t>
  </si>
  <si>
    <t>LOCALIZA RENT A CAR S/A Total</t>
  </si>
  <si>
    <t>#N/A Total</t>
  </si>
  <si>
    <t>MCI Suisse SA, Rue du Pré-Bouvier 9, 1242 Satigny, Switzerland - ESPEN Total</t>
  </si>
  <si>
    <t>08.183.359/0001-53 Total</t>
  </si>
  <si>
    <t>08.183.359/0003-15 Total</t>
  </si>
  <si>
    <t>PRODIET NUTRICAO CLINICA LTDA Total</t>
  </si>
  <si>
    <t>TUV SUD SFDK Laboratório de Análise de Produto Ltda Total</t>
  </si>
  <si>
    <t>09.241.991/0001-79 Total</t>
  </si>
  <si>
    <t>ZAY SERVIÇOS DE ANÁLISES QUÍMICAS LTDA Total</t>
  </si>
  <si>
    <r>
      <rPr>
        <rFont val="Source Sans Pro"/>
        <color rgb="FF666666"/>
        <sz val="10.0"/>
      </rPr>
      <t xml:space="preserve">Formulário de PD&amp;I - </t>
    </r>
    <r>
      <rPr>
        <rFont val="Source Sans Pro"/>
        <b/>
        <color rgb="FF666666"/>
        <sz val="10.0"/>
      </rPr>
      <t>Ano2023</t>
    </r>
  </si>
  <si>
    <t>Durante esta etapa, é importante definir um objetivo a ser alcançado. 
(i) É possível ter vários objetivos em cada etapa. 
(ii) É recomendável descrevê-la com o máximo de detalhes possível.</t>
  </si>
  <si>
    <r>
      <rPr>
        <rFont val="Source Sans Pro"/>
        <color rgb="FF666666"/>
        <sz val="8.0"/>
      </rPr>
      <t xml:space="preserve">Uma </t>
    </r>
    <r>
      <rPr>
        <rFont val="Source Sans Pro"/>
        <b/>
        <color rgb="FF666666"/>
        <sz val="8.0"/>
      </rPr>
      <t xml:space="preserve">data </t>
    </r>
    <r>
      <rPr>
        <rFont val="Source Sans Pro"/>
        <color rgb="FF666666"/>
        <sz val="8.0"/>
      </rPr>
      <t xml:space="preserve">estimada que atualizará após etapa concluída. Não utilizar:
- Atual, em andamento ou qualquer outra observação; 
(i) precisamos de números (datas) que comprovem o andamento ou não projeto.
(ii) </t>
    </r>
    <r>
      <rPr>
        <rFont val="Source Sans Pro"/>
        <b/>
        <color rgb="FF666666"/>
        <sz val="8.0"/>
      </rPr>
      <t xml:space="preserve">utilizar a coluna Histórico </t>
    </r>
    <r>
      <rPr>
        <rFont val="Source Sans Pro"/>
        <color rgb="FF666666"/>
        <sz val="8.0"/>
      </rPr>
      <t xml:space="preserve">para acrescentar informações dos motivos para tal data. </t>
    </r>
  </si>
  <si>
    <t>Etapas e Milestones</t>
  </si>
  <si>
    <t>Principais atividades</t>
  </si>
  <si>
    <t>Milestones</t>
  </si>
  <si>
    <t>Data inicial</t>
  </si>
  <si>
    <t>Data conclusão</t>
  </si>
  <si>
    <t>Histórico e observações do gestor</t>
  </si>
  <si>
    <t xml:space="preserve">INOV000001 </t>
  </si>
  <si>
    <t>Análise dos descritivos de licitação</t>
  </si>
  <si>
    <t>Pesquisa sobre a demanda por dietas em SF em editais de licitação</t>
  </si>
  <si>
    <t>Correlacionar as principais dietas demandadas em processos de licitação.</t>
  </si>
  <si>
    <t>Atual</t>
  </si>
  <si>
    <t>Desenvolvimento de embalagens - bico Enplus</t>
  </si>
  <si>
    <t>Prospecção de fornecedores do bico Enplus, específico para retort</t>
  </si>
  <si>
    <t>Identificado um possível fornecedor (Alemanha). Testes serão conduzidos.</t>
  </si>
  <si>
    <t>TP envasadora Prodiet</t>
  </si>
  <si>
    <t>Envase utilizando produtos UHT para validar o dimensional do pouch Prodiet</t>
  </si>
  <si>
    <t>Embalagem transparente leva muito tempo para envasar, devido ao pequeno head-space</t>
  </si>
  <si>
    <t>TP para EE</t>
  </si>
  <si>
    <t>Validação de nova fórmula (UTI)</t>
  </si>
  <si>
    <t>Fórmula com alta viscosidade &gt; será necessário ajuste</t>
  </si>
  <si>
    <t>Em andamento</t>
  </si>
  <si>
    <t>Desenvolvimento de embalagens</t>
  </si>
  <si>
    <t>Prospecção de fornecedores</t>
  </si>
  <si>
    <t>Retomada do contato com um fornecedor italiano, pois o copacker possui uma envasadora específica</t>
  </si>
  <si>
    <t>Validação do pouch</t>
  </si>
  <si>
    <t>Elaboração do desenho técnico da embalagem</t>
  </si>
  <si>
    <t>Validação da régua de adminstração para Arte Final</t>
  </si>
  <si>
    <t>Adequação copacker</t>
  </si>
  <si>
    <t>Instalação da autoclave no novo copacker</t>
  </si>
  <si>
    <t>Validação pela consultoria de engenharia</t>
  </si>
  <si>
    <t xml:space="preserve">INOV000003 </t>
  </si>
  <si>
    <t>Testes sensoriais</t>
  </si>
  <si>
    <t>Ajustes sensoriais em bancada. Aplicação de corantes</t>
  </si>
  <si>
    <t>Aprovação da Gerência de 2 sabores</t>
  </si>
  <si>
    <t>Business Case</t>
  </si>
  <si>
    <t>Avaliação do produto em banca multissetorial para viabilidade de comercialização do produto</t>
  </si>
  <si>
    <t>Aprovado</t>
  </si>
  <si>
    <t>Análise Nutricional Nova MP (colágeno)</t>
  </si>
  <si>
    <t>ANálise do aminograma, teor de aminoácidos específicos</t>
  </si>
  <si>
    <t>Aprovada do ponto de vista nutricional, mas atenção ao novo alergênico: peixe.</t>
  </si>
  <si>
    <t xml:space="preserve">INOV000013 </t>
  </si>
  <si>
    <t>Layout de embalagem</t>
  </si>
  <si>
    <t>Marketing conduzindo junto ao fornecedor</t>
  </si>
  <si>
    <t>Definição de layout de embalagem</t>
  </si>
  <si>
    <t>Equipamentos</t>
  </si>
  <si>
    <t>Avaliação das especificações técnicas dos equipamentos</t>
  </si>
  <si>
    <t>Validação do equipamento pelo fabricante</t>
  </si>
  <si>
    <t>Fábrica Prodiet</t>
  </si>
  <si>
    <t>Adequação das instalações</t>
  </si>
  <si>
    <t>Ajustes de paredes, piso, elétrica e hidráulica.</t>
  </si>
  <si>
    <t>Validação da linha de produção</t>
  </si>
  <si>
    <t>Testes de P&amp;D para validar o vácuo e fechamento do pouch</t>
  </si>
  <si>
    <t xml:space="preserve">INOV000014 </t>
  </si>
  <si>
    <t>3º Teste Piloto UHT</t>
  </si>
  <si>
    <t>Realizar teste em planta piloto após modificações ajuste de MF</t>
  </si>
  <si>
    <t>Avaliar o comportamento de envase e possíveis empecilhos de processo;</t>
  </si>
  <si>
    <t>Estudo de Estabilidade</t>
  </si>
  <si>
    <t>Executar o estudo de prazo de validade do produto</t>
  </si>
  <si>
    <t>Realizar análises fisico quimicas, macronutrientes e micronutrientes para definição da Informação Nutricional e prazo de validade, ao longo dos meses após produção (T0, T12 e T18)</t>
  </si>
  <si>
    <t xml:space="preserve">INOV000017 </t>
  </si>
  <si>
    <t>Stand by</t>
  </si>
  <si>
    <t>O projeto está mantido em stand by</t>
  </si>
  <si>
    <t>Projeto permanecerá em stand by até que seja encontrada uma alternativa para redução de custo</t>
  </si>
  <si>
    <t>Revisão de fórmula</t>
  </si>
  <si>
    <t>Encontrar alternativa de alteração de fórmula que reduza o custo</t>
  </si>
  <si>
    <t>Busca por matéria prima proteica de fonte láctea com menor custo que Caseinato de Cálcio, contatado fornecedores</t>
  </si>
  <si>
    <t>Desenvolvimento de fórmula teórico</t>
  </si>
  <si>
    <t>Desenvolvido fórmula teórica com substituição do Caseinato de Cálcio por WPC de meneira que o produto possua 20% de proteína lactea e isento de lactose segundo legislação vigente</t>
  </si>
  <si>
    <t>Teste de bancada</t>
  </si>
  <si>
    <t>Produzir protótipo da fórmula em laboratório para avaliação das características e aprovação</t>
  </si>
  <si>
    <t>Avaliar todos os critérios importantes para a fórmula: solubilidade, método de preparo, aprovação sensorial, passagem pela sonda</t>
  </si>
  <si>
    <t>Análise de lactose</t>
  </si>
  <si>
    <t>Encaminhar para análise de lactose em laboratório externo</t>
  </si>
  <si>
    <t>Obter resultado do teor real de lactose na fórmula para confirmação de ausência e assim definir como fórmula final</t>
  </si>
  <si>
    <t xml:space="preserve">INOV000019 </t>
  </si>
  <si>
    <t xml:space="preserve">INOV000020 </t>
  </si>
  <si>
    <t>Pesquisa Científica e desenvolvimento</t>
  </si>
  <si>
    <t>Rounds Científicos</t>
  </si>
  <si>
    <t>Definição da formulação nutricional</t>
  </si>
  <si>
    <t>Kick off</t>
  </si>
  <si>
    <t>Kick off com toda equipe técnica, comercial e marketing, para considerações no Briefing</t>
  </si>
  <si>
    <t>Fechamento do Briefing</t>
  </si>
  <si>
    <t xml:space="preserve">INOV000021 </t>
  </si>
  <si>
    <t>Aprovação de desenvolvimento</t>
  </si>
  <si>
    <t>Aprovar a fórmula desenvolvida pelos fornecedores atraves de análise sensorial, e avaliação de produção em grande escala</t>
  </si>
  <si>
    <t>Avaliação de custos</t>
  </si>
  <si>
    <t>Elaborar o custo da fórmula aprovada</t>
  </si>
  <si>
    <t>Apresentar o projeto para Banca Business case</t>
  </si>
  <si>
    <t>a definir</t>
  </si>
  <si>
    <t xml:space="preserve">INOV000022 </t>
  </si>
  <si>
    <t>Discussão reescrita protocolo</t>
  </si>
  <si>
    <t>Reescrita protocolo com base nas pendências CEP</t>
  </si>
  <si>
    <t>Reescrever protocolo de pesquisa com foco em série de casos</t>
  </si>
  <si>
    <t>em andamento</t>
  </si>
  <si>
    <t>Exigências tornaram projeto inviável dentro do orçamento proposto. Alternativas foram evantadas e por enquanto o projeto está em stand by aguardando criação do ambulatório de CCL da UNIFESP. 05/23: Ambulatorio criado e reescrita do protocolo retomada</t>
  </si>
  <si>
    <t xml:space="preserve">INOV000023 </t>
  </si>
  <si>
    <t>Recrutamento</t>
  </si>
  <si>
    <t>Recrutamento de participantes elegíveis para a pesquisa clínica</t>
  </si>
  <si>
    <t>Acompanhar processo de recrutamento de participantes</t>
  </si>
  <si>
    <t>Coleta de dados</t>
  </si>
  <si>
    <t>Aplicação da interveção proposta nos participantes elegíveis</t>
  </si>
  <si>
    <t>Acompanhar a aplicação da intervenção</t>
  </si>
  <si>
    <t xml:space="preserve">INOV000024 </t>
  </si>
  <si>
    <t>Submissão ao congresso ASPEN/23</t>
  </si>
  <si>
    <t>Elaboração de resumo do EC para submissão à ASPEN/23</t>
  </si>
  <si>
    <t>Organizar os dados coletados em pesquisa e elaborar resumo para congresso</t>
  </si>
  <si>
    <t>Relato de caso de paciente em diálise praticante de atividade fisica em uso de Hdmax</t>
  </si>
  <si>
    <t>Submissão ao congresso Ganepão/23</t>
  </si>
  <si>
    <t>Elaboração de resumo do EC para submissão à Ganepão/23</t>
  </si>
  <si>
    <t>Relato de caso de paciente em diálise após COVID-19 em uso de Hdmax</t>
  </si>
  <si>
    <t xml:space="preserve">INOV000025 </t>
  </si>
  <si>
    <t>Bico/ventosa adaptadora</t>
  </si>
  <si>
    <t>Avaliação de viabilidade de aplicação de um bico diretamente a embalagem TetraPak sem tampa, para SF Verdadeiro</t>
  </si>
  <si>
    <t>Aguardando chegada de amostras</t>
  </si>
  <si>
    <t>Aceitação comercial</t>
  </si>
  <si>
    <t>Avaliação de aceitabilidade técnica e comercial do adaptador Biomédica com selo em aplicação real (Ibranutro)</t>
  </si>
  <si>
    <t>Compra de insumos em quantidade para teste realizada. Aguardando montagem de adaptador + selo</t>
  </si>
  <si>
    <t xml:space="preserve">INOV000029 </t>
  </si>
  <si>
    <t>Elaboração de artigo</t>
  </si>
  <si>
    <t>Desenvolver artigo para publicação em revista científica</t>
  </si>
  <si>
    <t>Elaboração de resumo cientifico</t>
  </si>
  <si>
    <t>Desenvolver resumo para apresentação em congresso científica</t>
  </si>
  <si>
    <t>Escrita de resumo  para apresentação em congresso cientifico</t>
  </si>
  <si>
    <t xml:space="preserve">INOV000034 </t>
  </si>
  <si>
    <t>Desenho do protocolo</t>
  </si>
  <si>
    <t>Fichamento de artigos científicos, pesquisa científica sobre o tema para definição de desfechos e metodologia.</t>
  </si>
  <si>
    <t>Submissão e aceite CEP</t>
  </si>
  <si>
    <t>Submissão ao CEP  e resposta a possíveis exigências</t>
  </si>
  <si>
    <t>Aceite do projeto pelo CEP</t>
  </si>
  <si>
    <t>INOV000037</t>
  </si>
  <si>
    <t>Definição protocolo</t>
  </si>
  <si>
    <t>Levantamento de artigos científicos com produtos especializados para controle glicêmico para analise de protocolo de pesquisa e discussão com pesquisadores</t>
  </si>
  <si>
    <t>Realizar análise de metodologia de artigos cientificos; Estabelecer e discutir o protocolo de pesquisa com os pesquisadores</t>
  </si>
  <si>
    <t>Submissão e acompanhamento - CEP</t>
  </si>
  <si>
    <t>Submissão do projeto de pesquisa para avaliação do Comitê de Ética em Pesquisa (CEP) da universidade</t>
  </si>
  <si>
    <t>Acompanhar o processo de submissão do projeto de pesquisa ao CEP</t>
  </si>
  <si>
    <t>Projeto submetido ao CEP em 28/04/23. Resposta as exigencias enviadas. Aguardandeo parecer CEP</t>
  </si>
  <si>
    <t>INOV000039</t>
  </si>
  <si>
    <t>Prospecção e definição de parceria</t>
  </si>
  <si>
    <t>Contato com pesquisadora para solicitação de orçamento</t>
  </si>
  <si>
    <t>Solicitar orçamento para realização de pesquisa clinica</t>
  </si>
  <si>
    <t>Definição de protocolo de pesquisa e discussão com pesquisadores</t>
  </si>
  <si>
    <t>Estabelecer e discutir o protocolo de pesquisa com os pesquisadores</t>
  </si>
  <si>
    <t>INOV000040</t>
  </si>
  <si>
    <t>Prospecção de clientes</t>
  </si>
  <si>
    <t>Compartilhar documentação provisória de formulação (IN, FT)</t>
  </si>
  <si>
    <t>Prospectar clientes interessados em lançar o produto com marca própria</t>
  </si>
  <si>
    <t>Envio de amostras</t>
  </si>
  <si>
    <t>Encaminhar amostras dos produtos para os possíveis clientes</t>
  </si>
  <si>
    <t>Obter aprovação sensorial</t>
  </si>
  <si>
    <t>Licença MAPA</t>
  </si>
  <si>
    <t>Atender os requisitos</t>
  </si>
  <si>
    <t>Obter a licença MAPA para fabricação do produto</t>
  </si>
  <si>
    <t>Desenvolvimento de fórmula</t>
  </si>
  <si>
    <t>Desenvolver fórmula teórica</t>
  </si>
  <si>
    <t>Atender o perfil nutricional desejado</t>
  </si>
  <si>
    <t>Prospecção de fornecedores/aromas</t>
  </si>
  <si>
    <t>Encaminhar amostra do produto padrão e base, para que o fornecedor faça aplicação do aroma e assim seguir com a sugestão de matéria prima</t>
  </si>
  <si>
    <t>Receber sugestões de aromas com melhor sabor em relação ao atualmente aplicado no porduto, com baixo custo que não impacte no preço já tabelado do produto</t>
  </si>
  <si>
    <t>Aplicação dos aromas em escala laboratorial</t>
  </si>
  <si>
    <t>Definir o aroma com melhor perfil sensorial a ser aprovado</t>
  </si>
  <si>
    <t>Teste piloto</t>
  </si>
  <si>
    <t>Produção em pequena escala para obtenção de amostras</t>
  </si>
  <si>
    <t>Obter amostras do produto misturado em escala piloto industrial em embalagem final</t>
  </si>
  <si>
    <t>INOV000041</t>
  </si>
  <si>
    <t>Levantamento de literatura/artigos/Guidelines; concorrentes mercado</t>
  </si>
  <si>
    <t>Buscar materias de consulta em guidelines e diretrizes nacionais e internacionais, bm como concorrentes para desenvolvimento do Briefing</t>
  </si>
  <si>
    <t>Aguardando aprovação da VISA local</t>
  </si>
  <si>
    <t>Definir a formulação nutricional após discussões cientificas</t>
  </si>
  <si>
    <t>Elaborar briefing após considerações da area tecnica</t>
  </si>
  <si>
    <t>Desenvolvimento da formulação</t>
  </si>
  <si>
    <t>Estudo sobre a estabilidade de emulsões proteicas</t>
  </si>
  <si>
    <t>Verificado que aminoácidos podem contribuir para a estabilidade da formulação</t>
  </si>
  <si>
    <t>Elaboração de formulações variadas para teste de bancada</t>
  </si>
  <si>
    <t>Seguindo o briefing do Científico foram formuladas algumas opções para seguir para TB</t>
  </si>
  <si>
    <t xml:space="preserve">INOV000006 </t>
  </si>
  <si>
    <t>Pesquisa Científica e Desenvolvimento</t>
  </si>
  <si>
    <t>Levantamento de prescrições de dietas artesanais, levantamento de pesquisas sobre dietas artesanais, análise regulatória inicial do produto</t>
  </si>
  <si>
    <t>Correlacionar principais deficiências nutricionais em dietas artesanais e possíveis ingredientes que podem complementar estas deficiências</t>
  </si>
  <si>
    <t>Apresentação de Protótipo de Produto</t>
  </si>
  <si>
    <t>Elaboração e ajustes de briefing</t>
  </si>
  <si>
    <t>Análise por assuntos regulatórios, marketing, pesquisa e desenvolvimento.</t>
  </si>
  <si>
    <t>Desenvolvimento do 1° MasterFile</t>
  </si>
  <si>
    <t>Análise e selação de matérias primas e testes de bancada</t>
  </si>
  <si>
    <t>Análise de opções de macronutrientes, flavorizantes e aditivos e análise de custos</t>
  </si>
  <si>
    <t>Análise Regulatória</t>
  </si>
  <si>
    <t>Atendimento à legislação de categoria do produto</t>
  </si>
  <si>
    <t>Entendimento de possibilidades de comunicação, uso de claims e aplicação do produto pelo consumidor</t>
  </si>
  <si>
    <t>Teste de Bancada</t>
  </si>
  <si>
    <t>Solubilidade, sensorial preliminar e análise funcional do produto</t>
  </si>
  <si>
    <t>A formulação solicitada em briefing foi testada em bancada. No entanto, os testes sensoriais foram insatisfatórios, necessitando de novas análises para definir a formulação. Em processo de análise de fatores antinutricionais do produto.</t>
  </si>
  <si>
    <t>Solubilidade, definição de dose e administração</t>
  </si>
  <si>
    <t>Teste de bancada para avaliar formulação quanto a solubilidade e administração</t>
  </si>
  <si>
    <t>Protocolo Teste de Aplicação</t>
  </si>
  <si>
    <t>Lentamento da literatura; levantamento de receitas de dietas artesanais; cálculo teórico</t>
  </si>
  <si>
    <t>Definição de receita artesanal a ser utilizada, na complementação com fórmula ARTS, para seguir com análise de macro e micronutrientes.</t>
  </si>
  <si>
    <t>Busca por fornecedores/proteína alternativa</t>
  </si>
  <si>
    <t>Fornecedor de grão de bico informou que descontinuou a matéria prima, com isso foi necessário buscar novas opções de fonte proteica e de fibras</t>
  </si>
  <si>
    <t>Encontrar matéria prima para substituição do grão de bico, com valor significativo de proteína e fibra, boa solubilidade e baixo custo</t>
  </si>
  <si>
    <t>Ajuste de formulação</t>
  </si>
  <si>
    <t>Desenvolver formulação teórica com nova fonte de proteína e fibra susbtituta do grão de bico</t>
  </si>
  <si>
    <t>Desenvolvido fórmula teórico com feijão, com menor custo</t>
  </si>
  <si>
    <t>5/29/2023</t>
  </si>
  <si>
    <t>Solubilidade, degustação, definição de dose e administração</t>
  </si>
  <si>
    <t>Teste de bancada para avaliar formulação quanto a solubilidade, sabor e administração após reformulação</t>
  </si>
  <si>
    <t>Desenvolvimento de Masterfile</t>
  </si>
  <si>
    <t>Elaborar o primeiro Masterfile (MF) teórico 100% Proteína Isolada da Soja (PIS)</t>
  </si>
  <si>
    <t>Desenvolver, a partir da composição do produto, o pré mix de vitaminas e minerais específico para a linha Soya pó</t>
  </si>
  <si>
    <t>Desenvolvimento de aromas</t>
  </si>
  <si>
    <t>Solicitar aos fornecedores Duas Rodas e IFF opções de aromas</t>
  </si>
  <si>
    <t>Embora o objetivo principal do produto seja uso via tubo, o produto deve atingir sensorial palatável, por este motivo buscou-se opções de aromas que mascarem a PIS</t>
  </si>
  <si>
    <t>Elaborar segunda versão do Masterfile teórico com 20% de proteína láctea e 80% PIS e realizar a degustação</t>
  </si>
  <si>
    <t>Encontrar melhor opção de mix proteico, de forma que o produto não contenha lactose e possua baixo custo. Análise sensorial em bancada foi realizado para definição da proteína láctea</t>
  </si>
  <si>
    <t>Desenvolvimento pré mix micronutrientes</t>
  </si>
  <si>
    <t>Elaborar documento de desenvolvimento do pre mix com base na composição do produto, encaminhar ao fornecedor DSM para criação</t>
  </si>
  <si>
    <t>Receber toda a documentação relacionada ao novo pre mix desenvolvido, de forma que atenda ao solicitado e promova uma informação nutricional adequada e esperada ao produto, conforme target definido pelo Científico</t>
  </si>
  <si>
    <t>Pre mix criado com a descrição 11599A25 (vitaminas) e 11696A25 (minerais)</t>
  </si>
  <si>
    <t>Testes de bancada para avaliação da fórmula</t>
  </si>
  <si>
    <t>Realizar os testes de bancada com aplicação dos aromas, mix e todos os ingredientes</t>
  </si>
  <si>
    <t>Avaliar todos os critérios importantes para a fórmula: solubilidade, método de preparo, definição de aromas, aprovação sensorial e desta forma, definir a formulação final</t>
  </si>
  <si>
    <t>Avaliação sensorial multidisciplicar</t>
  </si>
  <si>
    <t>Encaminhar amostras aos participantes da avaliação sensorial, dos setores de P&amp;D, AR e Diretoria,  e realizar um encontro online para degustação do produto final em conjunto</t>
  </si>
  <si>
    <t>Obter diferentes opiniões e comentários sobre melhorias da formulação para atingir a aprovação final</t>
  </si>
  <si>
    <t>Ajuste de fórmula</t>
  </si>
  <si>
    <t>Teste de bancada para ajustes quanto estabilidade da fórmula com a possibilidade de retirada de lecitina de soja e melhoria de viscosidade com redução de goma xantana</t>
  </si>
  <si>
    <t>Obter dose adequada de lecitina de soja de maneira que a fórmula se mantenha estável. Reduzir a viscosidade da fórmula, principalmente quando preparado com liquidificador</t>
  </si>
  <si>
    <t>Avaliação de custo</t>
  </si>
  <si>
    <t>Avaliar através do Simulador de custos de P&amp;D, o custo do produto e alteranativas de redução de custo</t>
  </si>
  <si>
    <t>Obter custo viável e mais vantajoso (com diferença significativa) comercialmente em relação ao Trophic Basic e Trophic Fiber, ambos pó.</t>
  </si>
  <si>
    <t>Publicação MF em Sharepoint</t>
  </si>
  <si>
    <t>Compartilhar o MF com os setores de Assusntos Regulatórios e Científico</t>
  </si>
  <si>
    <t>Avaliação final da composição e IN teórica pelos demais setores, quanto ao atendimento do briefing e legislação</t>
  </si>
  <si>
    <t>Reformulação de mix</t>
  </si>
  <si>
    <t>Após teste industrial da fórmula líquida em que é compartilhado o mesmo mix, detectou-se a necessidade de reformular o mix de minerais para redução de pH</t>
  </si>
  <si>
    <t>Alterar a fonte de Magnésio por opção que promovo um pH mais ácido a formulação</t>
  </si>
  <si>
    <t>Em fevereiro de 2022, de modo a atender diretriz internas, foi otado por iniciar o desenvolvimento de pré-mixes que atendam vários produtos. Com isto, não foi seguido com o ajuste do pré-mix FS11696A25</t>
  </si>
  <si>
    <t>Reformulação de mix - padrão PIS</t>
  </si>
  <si>
    <t>Desenvolver novo pre mix de minerais dedicado para produtos com alto teor de PIS</t>
  </si>
  <si>
    <t>Encaminhar para análise de perfil lipídico em laboratório externo</t>
  </si>
  <si>
    <t>Obter resultado do teor real do perfil lipídico da fórmula para definição de fórmula final</t>
  </si>
  <si>
    <t>Elaborar a primeira versão do Business Case</t>
  </si>
  <si>
    <t>Coletar informação dos demais setores como Comercial, International Business e Marketing sobre custo e venda do porduto para aprovação do projeto</t>
  </si>
  <si>
    <t>Aguardando atualização de custo da fórmula conforme definição do perfil lipídico</t>
  </si>
  <si>
    <t>Desenvolver opções de fórmulas teóricas com óleo de girassol e redistribuição dos macronutrientes (distribuição calórica)</t>
  </si>
  <si>
    <t>Opter fórmulas que atendam a legislação RDC 21 em relação ao perfil lipídico</t>
  </si>
  <si>
    <t xml:space="preserve">INOV000032 </t>
  </si>
  <si>
    <t>Pesquisa de Copacker</t>
  </si>
  <si>
    <t>Buscar parceiros que possam tercerizar a produção de um blend de Pt+Gord+Ch com a finalidade de reduzir custo de gordura em pó, e melhorar solubilidade da dieta.</t>
  </si>
  <si>
    <t>Parceiro demostrar interesse na parceria e disponibilidade para testes pilotos</t>
  </si>
  <si>
    <t>Autorização da diretoria</t>
  </si>
  <si>
    <t>Apresentar objetivo do projeto para diretoria</t>
  </si>
  <si>
    <t>Ter autorização extra budget para seguir com o projeto ainda em 2022</t>
  </si>
  <si>
    <t>Realizar teste de bancada</t>
  </si>
  <si>
    <t>Realizar testes de bancada junto com o fornecedor</t>
  </si>
  <si>
    <t>Obter bons resultados nos testes de bancada</t>
  </si>
  <si>
    <t>Realizar teste industrial</t>
  </si>
  <si>
    <t>Realizar testes industriais junto com o fornecedor</t>
  </si>
  <si>
    <t>Garantir no mínimo os bons resultados obtido em testes de bancada</t>
  </si>
  <si>
    <t>Aplicar o blend obtido no teste piloto nos produtos Trophic Fiber e Basic Enteral em escala laboratorial</t>
  </si>
  <si>
    <t>Obter umproduto final com pó fluido, boa dissolução, sem alteração sensorial e com melhora de passagem pelo equipo</t>
  </si>
  <si>
    <t>Incluir todos os custos no Simulador</t>
  </si>
  <si>
    <t>Obter resultados favoráveis a redução de custos</t>
  </si>
  <si>
    <t>Custo de industrialização inviabilizou o projeto</t>
  </si>
  <si>
    <t>Produção</t>
  </si>
  <si>
    <t>Aplicar o projeto em escala de produção</t>
  </si>
  <si>
    <t>Prospecção de novos parceiros</t>
  </si>
  <si>
    <t>Retomar a busca por parceiros, fornecedores, Universidades que tornem o projeto viável</t>
  </si>
  <si>
    <t>Desenvolver protocolo de pesquisa junto com Professor Alvaro/PUCPR</t>
  </si>
  <si>
    <t>Determinação Informação Nutricional</t>
  </si>
  <si>
    <t>Encaminhar amostra do produto para análise de T0</t>
  </si>
  <si>
    <t>Obter os resultados e elaborar a informação nutricional a partir dos resultados reais</t>
  </si>
  <si>
    <t>Dizeres de Rotulagem/arte final</t>
  </si>
  <si>
    <t>Liberar a arte final</t>
  </si>
  <si>
    <t>Liberar o rótulo finalizado dos três sabores para compra para primeira produção</t>
  </si>
  <si>
    <t>Teste industrial Latco - start linha Prodiet</t>
  </si>
  <si>
    <t>Monitoramento da chegada dos pouches</t>
  </si>
  <si>
    <t>Chegada dos pouches na Latco</t>
  </si>
  <si>
    <t>Agendamento treinamento Surdry - start autoclave</t>
  </si>
  <si>
    <t>Equipe treinada para uso do equipamento</t>
  </si>
  <si>
    <t>Teste estava previsto para novembro/2023, mas foi cancelado, pois as bandejas/cestos e pouches não chegaram a tempo</t>
  </si>
  <si>
    <t>Validação térmica da autoclave</t>
  </si>
  <si>
    <t>Contratação fornecedor para fazer a validação</t>
  </si>
  <si>
    <t>Autoclave validada para uso efetivo em TI's e produção</t>
  </si>
  <si>
    <t>INOV000004</t>
  </si>
  <si>
    <t>Pesquisa Científica e de mercado</t>
  </si>
  <si>
    <t>Levantamento de pesquisas, diretrizes, guidelines, consultoria profissional e busca em editais de licitação.</t>
  </si>
  <si>
    <t>Analisados editais de licitação durante 2 anos seguidos  realizado acompanhamento de pesquisas publicadas nos últimos anos sobre nutrição e cicatrização</t>
  </si>
  <si>
    <t>Apresentação de Protótipo de produto</t>
  </si>
  <si>
    <t>Compilar dados de produtos concorrentes e elaboração de briefing de novo produto</t>
  </si>
  <si>
    <t>Tabela comparativa de produtos desenvolvida. Briefing realizado e compartilhado com equipe técnica e de marketing</t>
  </si>
  <si>
    <t>Ingredientes e aditivos</t>
  </si>
  <si>
    <t>Busca por fornecedores e analisar amostras de produtos. Definição de sabor de novo produto.</t>
  </si>
  <si>
    <t>Realizar testes de bancada e análises com as matérias primas selecionadas para definição de fornecedores</t>
  </si>
  <si>
    <t>Desenvolvimento da fórmula</t>
  </si>
  <si>
    <t>Elaboração de primeira Receita</t>
  </si>
  <si>
    <t>Desenvolver, a partir da composição do produto estabelecida em briefing, a primeira Receita com análise de opções de macronutrientes, flavorizantes e aditivos</t>
  </si>
  <si>
    <t>Desenvolvimento de pré-mix de micronutrientes</t>
  </si>
  <si>
    <t>Elaborar documento de desenvolvimento do pre mix com base na composição do produto e  encaminhar aos fornecedores DSM e MCassab para criação</t>
  </si>
  <si>
    <t>Elaborar a IN do mix com base na composição do produto, encaminhar ao fornecedor para criação e receber toda a documentação relacionada ao novo pre mix desenvolvido, de forma que atenda ao solicitado e promova uma informação nutricional adequada e esperada ao produto, conforme target para suplementos definido pelo Científico</t>
  </si>
  <si>
    <t>Definições de sabores. Ajustes de dosagem dos aromas</t>
  </si>
  <si>
    <t>Avaliação de sabores diferentes. Definições de dosagens de aromas e aditivos. Avaliações de aromas preferidos</t>
  </si>
  <si>
    <t>Apresentação da fórmula</t>
  </si>
  <si>
    <t>Apresentação de 3 sabores e formulação final para avaliação da Gerência Técnica</t>
  </si>
  <si>
    <t>Qualificação de MP</t>
  </si>
  <si>
    <t>Qualificação das novas matérias-primas</t>
  </si>
  <si>
    <t>Análise do aminograma, teor de aminoácidos específicos</t>
  </si>
  <si>
    <t>Qualificação de novos aromas para atender aos requisitos de qualidade</t>
  </si>
  <si>
    <t>Teste piloto de produção e envase em sacheteira</t>
  </si>
  <si>
    <t>Teste de bancada para avaliar formulação quanto a solubilidade, sabor e administração com grão de bico Maçca</t>
  </si>
  <si>
    <t>Análise centesimal</t>
  </si>
  <si>
    <t>Preparo de amostra e envio para análise em laboratório externo. Análise de  macronutrientes e vit. E min. sinalizadas em Briefing. Validar o resultado em comparação com o esperado.</t>
  </si>
  <si>
    <t>Resultados obtidos devem estar condizntes com o teórico desenhado</t>
  </si>
  <si>
    <t>Validação do equipamento/processo</t>
  </si>
  <si>
    <t>Testes de P&amp;D e Industrial para validar o tamanho da embalagem</t>
  </si>
  <si>
    <t>Testes de P&amp;D em linha para validar o vácuo e fechamento do pouch</t>
  </si>
  <si>
    <t>Não foi possível executar no dia 19/10 devido a falta de ar comprimido. Teste executado no final de novembro.</t>
  </si>
  <si>
    <t>Montagem de linha</t>
  </si>
  <si>
    <t>Elaborar dossiê com fluxo de processo, MPs e pessos, bem como o layout do processo. Preparar a linha para que o processo esteja apto para produção</t>
  </si>
  <si>
    <t>Definiar arte e dimensionais embalagens</t>
  </si>
  <si>
    <t>Elaborar a arte/embalagem que constará o display do produto</t>
  </si>
  <si>
    <t>Amostras do sachê foram entregues ao MKT para desenvolvimento do dimensional do sachê e Display e elaboração da arte final</t>
  </si>
  <si>
    <t>Tabulação de dados</t>
  </si>
  <si>
    <t>Tabulação de dados coletados da pesquisa</t>
  </si>
  <si>
    <t>Acompanhar processo de tabulação de dados</t>
  </si>
  <si>
    <t>Apr-24</t>
  </si>
  <si>
    <t>Análise parcial de resultados</t>
  </si>
  <si>
    <t>Análise parcial dos dados coletados da pesquisa clinica e escreita de resumo cientifico para submissão em congresso nacional</t>
  </si>
  <si>
    <t>Analisar dados paciais da pesquisa e escrever resumo cientifico</t>
  </si>
  <si>
    <t>6/30/2023</t>
  </si>
  <si>
    <t>INOV000024</t>
  </si>
  <si>
    <t>Prospecção e definição de parceria com profissionais da saúde</t>
  </si>
  <si>
    <t>Aplicação de Trophic EP para pacientes oncológicos</t>
  </si>
  <si>
    <t>Desenho de relato de caso prospetivo de pacientes que usam Trophic EP - definir pacientes para estudo e dados antropométricos e bioquímicos</t>
  </si>
  <si>
    <t>Submissão ao congresso GANEPÃO/23</t>
  </si>
  <si>
    <t>Elaboração de resumo para submissão ao GANEPÃO/23</t>
  </si>
  <si>
    <t>Organizar os dados coletados em pesquisa de aplicação interna realizada em 2021/2022 e elaborar resumo para congresso</t>
  </si>
  <si>
    <t>3/14/2023</t>
  </si>
  <si>
    <t>Tema livre sobre teor de sódio do Instanth Clear versus outras opções do mercado e correlação da quantidade de sódio consumida pelos pacientes</t>
  </si>
  <si>
    <t>Apresentação  do resumo em congresso Ganepão 2023</t>
  </si>
  <si>
    <t>Apresentação  do resumo elaborado no congresso da Ganepão 2023 com publicação nos anais de congressos</t>
  </si>
  <si>
    <t>Apresentar resumo em congresso</t>
  </si>
  <si>
    <t>6/14/2023</t>
  </si>
  <si>
    <t>Submissão ao congresso BRASPEN/23</t>
  </si>
  <si>
    <t>Elaboração de resumo do EC para submissão à BRASPEN/23</t>
  </si>
  <si>
    <t>Organizar os dados enviados pela profissional e elaborar resumo para congresso</t>
  </si>
  <si>
    <t>7/31/2023</t>
  </si>
  <si>
    <t>Relato de caso de paciente com fraqueza adquirida na Unidade de Terapia Intensiva (FAUTI) em uso de Energyzip</t>
  </si>
  <si>
    <t>Apresentação  do resumo em congresso BRASPEN 2023</t>
  </si>
  <si>
    <t>Apresentação  do resumo elaborado no congresso da BRASPEN 2023 com publicação nos anais de congressos</t>
  </si>
  <si>
    <t>10/29/2023</t>
  </si>
  <si>
    <t>10/31/2023</t>
  </si>
  <si>
    <t>Contato com profissionais que atendem  público alvo dos produtos a serem estudados</t>
  </si>
  <si>
    <t>Buscar profissionais para executar os EC</t>
  </si>
  <si>
    <t>12/31/2022</t>
  </si>
  <si>
    <t>Doação de produtos</t>
  </si>
  <si>
    <t>Doação de produto para realização de estudo de caso</t>
  </si>
  <si>
    <t>Doar produtos para realização de estudo de caso</t>
  </si>
  <si>
    <t>12/31/2023</t>
  </si>
  <si>
    <t>Definição de protocolo</t>
  </si>
  <si>
    <t>Levantamento de artigos científicos com produtos semelhantes aos produtos Prodiet para analise de avaliações e discussão com profissionais que irão realizar o EC</t>
  </si>
  <si>
    <t>Realizar análise de metodologia de artigos cientificos; Estabelecer e discutir as avaliações a serem realizadas do EC com os profissionais</t>
  </si>
  <si>
    <t>1/31/2023</t>
  </si>
  <si>
    <t>Intervenção</t>
  </si>
  <si>
    <t>Aplicação do suplemento em paciente elegíveis conforme critérios estabelecidos pelos profissionais</t>
  </si>
  <si>
    <t>Acompanhar resultados obtidos em relação à cognição e correlacionar com a suplementação ofertada</t>
  </si>
  <si>
    <t>4/30/2023</t>
  </si>
  <si>
    <t>Relato de caso de paciente idosa longeva desnutrida com doença de Alzheimer em uso de Energyzip Senior</t>
  </si>
  <si>
    <t>Suspenso</t>
  </si>
  <si>
    <t>Relato de caso suspenso, pois participante retirou o consentimento para uso dos dados</t>
  </si>
  <si>
    <t>Aplicação de Immax para pacientes oncológicos com desnutrição</t>
  </si>
  <si>
    <t>Desenho de relato de caso prospectivo de pacietnes que usarão Immax - definir pacientes</t>
  </si>
  <si>
    <t>Aplicação do suplemento durante o tratamento dialítico</t>
  </si>
  <si>
    <t>Acompanhar resultados obtidos em relação ao estado nutricional e à lesão e correlacionar com a suplementação ofertada</t>
  </si>
  <si>
    <t>Submissão ao congresso BRASPEN/22</t>
  </si>
  <si>
    <t>Elaboração de resumo do EC para submissão à BRASPEN/22</t>
  </si>
  <si>
    <t>7/31/2022</t>
  </si>
  <si>
    <t>Relato de caso de paciente em diálise com úlcera venosa em uso de Hdmax</t>
  </si>
  <si>
    <t>5/31/2023</t>
  </si>
  <si>
    <t>6/16/2023</t>
  </si>
  <si>
    <t>Relato de caso de paciente em diálise após COVID-19 em uso de Hdmax+DiamaxIG</t>
  </si>
  <si>
    <t>Apresentação  do resumo em congresso Ganepão/23</t>
  </si>
  <si>
    <t>Elaboração de EC</t>
  </si>
  <si>
    <t>Organização de dados prospectivos e elaboração de resumo de estudo de caso</t>
  </si>
  <si>
    <t>Desenvolver discussão e resultados, vinculando dados do estudo com a formulação</t>
  </si>
  <si>
    <t>Submissão do projeto do EC para avaliação do Comitê de Ética em Pesquisa (CEP) da institução pertinente</t>
  </si>
  <si>
    <t>Acompanhar o processo de submissão do projeto do EC ao CEP</t>
  </si>
  <si>
    <t>Submissão ao congresso ASPEN</t>
  </si>
  <si>
    <t>Elaboração de resumo do EC para submissão à ASPEN/22</t>
  </si>
  <si>
    <t>Relato de caso de paciente oncológico com diarréia cronica em uso de Peptimax</t>
  </si>
  <si>
    <t>Submissão ao congresso BRASPEN</t>
  </si>
  <si>
    <t>Levantamento de artigos científicos com produtos semelhantes aos produtos Prodiet para analise de protocolo de pesquisa e discussão com profissionais que irão realizar o EC</t>
  </si>
  <si>
    <t>Realizar análise de metodologia de artigos cientificos; Estabelecer e discutir o protocolo do EC com os profissionais</t>
  </si>
  <si>
    <t>7/15/2022</t>
  </si>
  <si>
    <t>9/22/2022</t>
  </si>
  <si>
    <t>Projeto finalizado. Sem dados para realizar a análise</t>
  </si>
  <si>
    <t>Aplicação do suplemento enterfiber</t>
  </si>
  <si>
    <t>Acompanhar resultados obtidos em relação ao débito da ileostomia e qualidade de vida intestinal</t>
  </si>
  <si>
    <t>Aplicação do suplemento peptimax</t>
  </si>
  <si>
    <t>Acompanhar resultados obtidos em relação ao débito da ileostomia e de avaliação nutricional (antropometria) e exames.</t>
  </si>
  <si>
    <t>Análise de resultados</t>
  </si>
  <si>
    <t>Análise de resultados encaminhados pela profissional</t>
  </si>
  <si>
    <t>Organizar os dados coletados em pesquisa e elaborar resumo</t>
  </si>
  <si>
    <t>Aplicação do suplemento Trophic Infant</t>
  </si>
  <si>
    <t>Acompanhar evolução nutricional (antropométricos e
exames) da paciente.</t>
  </si>
  <si>
    <t>INOV000034</t>
  </si>
  <si>
    <t>Nova prospecção de pesquisador</t>
  </si>
  <si>
    <t>Conversa com pesquisadores e apresentação protocolo 
pesquisa para novas possibilidades de parceria</t>
  </si>
  <si>
    <t>Acordo para parceria de Pesquisa</t>
  </si>
  <si>
    <t xml:space="preserve">INOV000037 </t>
  </si>
  <si>
    <t xml:space="preserve">INOV000039 </t>
  </si>
  <si>
    <t>Escrita do protocolo de pesquisa</t>
  </si>
  <si>
    <t>Levantamento de artigos científicos com produtos especializados para controle glicêmico para escrita da metodologia cientifica</t>
  </si>
  <si>
    <t>Realizar análise de metodologia de artigos cientificos; Escrever protocolo de pesquisa para sumissão ao CEP</t>
  </si>
  <si>
    <t>10/20/2023</t>
  </si>
  <si>
    <t>10/25/2023</t>
  </si>
  <si>
    <t>11/30/2023</t>
  </si>
  <si>
    <t xml:space="preserve">INOV000040 </t>
  </si>
  <si>
    <t>Primeira produção</t>
  </si>
  <si>
    <t>Produzir sem entraves primeiro lote dos três sabores conforme demanda</t>
  </si>
  <si>
    <t>dex/2023</t>
  </si>
  <si>
    <t>Testes de bancada utilizando a autoclave do Controle de Qualidade</t>
  </si>
  <si>
    <t>Os resultados apresentados permitiram ter uma boa noção de como seguir para TP</t>
  </si>
  <si>
    <t>Testar as formulações escolhidas após TB, utilizando todos os equipamentos necessários para o processo industrial regular</t>
  </si>
  <si>
    <t>Formulações não desestabilzaram, porém, ficaram com alta viscosidade</t>
  </si>
  <si>
    <t>Uso da nova MP CanolaPro</t>
  </si>
  <si>
    <t>Dieta desestabilizou</t>
  </si>
  <si>
    <t>Uso da nova MP MiWhey</t>
  </si>
  <si>
    <t>NI</t>
  </si>
  <si>
    <t>Código</t>
  </si>
  <si>
    <t>RESUMO RH - VALORES</t>
  </si>
  <si>
    <t>NOME</t>
  </si>
  <si>
    <t>FORMAÇÃO</t>
  </si>
  <si>
    <t>083.832.289-10</t>
  </si>
  <si>
    <t>RESUMO RH - HORAS</t>
  </si>
  <si>
    <t>088.869.216-16</t>
  </si>
  <si>
    <t>v1</t>
  </si>
  <si>
    <t>v2</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</si>
</sst>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dd&quot;, &quot;mmmm&quot; de &quot;yyyy"/>
    <numFmt numFmtId="165" formatCode="#,##0.00;(#,##0.00)"/>
    <numFmt numFmtId="166" formatCode="_-* #,##0.00_-;\-* #,##0.00_-;_-* &quot;-&quot;??_-;_-@"/>
    <numFmt numFmtId="167" formatCode="0.0000%"/>
    <numFmt numFmtId="168" formatCode="dd/mm/yyyy"/>
    <numFmt numFmtId="169" formatCode="d/m/yyyy"/>
    <numFmt numFmtId="170" formatCode="dd/MM/yyyy"/>
    <numFmt numFmtId="171" formatCode="mmm-d"/>
    <numFmt numFmtId="172" formatCode="mm/yyyy"/>
    <numFmt numFmtId="173" formatCode="mmm/yyyy"/>
    <numFmt numFmtId="174" formatCode="mmm/d"/>
  </numFmts>
  <fonts count="51">
    <font>
      <sz val="10.0"/>
      <color rgb="FF000000"/>
      <name val="Arial"/>
      <scheme val="minor"/>
    </font>
    <font>
      <b/>
      <sz val="10.0"/>
      <color rgb="FF000000"/>
      <name val="Cairo"/>
    </font>
    <font>
      <sz val="10.0"/>
      <color rgb="FF000000"/>
      <name val="Cairo"/>
    </font>
    <font>
      <sz val="20.0"/>
      <color rgb="FF000000"/>
      <name val="Cairo"/>
    </font>
    <font>
      <sz val="11.0"/>
      <color rgb="FF000000"/>
      <name val="Cairo"/>
    </font>
    <font>
      <b/>
      <sz val="11.0"/>
      <color rgb="FF000000"/>
      <name val="Cairo"/>
    </font>
    <font>
      <sz val="8.0"/>
      <color rgb="FF000000"/>
      <name val="Cairo"/>
    </font>
    <font>
      <i/>
      <sz val="10.0"/>
      <color rgb="FF000000"/>
      <name val="Cairo"/>
    </font>
    <font>
      <b/>
      <sz val="10.0"/>
      <color rgb="FFFFFFFF"/>
      <name val="Cairo"/>
    </font>
    <font>
      <color theme="1"/>
      <name val="Arial"/>
    </font>
    <font>
      <b/>
      <color rgb="FF000000"/>
      <name val="&quot;Source Sans Pro&quot;"/>
    </font>
    <font>
      <color rgb="FF000000"/>
      <name val="&quot;Source Sans Pro&quot;"/>
    </font>
    <font>
      <i/>
      <color rgb="FF000000"/>
      <name val="&quot;Source Sans Pro&quot;"/>
    </font>
    <font>
      <color theme="1"/>
      <name val="Cairo"/>
    </font>
    <font>
      <b/>
      <sz val="12.0"/>
      <color rgb="FF000000"/>
      <name val="Cairo"/>
    </font>
    <font>
      <sz val="10.0"/>
      <color rgb="FF666666"/>
      <name val="Source Sans Pro"/>
    </font>
    <font>
      <b/>
      <sz val="12.0"/>
      <color rgb="FF666666"/>
      <name val="Source Sans Pro"/>
    </font>
    <font>
      <b/>
      <sz val="10.0"/>
      <color rgb="FF999999"/>
      <name val="Source Sans Pro"/>
    </font>
    <font>
      <sz val="8.0"/>
      <color rgb="FF666666"/>
      <name val="Source Sans Pro"/>
    </font>
    <font>
      <b/>
      <sz val="10.0"/>
      <color rgb="FF666666"/>
      <name val="Source Sans Pro"/>
    </font>
    <font>
      <i/>
      <sz val="10.0"/>
      <color rgb="FF666666"/>
      <name val="Source Sans Pro"/>
    </font>
    <font/>
    <font>
      <sz val="8.0"/>
      <color rgb="FF666666"/>
      <name val="Quattrocento Sans"/>
    </font>
    <font>
      <sz val="10.0"/>
      <color rgb="FF666666"/>
      <name val="Arial"/>
    </font>
    <font>
      <sz val="8.0"/>
      <color rgb="FF666666"/>
      <name val="Arial"/>
    </font>
    <font>
      <i/>
      <sz val="8.0"/>
      <color rgb="FF666666"/>
      <name val="Source Sans Pro"/>
    </font>
    <font>
      <sz val="7.0"/>
      <color rgb="FF666666"/>
      <name val="Source Sans Pro"/>
    </font>
    <font>
      <sz val="11.0"/>
      <color rgb="FF444444"/>
      <name val="Calibri"/>
    </font>
    <font>
      <color theme="1"/>
      <name val="Arial"/>
      <scheme val="minor"/>
    </font>
    <font>
      <b/>
      <color rgb="FF666666"/>
      <name val="&quot;Source Sans Pro&quot;"/>
    </font>
    <font>
      <color rgb="FF666666"/>
      <name val="&quot;Source Sans Pro&quot;"/>
    </font>
    <font>
      <color rgb="FF666666"/>
      <name val="Source Sans Pro"/>
    </font>
    <font>
      <sz val="8.0"/>
      <color rgb="FF666666"/>
      <name val="&quot;Segoe UI Emoji&quot;"/>
    </font>
    <font>
      <color rgb="FF666666"/>
      <name val="Arial"/>
      <scheme val="minor"/>
    </font>
    <font>
      <sz val="8.0"/>
      <color rgb="FF666666"/>
      <name val="Arial"/>
      <scheme val="minor"/>
    </font>
    <font>
      <color theme="1"/>
      <name val="Source Sans Pro"/>
    </font>
    <font>
      <b/>
      <sz val="8.0"/>
      <color rgb="FF666666"/>
      <name val="Source Sans Pro"/>
    </font>
    <font>
      <b/>
      <color theme="1"/>
      <name val="Source Sans Pro"/>
    </font>
    <font>
      <b/>
      <color rgb="FFFF0000"/>
      <name val="Source Sans Pro"/>
    </font>
    <font>
      <b/>
      <color rgb="FF666666"/>
      <name val="Source Sans Pro"/>
    </font>
    <font>
      <color rgb="FFFFFFFF"/>
      <name val="Source Sans Pro"/>
    </font>
    <font>
      <b/>
      <sz val="8.0"/>
      <color rgb="FFFFFFFF"/>
      <name val="Source Sans Pro"/>
    </font>
    <font>
      <sz val="8.0"/>
      <color rgb="FFFFFFFF"/>
      <name val="Arial"/>
      <scheme val="minor"/>
    </font>
    <font>
      <sz val="8.0"/>
      <color rgb="FFFFFFFF"/>
      <name val="Source Sans Pro"/>
    </font>
    <font>
      <sz val="9.0"/>
      <color theme="1"/>
      <name val="Tahoma"/>
    </font>
    <font>
      <color theme="1"/>
      <name val="Calibri"/>
    </font>
    <font>
      <sz val="9.0"/>
      <color rgb="FFFF0000"/>
      <name val="Tahoma"/>
    </font>
    <font>
      <b/>
      <color theme="1"/>
      <name val="Arial"/>
      <scheme val="minor"/>
    </font>
    <font>
      <sz val="11.0"/>
      <color rgb="FF3C4043"/>
      <name val="Inconsolata"/>
    </font>
    <font>
      <sz val="11.0"/>
      <color rgb="FF444746"/>
      <name val="&quot;Google Sans&quot;"/>
    </font>
    <font>
      <b/>
      <color rgb="FFFFFFFF"/>
      <name val="Arial"/>
      <scheme val="minor"/>
    </font>
  </fonts>
  <fills count="15">
    <fill>
      <patternFill patternType="none"/>
    </fill>
    <fill>
      <patternFill patternType="lightGray"/>
    </fill>
    <fill>
      <patternFill patternType="solid">
        <fgColor rgb="FF496C60"/>
        <bgColor rgb="FF496C60"/>
      </patternFill>
    </fill>
    <fill>
      <patternFill patternType="solid">
        <fgColor rgb="FF8B8D8E"/>
        <bgColor rgb="FF8B8D8E"/>
      </patternFill>
    </fill>
    <fill>
      <patternFill patternType="solid">
        <fgColor rgb="FFEFEFEF"/>
        <bgColor rgb="FFEFEFEF"/>
      </patternFill>
    </fill>
    <fill>
      <patternFill patternType="solid">
        <fgColor rgb="FFF3F3F3"/>
        <bgColor rgb="FFF3F3F3"/>
      </patternFill>
    </fill>
    <fill>
      <patternFill patternType="solid">
        <fgColor rgb="FFCCCCCC"/>
        <bgColor rgb="FFCCCCCC"/>
      </patternFill>
    </fill>
    <fill>
      <patternFill patternType="solid">
        <fgColor rgb="FFFFF2CC"/>
        <bgColor rgb="FFFFF2CC"/>
      </patternFill>
    </fill>
    <fill>
      <patternFill patternType="solid">
        <fgColor rgb="FFFF9900"/>
        <bgColor rgb="FFFF9900"/>
      </patternFill>
    </fill>
    <fill>
      <patternFill patternType="solid">
        <fgColor rgb="FFBFBFBF"/>
        <bgColor rgb="FFBFBFBF"/>
      </patternFill>
    </fill>
    <fill>
      <patternFill patternType="solid">
        <fgColor rgb="FFFFFF00"/>
        <bgColor rgb="FFFFFF00"/>
      </patternFill>
    </fill>
    <fill>
      <patternFill patternType="solid">
        <fgColor rgb="FFF2F2F2"/>
        <bgColor rgb="FFF2F2F2"/>
      </patternFill>
    </fill>
    <fill>
      <patternFill patternType="solid">
        <fgColor rgb="FFFFFFFF"/>
        <bgColor rgb="FFFFFFFF"/>
      </patternFill>
    </fill>
    <fill>
      <patternFill patternType="solid">
        <fgColor rgb="FFBDBDBD"/>
        <bgColor rgb="FFBDBDBD"/>
      </patternFill>
    </fill>
    <fill>
      <patternFill patternType="solid">
        <fgColor rgb="FF999999"/>
        <bgColor rgb="FF999999"/>
      </patternFill>
    </fill>
  </fills>
  <borders count="22">
    <border/>
    <border>
      <top style="dotted">
        <color rgb="FF8B8D8E"/>
      </top>
    </border>
    <border>
      <bottom style="dotted">
        <color rgb="FF8B8D8E"/>
      </bottom>
    </border>
    <border>
      <bottom style="thin">
        <color rgb="FF434343"/>
      </bottom>
    </border>
    <border>
      <left/>
      <right/>
      <top style="thin">
        <color rgb="FF000000"/>
      </top>
      <bottom style="thin">
        <color rgb="FF000000"/>
      </bottom>
    </border>
    <border>
      <left style="thin">
        <color rgb="FF999999"/>
      </left>
    </border>
    <border>
      <left/>
      <top/>
      <bottom/>
    </border>
    <border>
      <top/>
      <bottom/>
    </border>
    <border>
      <right/>
      <top/>
      <bottom/>
    </border>
    <border>
      <left style="dotted">
        <color rgb="FF000000"/>
      </left>
      <top style="dotted">
        <color rgb="FF000000"/>
      </top>
      <bottom style="dotted">
        <color rgb="FF000000"/>
      </bottom>
    </border>
    <border>
      <left style="dotted">
        <color rgb="FF000000"/>
      </left>
      <right style="dotted">
        <color rgb="FF000000"/>
      </right>
      <top style="dotted">
        <color rgb="FF000000"/>
      </top>
      <bottom style="dotted">
        <color rgb="FF000000"/>
      </bottom>
    </border>
    <border>
      <right style="dotted">
        <color rgb="FF000000"/>
      </right>
      <top style="dotted">
        <color rgb="FF000000"/>
      </top>
      <bottom style="dotted">
        <color rgb="FF000000"/>
      </bottom>
    </border>
    <border>
      <left/>
      <right/>
      <top/>
      <bottom/>
    </border>
    <border>
      <left style="dotted">
        <color rgb="FF000000"/>
      </left>
      <right style="dotted">
        <color rgb="FF000000"/>
      </right>
      <top/>
      <bottom/>
    </border>
    <border>
      <left style="dotted">
        <color rgb="FF000000"/>
      </left>
      <right style="dotted">
        <color rgb="FF000000"/>
      </right>
    </border>
    <border>
      <top style="thin">
        <color rgb="FF666666"/>
      </top>
      <bottom style="thin">
        <color rgb="FF666666"/>
      </bottom>
    </border>
    <border>
      <bottom style="thin">
        <color rgb="FF000000"/>
      </bottom>
    </border>
    <border>
      <left style="thin">
        <color rgb="FF000000"/>
      </left>
      <bottom style="thin">
        <color rgb="FF000000"/>
      </bottom>
    </border>
    <border>
      <right style="thin">
        <color rgb="FF000000"/>
      </right>
      <bottom style="thin">
        <color rgb="FF000000"/>
      </bottom>
    </border>
    <border>
      <right style="thin">
        <color rgb="FF000000"/>
      </right>
    </border>
    <border>
      <left style="thin">
        <color rgb="FF666666"/>
      </left>
    </border>
    <border>
      <top style="thin">
        <color rgb="FF000000"/>
      </top>
    </border>
  </borders>
  <cellStyleXfs count="1">
    <xf borderId="0" fillId="0" fontId="0" numFmtId="0" applyAlignment="1" applyFont="1"/>
  </cellStyleXfs>
  <cellXfs count="317">
    <xf borderId="0" fillId="0" fontId="0" numFmtId="0" xfId="0" applyAlignment="1" applyFont="1">
      <alignment readingOrder="0" shrinkToFit="0" vertical="bottom" wrapText="0"/>
    </xf>
    <xf borderId="0" fillId="2" fontId="1" numFmtId="0" xfId="0" applyAlignment="1" applyFill="1" applyFont="1">
      <alignment vertical="center"/>
    </xf>
    <xf borderId="0" fillId="2" fontId="2" numFmtId="0" xfId="0" applyAlignment="1" applyFont="1">
      <alignment vertical="center"/>
    </xf>
    <xf borderId="0" fillId="0" fontId="3" numFmtId="0" xfId="0" applyAlignment="1" applyFont="1">
      <alignment readingOrder="0" vertical="center"/>
    </xf>
    <xf borderId="0" fillId="0" fontId="4" numFmtId="0" xfId="0" applyAlignment="1" applyFont="1">
      <alignment vertical="center"/>
    </xf>
    <xf borderId="0" fillId="0" fontId="5" numFmtId="0" xfId="0" applyAlignment="1" applyFont="1">
      <alignment readingOrder="0" vertical="center"/>
    </xf>
    <xf borderId="0" fillId="0" fontId="2" numFmtId="0" xfId="0" applyAlignment="1" applyFont="1">
      <alignment vertical="center"/>
    </xf>
    <xf borderId="0" fillId="0" fontId="6" numFmtId="0" xfId="0" applyAlignment="1" applyFont="1">
      <alignment horizontal="right" readingOrder="0" vertical="center"/>
    </xf>
    <xf borderId="1" fillId="0" fontId="2" numFmtId="0" xfId="0" applyAlignment="1" applyBorder="1" applyFont="1">
      <alignment readingOrder="0" vertical="bottom"/>
    </xf>
    <xf borderId="1" fillId="0" fontId="2" numFmtId="0" xfId="0" applyAlignment="1" applyBorder="1" applyFont="1">
      <alignment vertical="bottom"/>
    </xf>
    <xf borderId="1" fillId="0" fontId="2" numFmtId="0" xfId="0" applyAlignment="1" applyBorder="1" applyFont="1">
      <alignment horizontal="right" readingOrder="0" vertical="bottom"/>
    </xf>
    <xf borderId="0" fillId="0" fontId="6" numFmtId="164" xfId="0" applyAlignment="1" applyFont="1" applyNumberFormat="1">
      <alignment horizontal="right" readingOrder="0" vertical="top"/>
    </xf>
    <xf borderId="2" fillId="0" fontId="7" numFmtId="0" xfId="0" applyAlignment="1" applyBorder="1" applyFont="1">
      <alignment readingOrder="0" vertical="top"/>
    </xf>
    <xf borderId="2" fillId="0" fontId="2" numFmtId="0" xfId="0" applyAlignment="1" applyBorder="1" applyFont="1">
      <alignment vertical="top"/>
    </xf>
    <xf borderId="0" fillId="3" fontId="8" numFmtId="0" xfId="0" applyAlignment="1" applyFill="1" applyFont="1">
      <alignment vertical="center"/>
    </xf>
    <xf borderId="0" fillId="3" fontId="8" numFmtId="0" xfId="0" applyAlignment="1" applyFont="1">
      <alignment horizontal="right" readingOrder="0" vertical="center"/>
    </xf>
    <xf borderId="3" fillId="0" fontId="9" numFmtId="0" xfId="0" applyAlignment="1" applyBorder="1" applyFont="1">
      <alignment vertical="bottom"/>
    </xf>
    <xf borderId="3" fillId="4" fontId="10" numFmtId="0" xfId="0" applyAlignment="1" applyBorder="1" applyFill="1" applyFont="1">
      <alignment horizontal="right"/>
    </xf>
    <xf borderId="0" fillId="0" fontId="2" numFmtId="165" xfId="0" applyAlignment="1" applyFont="1" applyNumberFormat="1">
      <alignment horizontal="right" vertical="center"/>
    </xf>
    <xf borderId="0" fillId="0" fontId="2" numFmtId="165" xfId="0" applyAlignment="1" applyFont="1" applyNumberFormat="1">
      <alignment horizontal="right" readingOrder="0" vertical="center"/>
    </xf>
    <xf borderId="0" fillId="0" fontId="9" numFmtId="165" xfId="0" applyAlignment="1" applyFont="1" applyNumberFormat="1">
      <alignment vertical="bottom"/>
    </xf>
    <xf borderId="0" fillId="4" fontId="11" numFmtId="165" xfId="0" applyAlignment="1" applyFont="1" applyNumberFormat="1">
      <alignment horizontal="right"/>
    </xf>
    <xf borderId="4" fillId="2" fontId="8" numFmtId="0" xfId="0" applyAlignment="1" applyBorder="1" applyFont="1">
      <alignment readingOrder="0" vertical="center"/>
    </xf>
    <xf borderId="4" fillId="2" fontId="8" numFmtId="165" xfId="0" applyAlignment="1" applyBorder="1" applyFont="1" applyNumberFormat="1">
      <alignment horizontal="right" vertical="center"/>
    </xf>
    <xf borderId="3" fillId="0" fontId="9" numFmtId="165" xfId="0" applyAlignment="1" applyBorder="1" applyFont="1" applyNumberFormat="1">
      <alignment vertical="bottom"/>
    </xf>
    <xf borderId="3" fillId="4" fontId="10" numFmtId="165" xfId="0" applyAlignment="1" applyBorder="1" applyFont="1" applyNumberFormat="1">
      <alignment horizontal="right"/>
    </xf>
    <xf borderId="0" fillId="5" fontId="7" numFmtId="0" xfId="0" applyAlignment="1" applyFill="1" applyFont="1">
      <alignment vertical="center"/>
    </xf>
    <xf borderId="0" fillId="5" fontId="7" numFmtId="9" xfId="0" applyAlignment="1" applyFont="1" applyNumberFormat="1">
      <alignment horizontal="right" readingOrder="0" vertical="center"/>
    </xf>
    <xf borderId="0" fillId="0" fontId="9" numFmtId="0" xfId="0" applyAlignment="1" applyFont="1">
      <alignment vertical="bottom"/>
    </xf>
    <xf borderId="0" fillId="4" fontId="12" numFmtId="9" xfId="0" applyAlignment="1" applyFont="1" applyNumberFormat="1">
      <alignment horizontal="right" readingOrder="0"/>
    </xf>
    <xf borderId="4" fillId="2" fontId="8" numFmtId="0" xfId="0" applyAlignment="1" applyBorder="1" applyFont="1">
      <alignment vertical="center"/>
    </xf>
    <xf borderId="0" fillId="0" fontId="6" numFmtId="0" xfId="0" applyAlignment="1" applyFont="1">
      <alignment readingOrder="0" vertical="center"/>
    </xf>
    <xf borderId="0" fillId="0" fontId="6" numFmtId="165" xfId="0" applyAlignment="1" applyFont="1" applyNumberFormat="1">
      <alignment vertical="center"/>
    </xf>
    <xf borderId="0" fillId="0" fontId="13" numFmtId="0" xfId="0" applyFont="1"/>
    <xf borderId="0" fillId="0" fontId="13" numFmtId="4" xfId="0" applyAlignment="1" applyFont="1" applyNumberFormat="1">
      <alignment readingOrder="0"/>
    </xf>
    <xf borderId="0" fillId="3" fontId="8" numFmtId="0" xfId="0" applyAlignment="1" applyFont="1">
      <alignment readingOrder="0" vertical="top"/>
    </xf>
    <xf borderId="2" fillId="0" fontId="2" numFmtId="0" xfId="0" applyAlignment="1" applyBorder="1" applyFont="1">
      <alignment vertical="center"/>
    </xf>
    <xf borderId="0" fillId="0" fontId="2" numFmtId="0" xfId="0" applyAlignment="1" applyFont="1">
      <alignment readingOrder="0" vertical="center"/>
    </xf>
    <xf borderId="0" fillId="0" fontId="2" numFmtId="0" xfId="0" applyAlignment="1" applyFont="1">
      <alignment horizontal="right" vertical="center"/>
    </xf>
    <xf quotePrefix="1" borderId="0" fillId="0" fontId="7" numFmtId="0" xfId="0" applyAlignment="1" applyFont="1">
      <alignment readingOrder="0" vertical="center"/>
    </xf>
    <xf borderId="0" fillId="0" fontId="7" numFmtId="0" xfId="0" applyAlignment="1" applyFont="1">
      <alignment readingOrder="0" vertical="center"/>
    </xf>
    <xf borderId="0" fillId="0" fontId="14" numFmtId="0" xfId="0" applyAlignment="1" applyFont="1">
      <alignment readingOrder="0" vertical="center"/>
    </xf>
    <xf borderId="0" fillId="0" fontId="2" numFmtId="0" xfId="0" applyFont="1"/>
    <xf borderId="0" fillId="4" fontId="1" numFmtId="0" xfId="0" applyAlignment="1" applyFont="1">
      <alignment horizontal="center" readingOrder="0" vertical="center"/>
    </xf>
    <xf borderId="0" fillId="6" fontId="1" numFmtId="0" xfId="0" applyAlignment="1" applyFill="1" applyFont="1">
      <alignment horizontal="center" readingOrder="0" vertical="center"/>
    </xf>
    <xf borderId="0" fillId="3" fontId="8" numFmtId="0" xfId="0" applyAlignment="1" applyFont="1">
      <alignment horizontal="center" readingOrder="0" vertical="center"/>
    </xf>
    <xf borderId="0" fillId="0" fontId="2" numFmtId="49" xfId="0" applyAlignment="1" applyFont="1" applyNumberFormat="1">
      <alignment horizontal="left" vertical="center"/>
    </xf>
    <xf borderId="0" fillId="0" fontId="2" numFmtId="0" xfId="0" applyAlignment="1" applyFont="1">
      <alignment horizontal="center" readingOrder="0" vertical="center"/>
    </xf>
    <xf borderId="0" fillId="0" fontId="2" numFmtId="165" xfId="0" applyAlignment="1" applyFont="1" applyNumberFormat="1">
      <alignment vertical="center"/>
    </xf>
    <xf borderId="0" fillId="0" fontId="2" numFmtId="49" xfId="0" applyAlignment="1" applyFont="1" applyNumberFormat="1">
      <alignment horizontal="left" readingOrder="0" vertical="center"/>
    </xf>
    <xf borderId="0" fillId="0" fontId="2" numFmtId="49" xfId="0" applyAlignment="1" applyFont="1" applyNumberFormat="1">
      <alignment readingOrder="0" vertical="center"/>
    </xf>
    <xf borderId="4" fillId="2" fontId="8" numFmtId="166" xfId="0" applyAlignment="1" applyBorder="1" applyFont="1" applyNumberFormat="1">
      <alignment readingOrder="0" vertical="center"/>
    </xf>
    <xf borderId="4" fillId="2" fontId="8" numFmtId="0" xfId="0" applyAlignment="1" applyBorder="1" applyFont="1">
      <alignment horizontal="center" vertical="center"/>
    </xf>
    <xf borderId="4" fillId="2" fontId="8" numFmtId="165" xfId="0" applyAlignment="1" applyBorder="1" applyFont="1" applyNumberFormat="1">
      <alignment vertical="center"/>
    </xf>
    <xf borderId="0" fillId="2" fontId="8" numFmtId="0" xfId="0" applyAlignment="1" applyFont="1">
      <alignment readingOrder="0" vertical="center"/>
    </xf>
    <xf borderId="0" fillId="2" fontId="8" numFmtId="165" xfId="0" applyAlignment="1" applyFont="1" applyNumberFormat="1">
      <alignment horizontal="right" readingOrder="0" vertical="center"/>
    </xf>
    <xf borderId="0" fillId="2" fontId="8" numFmtId="165" xfId="0" applyAlignment="1" applyFont="1" applyNumberFormat="1">
      <alignment readingOrder="0" vertical="center"/>
    </xf>
    <xf borderId="0" fillId="3" fontId="8" numFmtId="0" xfId="0" applyAlignment="1" applyFont="1">
      <alignment readingOrder="0" vertical="center"/>
    </xf>
    <xf borderId="0" fillId="3" fontId="8" numFmtId="165" xfId="0" applyAlignment="1" applyFont="1" applyNumberFormat="1">
      <alignment horizontal="right" readingOrder="0" vertical="center"/>
    </xf>
    <xf borderId="0" fillId="3" fontId="8" numFmtId="165" xfId="0" applyAlignment="1" applyFont="1" applyNumberFormat="1">
      <alignment readingOrder="0" vertical="center"/>
    </xf>
    <xf borderId="0" fillId="0" fontId="1" numFmtId="165" xfId="0" applyAlignment="1" applyFont="1" applyNumberFormat="1">
      <alignment horizontal="right" vertical="center"/>
    </xf>
    <xf borderId="0" fillId="0" fontId="4" numFmtId="165" xfId="0" applyAlignment="1" applyFont="1" applyNumberFormat="1">
      <alignment vertical="center"/>
    </xf>
    <xf borderId="0" fillId="7" fontId="2" numFmtId="0" xfId="0" applyAlignment="1" applyFill="1" applyFont="1">
      <alignment readingOrder="0" vertical="center"/>
    </xf>
    <xf borderId="0" fillId="7" fontId="1" numFmtId="165" xfId="0" applyAlignment="1" applyFont="1" applyNumberFormat="1">
      <alignment horizontal="right" vertical="center"/>
    </xf>
    <xf borderId="0" fillId="7" fontId="4" numFmtId="165" xfId="0" applyAlignment="1" applyFont="1" applyNumberFormat="1">
      <alignment vertical="center"/>
    </xf>
    <xf borderId="0" fillId="7" fontId="2" numFmtId="165" xfId="0" applyAlignment="1" applyFont="1" applyNumberFormat="1">
      <alignment horizontal="right" readingOrder="0" vertical="center"/>
    </xf>
    <xf borderId="0" fillId="7" fontId="2" numFmtId="165" xfId="0" applyAlignment="1" applyFont="1" applyNumberFormat="1">
      <alignment horizontal="right" vertical="center"/>
    </xf>
    <xf borderId="0" fillId="0" fontId="15" numFmtId="0" xfId="0" applyAlignment="1" applyFont="1">
      <alignment readingOrder="0" vertical="center"/>
    </xf>
    <xf borderId="0" fillId="0" fontId="15" numFmtId="0" xfId="0" applyAlignment="1" applyFont="1">
      <alignment vertical="center"/>
    </xf>
    <xf borderId="0" fillId="0" fontId="16" numFmtId="0" xfId="0" applyAlignment="1" applyFont="1">
      <alignment vertical="center"/>
    </xf>
    <xf borderId="0" fillId="0" fontId="17" numFmtId="0" xfId="0" applyAlignment="1" applyFont="1">
      <alignment vertical="center"/>
    </xf>
    <xf borderId="5" fillId="0" fontId="15" numFmtId="0" xfId="0" applyAlignment="1" applyBorder="1" applyFont="1">
      <alignment vertical="center"/>
    </xf>
    <xf borderId="0" fillId="0" fontId="18" numFmtId="0" xfId="0" applyAlignment="1" applyFont="1">
      <alignment vertical="center"/>
    </xf>
    <xf borderId="0" fillId="5" fontId="15" numFmtId="0" xfId="0" applyAlignment="1" applyFont="1">
      <alignment readingOrder="0" vertical="center"/>
    </xf>
    <xf quotePrefix="1" borderId="0" fillId="0" fontId="18" numFmtId="0" xfId="0" applyAlignment="1" applyFont="1">
      <alignment shrinkToFit="0" vertical="top" wrapText="1"/>
    </xf>
    <xf borderId="0" fillId="0" fontId="19" numFmtId="0" xfId="0" applyAlignment="1" applyFont="1">
      <alignment vertical="center"/>
    </xf>
    <xf borderId="6" fillId="5" fontId="20" numFmtId="0" xfId="0" applyAlignment="1" applyBorder="1" applyFont="1">
      <alignment shrinkToFit="0" vertical="center" wrapText="1"/>
    </xf>
    <xf borderId="7" fillId="0" fontId="21" numFmtId="0" xfId="0" applyBorder="1" applyFont="1"/>
    <xf borderId="8" fillId="0" fontId="21" numFmtId="0" xfId="0" applyBorder="1" applyFont="1"/>
    <xf borderId="0" fillId="0" fontId="22" numFmtId="0" xfId="0" applyAlignment="1" applyFont="1">
      <alignment vertical="center"/>
    </xf>
    <xf borderId="0" fillId="0" fontId="20" numFmtId="0" xfId="0" applyAlignment="1" applyFont="1">
      <alignment vertical="center"/>
    </xf>
    <xf borderId="6" fillId="5" fontId="20" numFmtId="0" xfId="0" applyAlignment="1" applyBorder="1" applyFont="1">
      <alignment readingOrder="0" shrinkToFit="0" vertical="center" wrapText="1"/>
    </xf>
    <xf borderId="0" fillId="0" fontId="23" numFmtId="0" xfId="0" applyAlignment="1" applyFont="1">
      <alignment vertical="center"/>
    </xf>
    <xf borderId="0" fillId="0" fontId="24" numFmtId="0" xfId="0" applyAlignment="1" applyFont="1">
      <alignment vertical="center"/>
    </xf>
    <xf borderId="0" fillId="0" fontId="23" numFmtId="0" xfId="0" applyFont="1"/>
    <xf borderId="0" fillId="0" fontId="25" numFmtId="0" xfId="0" applyAlignment="1" applyFont="1">
      <alignment vertical="center"/>
    </xf>
    <xf borderId="0" fillId="0" fontId="18" numFmtId="0" xfId="0" applyAlignment="1" applyFont="1">
      <alignment vertical="top"/>
    </xf>
    <xf borderId="0" fillId="0" fontId="22" numFmtId="0" xfId="0" applyAlignment="1" applyFont="1">
      <alignment vertical="top"/>
    </xf>
    <xf borderId="0" fillId="0" fontId="26" numFmtId="0" xfId="0" applyAlignment="1" applyFont="1">
      <alignment vertical="center"/>
    </xf>
    <xf borderId="9" fillId="0" fontId="15" numFmtId="0" xfId="0" applyAlignment="1" applyBorder="1" applyFont="1">
      <alignment vertical="center"/>
    </xf>
    <xf borderId="10" fillId="0" fontId="15" numFmtId="0" xfId="0" applyAlignment="1" applyBorder="1" applyFont="1">
      <alignment vertical="center"/>
    </xf>
    <xf borderId="9" fillId="0" fontId="15" numFmtId="0" xfId="0" applyAlignment="1" applyBorder="1" applyFont="1">
      <alignment horizontal="center" vertical="center"/>
    </xf>
    <xf borderId="11" fillId="0" fontId="21" numFmtId="0" xfId="0" applyBorder="1" applyFont="1"/>
    <xf borderId="0" fillId="0" fontId="26" numFmtId="0" xfId="0" applyAlignment="1" applyFont="1">
      <alignment shrinkToFit="0" vertical="top" wrapText="1"/>
    </xf>
    <xf borderId="12" fillId="5" fontId="20" numFmtId="0" xfId="0" applyAlignment="1" applyBorder="1" applyFont="1">
      <alignment vertical="center"/>
    </xf>
    <xf borderId="13" fillId="5" fontId="20" numFmtId="0" xfId="0" applyAlignment="1" applyBorder="1" applyFont="1">
      <alignment vertical="center"/>
    </xf>
    <xf borderId="6" fillId="5" fontId="18" numFmtId="0" xfId="0" applyAlignment="1" applyBorder="1" applyFont="1">
      <alignment vertical="center"/>
    </xf>
    <xf borderId="13" fillId="5" fontId="20" numFmtId="0" xfId="0" applyAlignment="1" applyBorder="1" applyFont="1">
      <alignment shrinkToFit="0" vertical="center" wrapText="1"/>
    </xf>
    <xf borderId="0" fillId="0" fontId="27" numFmtId="0" xfId="0" applyAlignment="1" applyFont="1">
      <alignment horizontal="center" shrinkToFit="0" wrapText="1"/>
    </xf>
    <xf borderId="0" fillId="0" fontId="28" numFmtId="0" xfId="0" applyAlignment="1" applyFont="1">
      <alignment readingOrder="0"/>
    </xf>
    <xf borderId="0" fillId="0" fontId="26" numFmtId="0" xfId="0" applyAlignment="1" applyFont="1">
      <alignment shrinkToFit="0" vertical="center" wrapText="1"/>
    </xf>
    <xf borderId="12" fillId="5" fontId="20" numFmtId="0" xfId="0" applyAlignment="1" applyBorder="1" applyFont="1">
      <alignment readingOrder="0" vertical="center"/>
    </xf>
    <xf borderId="13" fillId="5" fontId="20" numFmtId="0" xfId="0" applyAlignment="1" applyBorder="1" applyFont="1">
      <alignment readingOrder="0" vertical="center"/>
    </xf>
    <xf borderId="0" fillId="0" fontId="9" numFmtId="0" xfId="0" applyFont="1"/>
    <xf borderId="0" fillId="0" fontId="29" numFmtId="0" xfId="0" applyAlignment="1" applyFont="1">
      <alignment horizontal="center" shrinkToFit="0" wrapText="1"/>
    </xf>
    <xf borderId="0" fillId="0" fontId="30" numFmtId="0" xfId="0" applyFont="1"/>
    <xf borderId="0" fillId="0" fontId="9" numFmtId="0" xfId="0" applyAlignment="1" applyFont="1">
      <alignment readingOrder="0"/>
    </xf>
    <xf borderId="0" fillId="0" fontId="31" numFmtId="0" xfId="0" applyAlignment="1" applyFont="1">
      <alignment readingOrder="0" vertical="center"/>
    </xf>
    <xf borderId="0" fillId="0" fontId="31" numFmtId="0" xfId="0" applyAlignment="1" applyFont="1">
      <alignment vertical="center"/>
    </xf>
    <xf borderId="0" fillId="0" fontId="15" numFmtId="0" xfId="0" applyAlignment="1" applyFont="1">
      <alignment vertical="center"/>
    </xf>
    <xf borderId="0" fillId="0" fontId="16" numFmtId="0" xfId="0" applyAlignment="1" applyFont="1">
      <alignment readingOrder="0" vertical="center"/>
    </xf>
    <xf borderId="0" fillId="0" fontId="17" numFmtId="0" xfId="0" applyAlignment="1" applyFont="1">
      <alignment readingOrder="0" vertical="center"/>
    </xf>
    <xf borderId="5" fillId="0" fontId="15" numFmtId="0" xfId="0" applyAlignment="1" applyBorder="1" applyFont="1">
      <alignment vertical="center"/>
    </xf>
    <xf borderId="0" fillId="0" fontId="18" numFmtId="0" xfId="0" applyAlignment="1" applyFont="1">
      <alignment readingOrder="0" vertical="center"/>
    </xf>
    <xf borderId="0" fillId="0" fontId="18" numFmtId="0" xfId="0" applyAlignment="1" applyFont="1">
      <alignment readingOrder="0" shrinkToFit="0" vertical="top" wrapText="1"/>
    </xf>
    <xf borderId="0" fillId="0" fontId="19" numFmtId="0" xfId="0" applyAlignment="1" applyFont="1">
      <alignment readingOrder="0" vertical="center"/>
    </xf>
    <xf borderId="0" fillId="5" fontId="20" numFmtId="0" xfId="0" applyAlignment="1" applyFont="1">
      <alignment readingOrder="0" shrinkToFit="0" vertical="center" wrapText="1"/>
    </xf>
    <xf borderId="0" fillId="0" fontId="18" numFmtId="0" xfId="0" applyAlignment="1" applyFont="1">
      <alignment vertical="center"/>
    </xf>
    <xf borderId="0" fillId="0" fontId="32" numFmtId="0" xfId="0" applyAlignment="1" applyFont="1">
      <alignment readingOrder="0" vertical="center"/>
    </xf>
    <xf borderId="0" fillId="5" fontId="20" numFmtId="0" xfId="0" applyAlignment="1" applyFont="1">
      <alignment readingOrder="0" vertical="center"/>
    </xf>
    <xf borderId="0" fillId="0" fontId="20" numFmtId="0" xfId="0" applyAlignment="1" applyFont="1">
      <alignment readingOrder="0" vertical="center"/>
    </xf>
    <xf borderId="0" fillId="0" fontId="33" numFmtId="0" xfId="0" applyAlignment="1" applyFont="1">
      <alignment vertical="center"/>
    </xf>
    <xf borderId="0" fillId="0" fontId="34" numFmtId="0" xfId="0" applyAlignment="1" applyFont="1">
      <alignment vertical="center"/>
    </xf>
    <xf borderId="0" fillId="0" fontId="33" numFmtId="0" xfId="0" applyFont="1"/>
    <xf borderId="0" fillId="0" fontId="25" numFmtId="0" xfId="0" applyAlignment="1" applyFont="1">
      <alignment readingOrder="0" shrinkToFit="0" vertical="center" wrapText="0"/>
    </xf>
    <xf borderId="0" fillId="0" fontId="18" numFmtId="0" xfId="0" applyAlignment="1" applyFont="1">
      <alignment readingOrder="0" vertical="top"/>
    </xf>
    <xf borderId="0" fillId="0" fontId="18" numFmtId="0" xfId="0" applyAlignment="1" applyFont="1">
      <alignment vertical="top"/>
    </xf>
    <xf borderId="0" fillId="0" fontId="32" numFmtId="0" xfId="0" applyAlignment="1" applyFont="1">
      <alignment readingOrder="0" vertical="top"/>
    </xf>
    <xf borderId="0" fillId="0" fontId="26" numFmtId="0" xfId="0" applyAlignment="1" applyFont="1">
      <alignment readingOrder="0" shrinkToFit="0" vertical="center" wrapText="1"/>
    </xf>
    <xf borderId="9" fillId="0" fontId="15" numFmtId="0" xfId="0" applyAlignment="1" applyBorder="1" applyFont="1">
      <alignment readingOrder="0" vertical="center"/>
    </xf>
    <xf borderId="10" fillId="0" fontId="15" numFmtId="0" xfId="0" applyAlignment="1" applyBorder="1" applyFont="1">
      <alignment readingOrder="0" vertical="center"/>
    </xf>
    <xf borderId="9" fillId="0" fontId="15" numFmtId="0" xfId="0" applyAlignment="1" applyBorder="1" applyFont="1">
      <alignment horizontal="center" readingOrder="0" vertical="center"/>
    </xf>
    <xf borderId="0" fillId="0" fontId="26" numFmtId="0" xfId="0" applyAlignment="1" applyFont="1">
      <alignment readingOrder="0" shrinkToFit="0" vertical="top" wrapText="1"/>
    </xf>
    <xf borderId="14" fillId="5" fontId="20" numFmtId="0" xfId="0" applyAlignment="1" applyBorder="1" applyFont="1">
      <alignment readingOrder="0" vertical="center"/>
    </xf>
    <xf borderId="0" fillId="5" fontId="18" numFmtId="0" xfId="0" applyAlignment="1" applyFont="1">
      <alignment readingOrder="0" vertical="center"/>
    </xf>
    <xf borderId="0" fillId="0" fontId="31" numFmtId="0" xfId="0" applyAlignment="1" applyFont="1">
      <alignment horizontal="left" vertical="center"/>
    </xf>
    <xf borderId="0" fillId="0" fontId="15" numFmtId="0" xfId="0" applyAlignment="1" applyFont="1">
      <alignment horizontal="left" vertical="center"/>
    </xf>
    <xf borderId="0" fillId="0" fontId="18" numFmtId="0" xfId="0" applyAlignment="1" applyFont="1">
      <alignment readingOrder="0" shrinkToFit="0" vertical="center" wrapText="1"/>
    </xf>
    <xf borderId="0" fillId="0" fontId="18" numFmtId="0" xfId="0" applyAlignment="1" applyFont="1">
      <alignment horizontal="left" readingOrder="0" shrinkToFit="0" vertical="center" wrapText="1"/>
    </xf>
    <xf borderId="0" fillId="0" fontId="18" numFmtId="4" xfId="0" applyAlignment="1" applyFont="1" applyNumberFormat="1">
      <alignment horizontal="right" vertical="center"/>
    </xf>
    <xf borderId="0" fillId="0" fontId="18" numFmtId="46" xfId="0" applyAlignment="1" applyFont="1" applyNumberFormat="1">
      <alignment horizontal="right" vertical="center"/>
    </xf>
    <xf borderId="15" fillId="0" fontId="19" numFmtId="0" xfId="0" applyAlignment="1" applyBorder="1" applyFont="1">
      <alignment readingOrder="0" vertical="center"/>
    </xf>
    <xf borderId="15" fillId="0" fontId="19" numFmtId="0" xfId="0" applyAlignment="1" applyBorder="1" applyFont="1">
      <alignment horizontal="left" readingOrder="0" vertical="center"/>
    </xf>
    <xf borderId="15" fillId="0" fontId="19" numFmtId="165" xfId="0" applyAlignment="1" applyBorder="1" applyFont="1" applyNumberFormat="1">
      <alignment horizontal="right" readingOrder="0" vertical="center"/>
    </xf>
    <xf borderId="0" fillId="5" fontId="18" numFmtId="0" xfId="0" applyAlignment="1" applyFont="1">
      <alignment vertical="center"/>
    </xf>
    <xf borderId="0" fillId="5" fontId="18" numFmtId="0" xfId="0" applyAlignment="1" applyFont="1">
      <alignment readingOrder="0" shrinkToFit="0" vertical="center" wrapText="1"/>
    </xf>
    <xf borderId="0" fillId="5" fontId="18" numFmtId="0" xfId="0" applyAlignment="1" applyFont="1">
      <alignment horizontal="left" readingOrder="0" vertical="center"/>
    </xf>
    <xf borderId="0" fillId="5" fontId="18" numFmtId="0" xfId="0" applyAlignment="1" applyFont="1">
      <alignment horizontal="left" readingOrder="0" shrinkToFit="0" vertical="center" wrapText="1"/>
    </xf>
    <xf borderId="0" fillId="5" fontId="18" numFmtId="165" xfId="0" applyAlignment="1" applyFont="1" applyNumberFormat="1">
      <alignment horizontal="right" readingOrder="0" vertical="center"/>
    </xf>
    <xf borderId="0" fillId="0" fontId="18" numFmtId="10" xfId="0" applyAlignment="1" applyFont="1" applyNumberFormat="1">
      <alignment horizontal="right" vertical="center"/>
    </xf>
    <xf borderId="0" fillId="0" fontId="18" numFmtId="165" xfId="0" applyAlignment="1" applyFont="1" applyNumberFormat="1">
      <alignment horizontal="right" vertical="center"/>
    </xf>
    <xf borderId="0" fillId="0" fontId="35" numFmtId="165" xfId="0" applyAlignment="1" applyFont="1" applyNumberFormat="1">
      <alignment vertical="center"/>
    </xf>
    <xf borderId="0" fillId="0" fontId="35" numFmtId="165" xfId="0" applyAlignment="1" applyFont="1" applyNumberFormat="1">
      <alignment readingOrder="0" vertical="center"/>
    </xf>
    <xf borderId="0" fillId="8" fontId="18" numFmtId="0" xfId="0" applyAlignment="1" applyFill="1" applyFont="1">
      <alignment vertical="center"/>
    </xf>
    <xf borderId="0" fillId="8" fontId="18" numFmtId="0" xfId="0" applyAlignment="1" applyFont="1">
      <alignment readingOrder="0" shrinkToFit="0" vertical="center" wrapText="1"/>
    </xf>
    <xf borderId="0" fillId="7" fontId="18" numFmtId="0" xfId="0" applyAlignment="1" applyFont="1">
      <alignment vertical="center"/>
    </xf>
    <xf borderId="0" fillId="7" fontId="18" numFmtId="0" xfId="0" applyAlignment="1" applyFont="1">
      <alignment readingOrder="0" shrinkToFit="0" vertical="center" wrapText="1"/>
    </xf>
    <xf borderId="0" fillId="7" fontId="18" numFmtId="0" xfId="0" applyAlignment="1" applyFont="1">
      <alignment horizontal="left" readingOrder="0" vertical="center"/>
    </xf>
    <xf borderId="0" fillId="7" fontId="18" numFmtId="0" xfId="0" applyAlignment="1" applyFont="1">
      <alignment horizontal="left" readingOrder="0" shrinkToFit="0" vertical="center" wrapText="1"/>
    </xf>
    <xf borderId="0" fillId="0" fontId="18" numFmtId="0" xfId="0" applyAlignment="1" applyFont="1">
      <alignment horizontal="left" readingOrder="0" vertical="center"/>
    </xf>
    <xf borderId="0" fillId="0" fontId="18" numFmtId="165" xfId="0" applyAlignment="1" applyFont="1" applyNumberFormat="1">
      <alignment horizontal="right" readingOrder="0" vertical="center"/>
    </xf>
    <xf borderId="0" fillId="0" fontId="36" numFmtId="0" xfId="0" applyAlignment="1" applyFont="1">
      <alignment shrinkToFit="0" vertical="center" wrapText="0"/>
    </xf>
    <xf borderId="0" fillId="0" fontId="18" numFmtId="0" xfId="0" applyAlignment="1" applyFont="1">
      <alignment vertical="center"/>
    </xf>
    <xf borderId="0" fillId="0" fontId="18" numFmtId="165" xfId="0" applyAlignment="1" applyFont="1" applyNumberFormat="1">
      <alignment vertical="center"/>
    </xf>
    <xf borderId="16" fillId="0" fontId="18" numFmtId="0" xfId="0" applyAlignment="1" applyBorder="1" applyFont="1">
      <alignment vertical="center"/>
    </xf>
    <xf borderId="16" fillId="0" fontId="18" numFmtId="165" xfId="0" applyAlignment="1" applyBorder="1" applyFont="1" applyNumberFormat="1">
      <alignment vertical="center"/>
    </xf>
    <xf borderId="17" fillId="0" fontId="36" numFmtId="0" xfId="0" applyAlignment="1" applyBorder="1" applyFont="1">
      <alignment horizontal="center" vertical="center"/>
    </xf>
    <xf borderId="16" fillId="0" fontId="21" numFmtId="0" xfId="0" applyBorder="1" applyFont="1"/>
    <xf borderId="18" fillId="0" fontId="21" numFmtId="0" xfId="0" applyBorder="1" applyFont="1"/>
    <xf borderId="19" fillId="0" fontId="18" numFmtId="165" xfId="0" applyAlignment="1" applyBorder="1" applyFont="1" applyNumberFormat="1">
      <alignment vertical="center"/>
    </xf>
    <xf borderId="0" fillId="0" fontId="36" numFmtId="165" xfId="0" applyAlignment="1" applyFont="1" applyNumberFormat="1">
      <alignment horizontal="center" vertical="center"/>
    </xf>
    <xf borderId="16" fillId="9" fontId="36" numFmtId="165" xfId="0" applyAlignment="1" applyBorder="1" applyFill="1" applyFont="1" applyNumberFormat="1">
      <alignment vertical="center"/>
    </xf>
    <xf borderId="18" fillId="0" fontId="18" numFmtId="10" xfId="0" applyAlignment="1" applyBorder="1" applyFont="1" applyNumberFormat="1">
      <alignment horizontal="right" vertical="center"/>
    </xf>
    <xf borderId="17" fillId="9" fontId="36" numFmtId="0" xfId="0" applyAlignment="1" applyBorder="1" applyFont="1">
      <alignment horizontal="right" vertical="center"/>
    </xf>
    <xf borderId="16" fillId="9" fontId="36" numFmtId="0" xfId="0" applyAlignment="1" applyBorder="1" applyFont="1">
      <alignment horizontal="right" vertical="center"/>
    </xf>
    <xf borderId="18" fillId="9" fontId="36" numFmtId="0" xfId="0" applyAlignment="1" applyBorder="1" applyFont="1">
      <alignment horizontal="right" vertical="center"/>
    </xf>
    <xf borderId="0" fillId="0" fontId="18" numFmtId="9" xfId="0" applyAlignment="1" applyFont="1" applyNumberFormat="1">
      <alignment vertical="center"/>
    </xf>
    <xf borderId="0" fillId="0" fontId="18" numFmtId="167" xfId="0" applyAlignment="1" applyFont="1" applyNumberFormat="1">
      <alignment horizontal="right" vertical="center"/>
    </xf>
    <xf borderId="0" fillId="0" fontId="36" numFmtId="167" xfId="0" applyAlignment="1" applyFont="1" applyNumberFormat="1">
      <alignment horizontal="right" vertical="center"/>
    </xf>
    <xf borderId="0" fillId="0" fontId="35" numFmtId="167" xfId="0" applyAlignment="1" applyFont="1" applyNumberFormat="1">
      <alignment horizontal="right" vertical="center"/>
    </xf>
    <xf borderId="0" fillId="0" fontId="35" numFmtId="167" xfId="0" applyAlignment="1" applyFont="1" applyNumberFormat="1">
      <alignment horizontal="right" readingOrder="0" vertical="center"/>
    </xf>
    <xf borderId="0" fillId="0" fontId="37" numFmtId="167" xfId="0" applyAlignment="1" applyFont="1" applyNumberFormat="1">
      <alignment horizontal="right" vertical="center"/>
    </xf>
    <xf borderId="0" fillId="0" fontId="35" numFmtId="0" xfId="0" applyAlignment="1" applyFont="1">
      <alignment vertical="center"/>
    </xf>
    <xf borderId="0" fillId="0" fontId="38" numFmtId="165" xfId="0" applyAlignment="1" applyFont="1" applyNumberFormat="1">
      <alignment horizontal="center" vertical="center"/>
    </xf>
    <xf borderId="0" fillId="0" fontId="37" numFmtId="165" xfId="0" applyAlignment="1" applyFont="1" applyNumberFormat="1">
      <alignment vertical="center"/>
    </xf>
    <xf borderId="0" fillId="0" fontId="35" numFmtId="10" xfId="0" applyAlignment="1" applyFont="1" applyNumberFormat="1">
      <alignment horizontal="right" vertical="center"/>
    </xf>
    <xf borderId="0" fillId="0" fontId="18" numFmtId="0" xfId="0" applyAlignment="1" applyFont="1">
      <alignment horizontal="right" vertical="center"/>
    </xf>
    <xf borderId="15" fillId="0" fontId="19" numFmtId="168" xfId="0" applyAlignment="1" applyBorder="1" applyFont="1" applyNumberFormat="1">
      <alignment horizontal="right" readingOrder="0" vertical="center"/>
    </xf>
    <xf borderId="15" fillId="0" fontId="19" numFmtId="169" xfId="0" applyAlignment="1" applyBorder="1" applyFont="1" applyNumberFormat="1">
      <alignment horizontal="right" readingOrder="0" vertical="center"/>
    </xf>
    <xf borderId="0" fillId="0" fontId="18" numFmtId="165" xfId="0" applyAlignment="1" applyFont="1" applyNumberFormat="1">
      <alignment horizontal="left" readingOrder="0" vertical="center"/>
    </xf>
    <xf borderId="0" fillId="10" fontId="18" numFmtId="0" xfId="0" applyAlignment="1" applyFill="1" applyFont="1">
      <alignment readingOrder="0" vertical="center"/>
    </xf>
    <xf borderId="0" fillId="10" fontId="18" numFmtId="0" xfId="0" applyAlignment="1" applyFont="1">
      <alignment readingOrder="0" shrinkToFit="0" vertical="center" wrapText="1"/>
    </xf>
    <xf borderId="0" fillId="10" fontId="18" numFmtId="165" xfId="0" applyAlignment="1" applyFont="1" applyNumberFormat="1">
      <alignment horizontal="left" readingOrder="0" vertical="center"/>
    </xf>
    <xf borderId="0" fillId="10" fontId="18" numFmtId="0" xfId="0" applyAlignment="1" applyFont="1">
      <alignment horizontal="left" readingOrder="0" shrinkToFit="0" vertical="center" wrapText="1"/>
    </xf>
    <xf borderId="0" fillId="10" fontId="18" numFmtId="165" xfId="0" applyAlignment="1" applyFont="1" applyNumberFormat="1">
      <alignment horizontal="right" readingOrder="0" vertical="center"/>
    </xf>
    <xf borderId="0" fillId="0" fontId="37" numFmtId="0" xfId="0" applyAlignment="1" applyFont="1">
      <alignment vertical="center"/>
    </xf>
    <xf borderId="0" fillId="5" fontId="18" numFmtId="170" xfId="0" applyAlignment="1" applyFont="1" applyNumberFormat="1">
      <alignment horizontal="left" readingOrder="0" vertical="center"/>
    </xf>
    <xf borderId="0" fillId="5" fontId="18" numFmtId="0" xfId="0" applyAlignment="1" applyFont="1">
      <alignment horizontal="left" vertical="center"/>
    </xf>
    <xf borderId="0" fillId="5" fontId="18" numFmtId="0" xfId="0" applyAlignment="1" applyFont="1">
      <alignment horizontal="left" shrinkToFit="0" vertical="center" wrapText="0"/>
    </xf>
    <xf borderId="0" fillId="5" fontId="18" numFmtId="0" xfId="0" applyAlignment="1" applyFont="1">
      <alignment horizontal="left" readingOrder="0" shrinkToFit="0" vertical="center" wrapText="0"/>
    </xf>
    <xf borderId="0" fillId="0" fontId="31" numFmtId="0" xfId="0" applyAlignment="1" applyFont="1">
      <alignment horizontal="center" vertical="center"/>
    </xf>
    <xf borderId="0" fillId="0" fontId="15" numFmtId="0" xfId="0" applyAlignment="1" applyFont="1">
      <alignment horizontal="center" vertical="center"/>
    </xf>
    <xf borderId="15" fillId="0" fontId="19" numFmtId="0" xfId="0" applyAlignment="1" applyBorder="1" applyFont="1">
      <alignment horizontal="center" readingOrder="0" vertical="center"/>
    </xf>
    <xf borderId="0" fillId="0" fontId="18" numFmtId="0" xfId="0" applyAlignment="1" applyFont="1">
      <alignment horizontal="center" readingOrder="0" vertical="center"/>
    </xf>
    <xf borderId="0" fillId="0" fontId="28" numFmtId="0" xfId="0" applyFont="1"/>
    <xf borderId="0" fillId="0" fontId="31" numFmtId="170" xfId="0" applyAlignment="1" applyFont="1" applyNumberFormat="1">
      <alignment horizontal="center" vertical="center"/>
    </xf>
    <xf borderId="0" fillId="0" fontId="31" numFmtId="46" xfId="0" applyAlignment="1" applyFont="1" applyNumberFormat="1">
      <alignment horizontal="center" vertical="center"/>
    </xf>
    <xf borderId="0" fillId="0" fontId="15" numFmtId="170" xfId="0" applyAlignment="1" applyFont="1" applyNumberFormat="1">
      <alignment horizontal="center" vertical="center"/>
    </xf>
    <xf borderId="20" fillId="0" fontId="18" numFmtId="0" xfId="0" applyAlignment="1" applyBorder="1" applyFont="1">
      <alignment readingOrder="0" vertical="center"/>
    </xf>
    <xf borderId="20" fillId="0" fontId="31" numFmtId="0" xfId="0" applyAlignment="1" applyBorder="1" applyFont="1">
      <alignment vertical="center"/>
    </xf>
    <xf borderId="0" fillId="0" fontId="36" numFmtId="165" xfId="0" applyAlignment="1" applyFont="1" applyNumberFormat="1">
      <alignment horizontal="right" vertical="center"/>
    </xf>
    <xf borderId="15" fillId="0" fontId="19" numFmtId="170" xfId="0" applyAlignment="1" applyBorder="1" applyFont="1" applyNumberFormat="1">
      <alignment horizontal="center" readingOrder="0" vertical="center"/>
    </xf>
    <xf borderId="15" fillId="0" fontId="19" numFmtId="46" xfId="0" applyAlignment="1" applyBorder="1" applyFont="1" applyNumberFormat="1">
      <alignment horizontal="center" readingOrder="0" vertical="center"/>
    </xf>
    <xf borderId="15" fillId="0" fontId="19" numFmtId="0" xfId="0" applyAlignment="1" applyBorder="1" applyFont="1">
      <alignment readingOrder="0" shrinkToFit="0" vertical="center" wrapText="1"/>
    </xf>
    <xf borderId="15" fillId="7" fontId="19" numFmtId="0" xfId="0" applyAlignment="1" applyBorder="1" applyFont="1">
      <alignment readingOrder="0" shrinkToFit="0" vertical="center" wrapText="1"/>
    </xf>
    <xf borderId="15" fillId="7" fontId="19" numFmtId="0" xfId="0" applyAlignment="1" applyBorder="1" applyFont="1">
      <alignment horizontal="center" readingOrder="0" vertical="center"/>
    </xf>
    <xf borderId="15" fillId="7" fontId="19" numFmtId="0" xfId="0" applyAlignment="1" applyBorder="1" applyFont="1">
      <alignment readingOrder="0" vertical="center"/>
    </xf>
    <xf borderId="15" fillId="0" fontId="39" numFmtId="0" xfId="0" applyAlignment="1" applyBorder="1" applyFont="1">
      <alignment vertical="center"/>
    </xf>
    <xf borderId="0" fillId="0" fontId="36" numFmtId="165" xfId="0" applyAlignment="1" applyFont="1" applyNumberFormat="1">
      <alignment horizontal="right" readingOrder="0" vertical="center"/>
    </xf>
    <xf borderId="0" fillId="0" fontId="36" numFmtId="0" xfId="0" applyAlignment="1" applyFont="1">
      <alignment horizontal="center" readingOrder="0" vertical="center"/>
    </xf>
    <xf borderId="0" fillId="5" fontId="18" numFmtId="0" xfId="0" applyAlignment="1" applyFont="1">
      <alignment vertical="center"/>
    </xf>
    <xf borderId="0" fillId="5" fontId="18" numFmtId="170" xfId="0" applyAlignment="1" applyFont="1" applyNumberFormat="1">
      <alignment horizontal="center" readingOrder="0" vertical="center"/>
    </xf>
    <xf borderId="0" fillId="5" fontId="18" numFmtId="46" xfId="0" applyAlignment="1" applyFont="1" applyNumberFormat="1">
      <alignment horizontal="center" readingOrder="0" vertical="center"/>
    </xf>
    <xf borderId="0" fillId="7" fontId="18" numFmtId="0" xfId="0" applyAlignment="1" applyFont="1">
      <alignment readingOrder="0" vertical="center"/>
    </xf>
    <xf borderId="0" fillId="7" fontId="18" numFmtId="165" xfId="0" applyAlignment="1" applyFont="1" applyNumberFormat="1">
      <alignment horizontal="right" readingOrder="0" vertical="center"/>
    </xf>
    <xf borderId="0" fillId="5" fontId="18" numFmtId="168" xfId="0" applyAlignment="1" applyFont="1" applyNumberFormat="1">
      <alignment horizontal="center" readingOrder="0" vertical="center"/>
    </xf>
    <xf borderId="0" fillId="0" fontId="28" numFmtId="46" xfId="0" applyFont="1" applyNumberFormat="1"/>
    <xf borderId="0" fillId="0" fontId="28" numFmtId="165" xfId="0" applyFont="1" applyNumberFormat="1"/>
    <xf borderId="0" fillId="0" fontId="31" numFmtId="49" xfId="0" applyAlignment="1" applyFont="1" applyNumberFormat="1">
      <alignment vertical="center"/>
    </xf>
    <xf borderId="0" fillId="0" fontId="18" numFmtId="0" xfId="0" applyAlignment="1" applyFont="1">
      <alignment horizontal="center" vertical="center"/>
    </xf>
    <xf borderId="0" fillId="0" fontId="31" numFmtId="4" xfId="0" applyAlignment="1" applyFont="1" applyNumberFormat="1">
      <alignment horizontal="center" vertical="center"/>
    </xf>
    <xf borderId="0" fillId="0" fontId="39" numFmtId="0" xfId="0" applyAlignment="1" applyFont="1">
      <alignment readingOrder="0" vertical="center"/>
    </xf>
    <xf borderId="0" fillId="0" fontId="31" numFmtId="4" xfId="0" applyAlignment="1" applyFont="1" applyNumberFormat="1">
      <alignment horizontal="center" readingOrder="0" vertical="center"/>
    </xf>
    <xf borderId="0" fillId="0" fontId="18" numFmtId="0" xfId="0" applyAlignment="1" applyFont="1">
      <alignment horizontal="right" readingOrder="0" vertical="center"/>
    </xf>
    <xf borderId="0" fillId="0" fontId="18" numFmtId="49" xfId="0" applyAlignment="1" applyFont="1" applyNumberFormat="1">
      <alignment horizontal="right" readingOrder="0" vertical="center"/>
    </xf>
    <xf borderId="0" fillId="0" fontId="40" numFmtId="0" xfId="0" applyAlignment="1" applyFont="1">
      <alignment vertical="center"/>
    </xf>
    <xf borderId="0" fillId="0" fontId="40" numFmtId="4" xfId="0" applyAlignment="1" applyFont="1" applyNumberFormat="1">
      <alignment horizontal="center" vertical="center"/>
    </xf>
    <xf borderId="0" fillId="2" fontId="41" numFmtId="4" xfId="0" applyAlignment="1" applyFont="1" applyNumberFormat="1">
      <alignment horizontal="right" vertical="center"/>
    </xf>
    <xf borderId="0" fillId="0" fontId="40" numFmtId="49" xfId="0" applyAlignment="1" applyFont="1" applyNumberFormat="1">
      <alignment vertical="center"/>
    </xf>
    <xf borderId="0" fillId="2" fontId="41" numFmtId="165" xfId="0" applyAlignment="1" applyFont="1" applyNumberFormat="1">
      <alignment horizontal="center" vertical="center"/>
    </xf>
    <xf borderId="0" fillId="0" fontId="42" numFmtId="0" xfId="0" applyAlignment="1" applyFont="1">
      <alignment horizontal="center"/>
    </xf>
    <xf borderId="0" fillId="2" fontId="43" numFmtId="165" xfId="0" applyAlignment="1" applyFont="1" applyNumberFormat="1">
      <alignment vertical="center"/>
    </xf>
    <xf borderId="15" fillId="0" fontId="19" numFmtId="49" xfId="0" applyAlignment="1" applyBorder="1" applyFont="1" applyNumberFormat="1">
      <alignment readingOrder="0" vertical="center"/>
    </xf>
    <xf borderId="15" fillId="0" fontId="18" numFmtId="0" xfId="0" applyAlignment="1" applyBorder="1" applyFont="1">
      <alignment horizontal="center" readingOrder="0" vertical="center"/>
    </xf>
    <xf borderId="15" fillId="0" fontId="18" numFmtId="0" xfId="0" applyBorder="1" applyFont="1"/>
    <xf borderId="15" fillId="0" fontId="18" numFmtId="0" xfId="0" applyAlignment="1" applyBorder="1" applyFont="1">
      <alignment readingOrder="0"/>
    </xf>
    <xf borderId="0" fillId="5" fontId="18" numFmtId="0" xfId="0" applyAlignment="1" applyFont="1">
      <alignment horizontal="center" readingOrder="0" vertical="center"/>
    </xf>
    <xf borderId="0" fillId="5" fontId="18" numFmtId="165" xfId="0" applyAlignment="1" applyFont="1" applyNumberFormat="1">
      <alignment readingOrder="0" vertical="center"/>
    </xf>
    <xf borderId="0" fillId="5" fontId="18" numFmtId="49" xfId="0" applyAlignment="1" applyFont="1" applyNumberFormat="1">
      <alignment readingOrder="0" vertical="center"/>
    </xf>
    <xf borderId="0" fillId="5" fontId="18" numFmtId="3" xfId="0" applyAlignment="1" applyFont="1" applyNumberFormat="1">
      <alignment horizontal="center" readingOrder="0" vertical="center"/>
    </xf>
    <xf borderId="0" fillId="0" fontId="18" numFmtId="165" xfId="0" applyAlignment="1" applyFont="1" applyNumberFormat="1">
      <alignment readingOrder="0" vertical="center"/>
    </xf>
    <xf borderId="0" fillId="10" fontId="31" numFmtId="0" xfId="0" applyAlignment="1" applyFont="1">
      <alignment vertical="center"/>
    </xf>
    <xf borderId="0" fillId="10" fontId="18" numFmtId="0" xfId="0" applyAlignment="1" applyFont="1">
      <alignment vertical="center"/>
    </xf>
    <xf borderId="0" fillId="10" fontId="18" numFmtId="0" xfId="0" applyAlignment="1" applyFont="1">
      <alignment horizontal="center" readingOrder="0" vertical="center"/>
    </xf>
    <xf borderId="0" fillId="10" fontId="18" numFmtId="165" xfId="0" applyAlignment="1" applyFont="1" applyNumberFormat="1">
      <alignment readingOrder="0" vertical="center"/>
    </xf>
    <xf borderId="0" fillId="10" fontId="18" numFmtId="168" xfId="0" applyAlignment="1" applyFont="1" applyNumberFormat="1">
      <alignment horizontal="center" readingOrder="0" vertical="center"/>
    </xf>
    <xf borderId="0" fillId="10" fontId="18" numFmtId="49" xfId="0" applyAlignment="1" applyFont="1" applyNumberFormat="1">
      <alignment readingOrder="0" vertical="center"/>
    </xf>
    <xf borderId="0" fillId="10" fontId="18" numFmtId="0" xfId="0" applyAlignment="1" applyFont="1">
      <alignment horizontal="center" vertical="center"/>
    </xf>
    <xf borderId="0" fillId="10" fontId="18" numFmtId="165" xfId="0" applyAlignment="1" applyFont="1" applyNumberFormat="1">
      <alignment vertical="center"/>
    </xf>
    <xf borderId="0" fillId="7" fontId="18" numFmtId="0" xfId="0" applyAlignment="1" applyFont="1">
      <alignment vertical="center"/>
    </xf>
    <xf borderId="0" fillId="7" fontId="18" numFmtId="0" xfId="0" applyAlignment="1" applyFont="1">
      <alignment horizontal="center" readingOrder="0" vertical="center"/>
    </xf>
    <xf borderId="0" fillId="7" fontId="18" numFmtId="165" xfId="0" applyAlignment="1" applyFont="1" applyNumberFormat="1">
      <alignment readingOrder="0" vertical="center"/>
    </xf>
    <xf borderId="0" fillId="7" fontId="18" numFmtId="170" xfId="0" applyAlignment="1" applyFont="1" applyNumberFormat="1">
      <alignment horizontal="center" readingOrder="0" vertical="center"/>
    </xf>
    <xf borderId="0" fillId="7" fontId="18" numFmtId="49" xfId="0" applyAlignment="1" applyFont="1" applyNumberFormat="1">
      <alignment readingOrder="0" vertical="center"/>
    </xf>
    <xf borderId="21" fillId="11" fontId="44" numFmtId="0" xfId="0" applyBorder="1" applyFill="1" applyFont="1"/>
    <xf borderId="0" fillId="11" fontId="44" numFmtId="0" xfId="0" applyFont="1"/>
    <xf borderId="0" fillId="11" fontId="45" numFmtId="0" xfId="0" applyFont="1"/>
    <xf borderId="0" fillId="11" fontId="46" numFmtId="0" xfId="0" applyFont="1"/>
    <xf borderId="20" fillId="0" fontId="18" numFmtId="4" xfId="0" applyAlignment="1" applyBorder="1" applyFont="1" applyNumberFormat="1">
      <alignment horizontal="left" readingOrder="0" shrinkToFit="0" vertical="center" wrapText="0"/>
    </xf>
    <xf borderId="20" fillId="0" fontId="18" numFmtId="4" xfId="0" applyAlignment="1" applyBorder="1" applyFont="1" applyNumberFormat="1">
      <alignment horizontal="left" readingOrder="0" shrinkToFit="0" vertical="center" wrapText="1"/>
    </xf>
    <xf borderId="20" fillId="0" fontId="18" numFmtId="4" xfId="0" applyAlignment="1" applyBorder="1" applyFont="1" applyNumberFormat="1">
      <alignment horizontal="center" readingOrder="0" shrinkToFit="0" vertical="center" wrapText="0"/>
    </xf>
    <xf borderId="20" fillId="0" fontId="31" numFmtId="4" xfId="0" applyAlignment="1" applyBorder="1" applyFont="1" applyNumberFormat="1">
      <alignment horizontal="center" vertical="center"/>
    </xf>
    <xf borderId="15" fillId="0" fontId="31" numFmtId="0" xfId="0" applyAlignment="1" applyBorder="1" applyFont="1">
      <alignment vertical="center"/>
    </xf>
    <xf borderId="0" fillId="5" fontId="18" numFmtId="0" xfId="0" applyAlignment="1" applyFont="1">
      <alignment shrinkToFit="0" vertical="center" wrapText="1"/>
    </xf>
    <xf borderId="0" fillId="5" fontId="18" numFmtId="171" xfId="0" applyAlignment="1" applyFont="1" applyNumberFormat="1">
      <alignment horizontal="center" readingOrder="0" vertical="center"/>
    </xf>
    <xf borderId="0" fillId="5" fontId="18" numFmtId="172" xfId="0" applyAlignment="1" applyFont="1" applyNumberFormat="1">
      <alignment horizontal="center" readingOrder="0" vertical="center"/>
    </xf>
    <xf borderId="0" fillId="5" fontId="18" numFmtId="173" xfId="0" applyAlignment="1" applyFont="1" applyNumberFormat="1">
      <alignment horizontal="center" readingOrder="0" vertical="center"/>
    </xf>
    <xf borderId="0" fillId="5" fontId="18" numFmtId="169" xfId="0" applyAlignment="1" applyFont="1" applyNumberFormat="1">
      <alignment horizontal="center" readingOrder="0" vertical="center"/>
    </xf>
    <xf borderId="0" fillId="5" fontId="18" numFmtId="174" xfId="0" applyAlignment="1" applyFont="1" applyNumberFormat="1">
      <alignment horizontal="center" readingOrder="0" vertical="center"/>
    </xf>
    <xf borderId="0" fillId="5" fontId="18" numFmtId="173" xfId="0" applyAlignment="1" applyFont="1" applyNumberFormat="1">
      <alignment readingOrder="0" shrinkToFit="0" vertical="center" wrapText="1"/>
    </xf>
    <xf borderId="0" fillId="0" fontId="47" numFmtId="0" xfId="0" applyAlignment="1" applyFont="1">
      <alignment readingOrder="0" vertical="center"/>
    </xf>
    <xf borderId="0" fillId="12" fontId="48" numFmtId="0" xfId="0" applyFill="1" applyFont="1"/>
    <xf borderId="0" fillId="0" fontId="47" numFmtId="165" xfId="0" applyAlignment="1" applyFont="1" applyNumberFormat="1">
      <alignment readingOrder="0" vertical="center"/>
    </xf>
    <xf borderId="0" fillId="0" fontId="47" numFmtId="165" xfId="0" applyAlignment="1" applyFont="1" applyNumberFormat="1">
      <alignment horizontal="right" vertical="center"/>
    </xf>
    <xf borderId="0" fillId="13" fontId="47" numFmtId="0" xfId="0" applyAlignment="1" applyFill="1" applyFont="1">
      <alignment readingOrder="0" vertical="center"/>
    </xf>
    <xf borderId="15" fillId="13" fontId="18" numFmtId="0" xfId="0" applyBorder="1" applyFont="1"/>
    <xf borderId="15" fillId="13" fontId="18" numFmtId="0" xfId="0" applyAlignment="1" applyBorder="1" applyFont="1">
      <alignment readingOrder="0"/>
    </xf>
    <xf borderId="0" fillId="12" fontId="28" numFmtId="0" xfId="0" applyAlignment="1" applyFont="1">
      <alignment vertical="center"/>
    </xf>
    <xf borderId="0" fillId="12" fontId="28" numFmtId="0" xfId="0" applyAlignment="1" applyFont="1">
      <alignment readingOrder="0" vertical="center"/>
    </xf>
    <xf borderId="0" fillId="12" fontId="28" numFmtId="0" xfId="0" applyAlignment="1" applyFont="1">
      <alignment readingOrder="0" shrinkToFit="0" vertical="center" wrapText="1"/>
    </xf>
    <xf borderId="0" fillId="12" fontId="28" numFmtId="165" xfId="0" applyAlignment="1" applyFont="1" applyNumberFormat="1">
      <alignment horizontal="right" vertical="center"/>
    </xf>
    <xf borderId="0" fillId="5" fontId="28" numFmtId="0" xfId="0" applyAlignment="1" applyFont="1">
      <alignment vertical="center"/>
    </xf>
    <xf borderId="0" fillId="5" fontId="28" numFmtId="0" xfId="0" applyAlignment="1" applyFont="1">
      <alignment readingOrder="0" vertical="center"/>
    </xf>
    <xf borderId="0" fillId="5" fontId="28" numFmtId="0" xfId="0" applyAlignment="1" applyFont="1">
      <alignment readingOrder="0" shrinkToFit="0" vertical="center" wrapText="1"/>
    </xf>
    <xf borderId="0" fillId="5" fontId="28" numFmtId="165" xfId="0" applyAlignment="1" applyFont="1" applyNumberFormat="1">
      <alignment horizontal="right" vertical="center"/>
    </xf>
    <xf borderId="0" fillId="12" fontId="49" numFmtId="0" xfId="0" applyAlignment="1" applyFont="1">
      <alignment horizontal="left" readingOrder="0"/>
    </xf>
    <xf borderId="0" fillId="12" fontId="47" numFmtId="0" xfId="0" applyAlignment="1" applyFont="1">
      <alignment vertical="center"/>
    </xf>
    <xf borderId="0" fillId="12" fontId="47" numFmtId="0" xfId="0" applyAlignment="1" applyFont="1">
      <alignment readingOrder="0" vertical="center"/>
    </xf>
    <xf borderId="0" fillId="12" fontId="47" numFmtId="0" xfId="0" applyAlignment="1" applyFont="1">
      <alignment readingOrder="0" shrinkToFit="0" vertical="center" wrapText="1"/>
    </xf>
    <xf borderId="0" fillId="12" fontId="47" numFmtId="165" xfId="0" applyAlignment="1" applyFont="1" applyNumberFormat="1">
      <alignment horizontal="right" vertical="center"/>
    </xf>
    <xf borderId="0" fillId="12" fontId="47" numFmtId="165" xfId="0" applyAlignment="1" applyFont="1" applyNumberFormat="1">
      <alignment horizontal="right" readingOrder="0" vertical="center"/>
    </xf>
    <xf borderId="0" fillId="12" fontId="47" numFmtId="0" xfId="0" applyAlignment="1" applyFont="1">
      <alignment readingOrder="0" shrinkToFit="0" vertical="center" wrapText="1"/>
    </xf>
    <xf borderId="0" fillId="0" fontId="28" numFmtId="0" xfId="0" applyAlignment="1" applyFont="1">
      <alignment vertical="center"/>
    </xf>
    <xf borderId="0" fillId="14" fontId="50" numFmtId="0" xfId="0" applyAlignment="1" applyFill="1" applyFont="1">
      <alignment horizontal="right" readingOrder="0" vertical="center"/>
    </xf>
    <xf borderId="0" fillId="14" fontId="50" numFmtId="0" xfId="0" applyAlignment="1" applyFont="1">
      <alignment horizontal="left" readingOrder="0" vertical="center"/>
    </xf>
    <xf borderId="0" fillId="14" fontId="50" numFmtId="0" xfId="0" applyAlignment="1" applyFont="1">
      <alignment horizontal="right" vertical="center"/>
    </xf>
    <xf borderId="0" fillId="5" fontId="28" numFmtId="46" xfId="0" applyAlignment="1" applyFont="1" applyNumberFormat="1">
      <alignment horizontal="right" vertical="center"/>
    </xf>
    <xf borderId="0" fillId="5" fontId="28" numFmtId="0" xfId="0" applyAlignment="1" applyFont="1">
      <alignment horizontal="right" vertical="center"/>
    </xf>
    <xf borderId="0" fillId="7" fontId="28" numFmtId="165" xfId="0" applyAlignment="1" applyFont="1" applyNumberFormat="1">
      <alignment horizontal="right" vertical="center"/>
    </xf>
    <xf borderId="0" fillId="5" fontId="28" numFmtId="0" xfId="0" applyAlignment="1" applyFont="1">
      <alignment horizontal="right" readingOrder="0" vertical="center"/>
    </xf>
    <xf borderId="0" fillId="0" fontId="47" numFmtId="46" xfId="0" applyAlignment="1" applyFont="1" applyNumberFormat="1">
      <alignment horizontal="right" vertical="center"/>
    </xf>
    <xf borderId="0" fillId="0" fontId="47" numFmtId="46" xfId="0" applyAlignment="1" applyFont="1" applyNumberFormat="1">
      <alignment readingOrder="0" vertical="center"/>
    </xf>
    <xf borderId="0" fillId="0" fontId="47" numFmtId="0" xfId="0" applyAlignment="1" applyFont="1">
      <alignment horizontal="right" readingOrder="0"/>
    </xf>
    <xf borderId="0" fillId="0" fontId="28" numFmtId="0" xfId="0" applyFont="1"/>
    <xf borderId="0" fillId="0" fontId="28" numFmtId="4" xfId="0" applyAlignment="1" applyFont="1" applyNumberFormat="1">
      <alignment readingOrder="0"/>
    </xf>
    <xf borderId="0" fillId="0" fontId="47" numFmtId="4" xfId="0" applyFont="1" applyNumberFormat="1"/>
    <xf borderId="0" fillId="0" fontId="47" numFmtId="165" xfId="0" applyFont="1" applyNumberFormat="1"/>
  </cellXfs>
  <cellStyles count="1">
    <cellStyle xfId="0" name="Normal" builtinId="0"/>
  </cellStyles>
  <dxfs count="4">
    <dxf>
      <font/>
      <fill>
        <patternFill patternType="solid">
          <fgColor rgb="FFB7E1CD"/>
          <bgColor rgb="FFB7E1CD"/>
        </patternFill>
      </fill>
      <border/>
    </dxf>
    <dxf>
      <font/>
      <fill>
        <patternFill patternType="solid">
          <fgColor rgb="FFFCE8B2"/>
          <bgColor rgb="FFFCE8B2"/>
        </patternFill>
      </fill>
      <border/>
    </dxf>
    <dxf>
      <font/>
      <fill>
        <patternFill patternType="solid">
          <fgColor rgb="FFF4C7C3"/>
          <bgColor rgb="FFF4C7C3"/>
        </patternFill>
      </fill>
      <border/>
    </dxf>
    <dxf>
      <font/>
      <fill>
        <patternFill patternType="none"/>
      </fill>
      <border/>
    </dxf>
  </dxf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20" Type="http://schemas.openxmlformats.org/officeDocument/2006/relationships/worksheet" Target="worksheets/sheet16.xml"/><Relationship Id="rId42" Type="http://schemas.openxmlformats.org/officeDocument/2006/relationships/pivotCacheDefinition" Target="pivotCache/pivotCacheDefinition1.xml"/><Relationship Id="rId41" Type="http://schemas.openxmlformats.org/officeDocument/2006/relationships/worksheet" Target="worksheets/sheet37.xml"/><Relationship Id="rId22" Type="http://schemas.openxmlformats.org/officeDocument/2006/relationships/worksheet" Target="worksheets/sheet18.xml"/><Relationship Id="rId21" Type="http://schemas.openxmlformats.org/officeDocument/2006/relationships/worksheet" Target="worksheets/sheet17.xml"/><Relationship Id="rId43" Type="http://schemas.openxmlformats.org/officeDocument/2006/relationships/pivotCacheDefinition" Target="pivotCache/pivotCacheDefinition2.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39" Type="http://schemas.openxmlformats.org/officeDocument/2006/relationships/worksheet" Target="worksheets/sheet35.xml"/><Relationship Id="rId16" Type="http://schemas.openxmlformats.org/officeDocument/2006/relationships/worksheet" Target="worksheets/sheet12.xml"/><Relationship Id="rId38" Type="http://schemas.openxmlformats.org/officeDocument/2006/relationships/worksheet" Target="worksheets/sheet34.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tx>
            <c:strRef>
              <c:f>RESUMO!$B$8</c:f>
            </c:strRef>
          </c:tx>
          <c:dPt>
            <c:idx val="0"/>
            <c:explosion val="0"/>
            <c:spPr>
              <a:solidFill>
                <a:srgbClr val="94DCC3"/>
              </a:solidFill>
            </c:spPr>
          </c:dPt>
          <c:dPt>
            <c:idx val="1"/>
            <c:spPr>
              <a:solidFill>
                <a:srgbClr val="496C60"/>
              </a:solidFill>
            </c:spPr>
          </c:dPt>
          <c:dPt>
            <c:idx val="2"/>
            <c:spPr>
              <a:solidFill>
                <a:srgbClr val="999999"/>
              </a:solidFill>
            </c:spPr>
          </c:dPt>
          <c:dPt>
            <c:idx val="3"/>
            <c:spPr>
              <a:solidFill>
                <a:srgbClr val="D9D9D9"/>
              </a:solidFill>
            </c:spPr>
          </c:dPt>
          <c:dLbls>
            <c:showLegendKey val="0"/>
            <c:showVal val="0"/>
            <c:showCatName val="0"/>
            <c:showSerName val="0"/>
            <c:showPercent val="0"/>
            <c:showBubbleSize val="0"/>
            <c:showLeaderLines val="1"/>
          </c:dLbls>
          <c:cat>
            <c:strRef>
              <c:f>RESUMO!$A$9:$A$12</c:f>
            </c:strRef>
          </c:cat>
          <c:val>
            <c:numRef>
              <c:f>RESUMO!$B$9:$B$12</c:f>
              <c:numCache/>
            </c:numRef>
          </c:val>
        </c:ser>
        <c:dLbls>
          <c:showLegendKey val="0"/>
          <c:showVal val="0"/>
          <c:showCatName val="0"/>
          <c:showSerName val="0"/>
          <c:showPercent val="0"/>
          <c:showBubbleSize val="0"/>
        </c:dLbls>
        <c:holeSize val="50"/>
      </c:doughnutChart>
    </c:plotArea>
    <c:legend>
      <c:legendPos val="r"/>
      <c:overlay val="0"/>
      <c:txPr>
        <a:bodyPr/>
        <a:lstStyle/>
        <a:p>
          <a:pPr lvl="0">
            <a:defRPr b="1" i="1" sz="1200">
              <a:solidFill>
                <a:srgbClr val="1A1A1A"/>
              </a:solidFill>
              <a:latin typeface="Arial Narrow"/>
            </a:defRPr>
          </a:pPr>
        </a:p>
      </c:txPr>
    </c:legend>
    <c:plotVisOnly val="1"/>
  </c:chart>
  <c:spPr>
    <a:solidFill>
      <a:srgbClr val="FFFFFF">
        <a:alpha val="0"/>
      </a:srgbClr>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5.png"/><Relationship Id="rId3" Type="http://schemas.openxmlformats.org/officeDocument/2006/relationships/image" Target="../media/image6.png"/><Relationship Id="rId4" Type="http://schemas.openxmlformats.org/officeDocument/2006/relationships/image" Target="../media/image11.png"/><Relationship Id="rId5" Type="http://schemas.openxmlformats.org/officeDocument/2006/relationships/image" Target="../media/image21.png"/><Relationship Id="rId6"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17.png"/><Relationship Id="rId3" Type="http://schemas.openxmlformats.org/officeDocument/2006/relationships/image" Target="../media/image4.png"/><Relationship Id="rId4" Type="http://schemas.openxmlformats.org/officeDocument/2006/relationships/image" Target="../media/image9.png"/><Relationship Id="rId5" Type="http://schemas.openxmlformats.org/officeDocument/2006/relationships/image" Target="../media/image36.png"/><Relationship Id="rId6" Type="http://schemas.openxmlformats.org/officeDocument/2006/relationships/image" Target="../media/image8.png"/></Relationships>
</file>

<file path=xl/drawings/_rels/drawing5.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0.png"/><Relationship Id="rId3" Type="http://schemas.openxmlformats.org/officeDocument/2006/relationships/image" Target="../media/image19.png"/></Relationships>
</file>

<file path=xl/drawings/_rels/drawing6.xml.rels><?xml version="1.0" encoding="UTF-8" standalone="yes"?><Relationships xmlns="http://schemas.openxmlformats.org/package/2006/relationships"><Relationship Id="rId1" Type="http://schemas.openxmlformats.org/officeDocument/2006/relationships/image" Target="../media/image22.png"/><Relationship Id="rId2" Type="http://schemas.openxmlformats.org/officeDocument/2006/relationships/image" Target="../media/image16.png"/><Relationship Id="rId3" Type="http://schemas.openxmlformats.org/officeDocument/2006/relationships/image" Target="../media/image15.png"/></Relationships>
</file>

<file path=xl/drawings/_rels/drawing7.xml.rels><?xml version="1.0" encoding="UTF-8" standalone="yes"?><Relationships xmlns="http://schemas.openxmlformats.org/package/2006/relationships"><Relationship Id="rId1" Type="http://schemas.openxmlformats.org/officeDocument/2006/relationships/image" Target="../media/image24.png"/><Relationship Id="rId2" Type="http://schemas.openxmlformats.org/officeDocument/2006/relationships/image" Target="../media/image7.png"/><Relationship Id="rId3" Type="http://schemas.openxmlformats.org/officeDocument/2006/relationships/image" Target="../media/image28.png"/><Relationship Id="rId4" Type="http://schemas.openxmlformats.org/officeDocument/2006/relationships/image" Target="../media/image26.png"/></Relationships>
</file>

<file path=xl/drawings/_rels/drawing9.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20.png"/><Relationship Id="rId3" Type="http://schemas.openxmlformats.org/officeDocument/2006/relationships/image" Target="../media/image18.png"/><Relationship Id="rId4" Type="http://schemas.openxmlformats.org/officeDocument/2006/relationships/image" Target="../media/image2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1.png"/><Relationship Id="rId2" Type="http://schemas.openxmlformats.org/officeDocument/2006/relationships/image" Target="../media/image29.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7.png"/><Relationship Id="rId2" Type="http://schemas.openxmlformats.org/officeDocument/2006/relationships/image" Target="../media/image25.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0.png"/><Relationship Id="rId2" Type="http://schemas.openxmlformats.org/officeDocument/2006/relationships/image" Target="../media/image35.png"/><Relationship Id="rId3" Type="http://schemas.openxmlformats.org/officeDocument/2006/relationships/image" Target="../media/image32.png"/><Relationship Id="rId4" Type="http://schemas.openxmlformats.org/officeDocument/2006/relationships/image" Target="../media/image3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34.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7.png"/></Relationships>
</file>

<file path=xl/drawings/_rels/drawing19.xml.rels><?xml version="1.0" encoding="UTF-8" standalone="yes"?><Relationships xmlns="http://schemas.openxmlformats.org/package/2006/relationships"><Relationship Id="rId1" Type="http://schemas.openxmlformats.org/officeDocument/2006/relationships/image" Target="../media/image38.png"/><Relationship Id="rId2" Type="http://schemas.openxmlformats.org/officeDocument/2006/relationships/image" Target="../media/image44.png"/></Relationships>
</file>

<file path=xl/drawings/_rels/drawing21.xml.rels><?xml version="1.0" encoding="UTF-8" standalone="yes"?><Relationships xmlns="http://schemas.openxmlformats.org/package/2006/relationships"><Relationship Id="rId1" Type="http://schemas.openxmlformats.org/officeDocument/2006/relationships/image" Target="../media/image39.png"/><Relationship Id="rId2" Type="http://schemas.openxmlformats.org/officeDocument/2006/relationships/image" Target="../media/image40.png"/></Relationships>
</file>

<file path=xl/drawings/_rels/drawing22.xml.rels><?xml version="1.0" encoding="UTF-8" standalone="yes"?><Relationships xmlns="http://schemas.openxmlformats.org/package/2006/relationships"><Relationship Id="rId1" Type="http://schemas.openxmlformats.org/officeDocument/2006/relationships/image" Target="../media/image4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43.png"/><Relationship Id="rId2" Type="http://schemas.openxmlformats.org/officeDocument/2006/relationships/image" Target="../media/image42.png"/><Relationship Id="rId3" Type="http://schemas.openxmlformats.org/officeDocument/2006/relationships/image" Target="../media/image45.png"/><Relationship Id="rId4" Type="http://schemas.openxmlformats.org/officeDocument/2006/relationships/image" Target="../media/image46.png"/></Relationships>
</file>

<file path=xl/drawings/_rels/drawing24.xml.rels><?xml version="1.0" encoding="UTF-8" standalone="yes"?><Relationships xmlns="http://schemas.openxmlformats.org/package/2006/relationships"><Relationship Id="rId1" Type="http://schemas.openxmlformats.org/officeDocument/2006/relationships/image" Target="../media/image45.png"/><Relationship Id="rId2" Type="http://schemas.openxmlformats.org/officeDocument/2006/relationships/image" Target="../media/image4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485775</xdr:colOff>
      <xdr:row>18</xdr:row>
      <xdr:rowOff>228600</xdr:rowOff>
    </xdr:from>
    <xdr:ext cx="3333750" cy="187642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447675</xdr:colOff>
      <xdr:row>1</xdr:row>
      <xdr:rowOff>123825</xdr:rowOff>
    </xdr:from>
    <xdr:ext cx="1428750" cy="295275"/>
    <xdr:pic>
      <xdr:nvPicPr>
        <xdr:cNvPr id="0" name="image1.jpg" title="Imagem"/>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36</xdr:row>
      <xdr:rowOff>9525</xdr:rowOff>
    </xdr:from>
    <xdr:ext cx="12496800" cy="15144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742950</xdr:colOff>
      <xdr:row>37</xdr:row>
      <xdr:rowOff>57150</xdr:rowOff>
    </xdr:from>
    <xdr:ext cx="6638925" cy="1257300"/>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23</xdr:col>
      <xdr:colOff>809625</xdr:colOff>
      <xdr:row>37</xdr:row>
      <xdr:rowOff>38100</xdr:rowOff>
    </xdr:from>
    <xdr:ext cx="6210300" cy="1276350"/>
    <xdr:pic>
      <xdr:nvPicPr>
        <xdr:cNvPr id="0" name="image6.png"/>
        <xdr:cNvPicPr preferRelativeResize="0"/>
      </xdr:nvPicPr>
      <xdr:blipFill>
        <a:blip cstate="print" r:embed="rId3"/>
        <a:stretch>
          <a:fillRect/>
        </a:stretch>
      </xdr:blipFill>
      <xdr:spPr>
        <a:prstGeom prst="rect">
          <a:avLst/>
        </a:prstGeom>
        <a:noFill/>
      </xdr:spPr>
    </xdr:pic>
    <xdr:clientData fLocksWithSheet="0"/>
  </xdr:oneCellAnchor>
  <xdr:oneCellAnchor>
    <xdr:from>
      <xdr:col>29</xdr:col>
      <xdr:colOff>457200</xdr:colOff>
      <xdr:row>37</xdr:row>
      <xdr:rowOff>19050</xdr:rowOff>
    </xdr:from>
    <xdr:ext cx="5791200" cy="1304925"/>
    <xdr:pic>
      <xdr:nvPicPr>
        <xdr:cNvPr id="0" name="image11.png"/>
        <xdr:cNvPicPr preferRelativeResize="0"/>
      </xdr:nvPicPr>
      <xdr:blipFill>
        <a:blip cstate="print" r:embed="rId4"/>
        <a:stretch>
          <a:fillRect/>
        </a:stretch>
      </xdr:blipFill>
      <xdr:spPr>
        <a:prstGeom prst="rect">
          <a:avLst/>
        </a:prstGeom>
        <a:noFill/>
      </xdr:spPr>
    </xdr:pic>
    <xdr:clientData fLocksWithSheet="0"/>
  </xdr:oneCellAnchor>
  <xdr:oneCellAnchor>
    <xdr:from>
      <xdr:col>34</xdr:col>
      <xdr:colOff>781050</xdr:colOff>
      <xdr:row>37</xdr:row>
      <xdr:rowOff>9525</xdr:rowOff>
    </xdr:from>
    <xdr:ext cx="6562725" cy="1323975"/>
    <xdr:pic>
      <xdr:nvPicPr>
        <xdr:cNvPr id="0" name="image21.png"/>
        <xdr:cNvPicPr preferRelativeResize="0"/>
      </xdr:nvPicPr>
      <xdr:blipFill>
        <a:blip cstate="print" r:embed="rId5"/>
        <a:stretch>
          <a:fillRect/>
        </a:stretch>
      </xdr:blipFill>
      <xdr:spPr>
        <a:prstGeom prst="rect">
          <a:avLst/>
        </a:prstGeom>
        <a:noFill/>
      </xdr:spPr>
    </xdr:pic>
    <xdr:clientData fLocksWithSheet="0"/>
  </xdr:oneCellAnchor>
  <xdr:oneCellAnchor>
    <xdr:from>
      <xdr:col>40</xdr:col>
      <xdr:colOff>38100</xdr:colOff>
      <xdr:row>37</xdr:row>
      <xdr:rowOff>57150</xdr:rowOff>
    </xdr:from>
    <xdr:ext cx="2962275" cy="1333500"/>
    <xdr:pic>
      <xdr:nvPicPr>
        <xdr:cNvPr id="0" name="image3.png" title="Imagem"/>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37</xdr:row>
      <xdr:rowOff>0</xdr:rowOff>
    </xdr:from>
    <xdr:ext cx="13296900" cy="3457575"/>
    <xdr:pic>
      <xdr:nvPicPr>
        <xdr:cNvPr id="0" name="image12.png"/>
        <xdr:cNvPicPr preferRelativeResize="0"/>
      </xdr:nvPicPr>
      <xdr:blipFill>
        <a:blip cstate="print" r:embed="rId1"/>
        <a:stretch>
          <a:fillRect/>
        </a:stretch>
      </xdr:blipFill>
      <xdr:spPr>
        <a:prstGeom prst="rect">
          <a:avLst/>
        </a:prstGeom>
        <a:noFill/>
      </xdr:spPr>
    </xdr:pic>
    <xdr:clientData fLocksWithSheet="0"/>
  </xdr:oneCellAnchor>
  <xdr:oneCellAnchor>
    <xdr:from>
      <xdr:col>18</xdr:col>
      <xdr:colOff>457200</xdr:colOff>
      <xdr:row>36</xdr:row>
      <xdr:rowOff>152400</xdr:rowOff>
    </xdr:from>
    <xdr:ext cx="7048500" cy="3552825"/>
    <xdr:pic>
      <xdr:nvPicPr>
        <xdr:cNvPr id="0" name="image17.png" title="Imagem"/>
        <xdr:cNvPicPr preferRelativeResize="0"/>
      </xdr:nvPicPr>
      <xdr:blipFill>
        <a:blip cstate="print" r:embed="rId2"/>
        <a:stretch>
          <a:fillRect/>
        </a:stretch>
      </xdr:blipFill>
      <xdr:spPr>
        <a:prstGeom prst="rect">
          <a:avLst/>
        </a:prstGeom>
        <a:noFill/>
      </xdr:spPr>
    </xdr:pic>
    <xdr:clientData fLocksWithSheet="0"/>
  </xdr:oneCellAnchor>
  <xdr:oneCellAnchor>
    <xdr:from>
      <xdr:col>24</xdr:col>
      <xdr:colOff>952500</xdr:colOff>
      <xdr:row>36</xdr:row>
      <xdr:rowOff>152400</xdr:rowOff>
    </xdr:from>
    <xdr:ext cx="6477000" cy="3514725"/>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30</xdr:col>
      <xdr:colOff>847725</xdr:colOff>
      <xdr:row>36</xdr:row>
      <xdr:rowOff>95250</xdr:rowOff>
    </xdr:from>
    <xdr:ext cx="7496175" cy="3657600"/>
    <xdr:pic>
      <xdr:nvPicPr>
        <xdr:cNvPr id="0" name="image9.png"/>
        <xdr:cNvPicPr preferRelativeResize="0"/>
      </xdr:nvPicPr>
      <xdr:blipFill>
        <a:blip cstate="print" r:embed="rId4"/>
        <a:stretch>
          <a:fillRect/>
        </a:stretch>
      </xdr:blipFill>
      <xdr:spPr>
        <a:prstGeom prst="rect">
          <a:avLst/>
        </a:prstGeom>
        <a:noFill/>
      </xdr:spPr>
    </xdr:pic>
    <xdr:clientData fLocksWithSheet="0"/>
  </xdr:oneCellAnchor>
  <xdr:oneCellAnchor>
    <xdr:from>
      <xdr:col>37</xdr:col>
      <xdr:colOff>676275</xdr:colOff>
      <xdr:row>36</xdr:row>
      <xdr:rowOff>95250</xdr:rowOff>
    </xdr:from>
    <xdr:ext cx="7562850" cy="3686175"/>
    <xdr:pic>
      <xdr:nvPicPr>
        <xdr:cNvPr id="0" name="image36.png"/>
        <xdr:cNvPicPr preferRelativeResize="0"/>
      </xdr:nvPicPr>
      <xdr:blipFill>
        <a:blip cstate="print" r:embed="rId5"/>
        <a:stretch>
          <a:fillRect/>
        </a:stretch>
      </xdr:blipFill>
      <xdr:spPr>
        <a:prstGeom prst="rect">
          <a:avLst/>
        </a:prstGeom>
        <a:noFill/>
      </xdr:spPr>
    </xdr:pic>
    <xdr:clientData fLocksWithSheet="0"/>
  </xdr:oneCellAnchor>
  <xdr:oneCellAnchor>
    <xdr:from>
      <xdr:col>44</xdr:col>
      <xdr:colOff>571500</xdr:colOff>
      <xdr:row>36</xdr:row>
      <xdr:rowOff>47625</xdr:rowOff>
    </xdr:from>
    <xdr:ext cx="7829550" cy="3810000"/>
    <xdr:pic>
      <xdr:nvPicPr>
        <xdr:cNvPr id="0" name="image8.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36</xdr:row>
      <xdr:rowOff>76200</xdr:rowOff>
    </xdr:from>
    <xdr:ext cx="13868400" cy="5457825"/>
    <xdr:pic>
      <xdr:nvPicPr>
        <xdr:cNvPr id="0" name="image13.png" title="Imagem"/>
        <xdr:cNvPicPr preferRelativeResize="0"/>
      </xdr:nvPicPr>
      <xdr:blipFill>
        <a:blip cstate="print" r:embed="rId1"/>
        <a:stretch>
          <a:fillRect/>
        </a:stretch>
      </xdr:blipFill>
      <xdr:spPr>
        <a:prstGeom prst="rect">
          <a:avLst/>
        </a:prstGeom>
        <a:noFill/>
      </xdr:spPr>
    </xdr:pic>
    <xdr:clientData fLocksWithSheet="0"/>
  </xdr:oneCellAnchor>
  <xdr:oneCellAnchor>
    <xdr:from>
      <xdr:col>18</xdr:col>
      <xdr:colOff>971550</xdr:colOff>
      <xdr:row>36</xdr:row>
      <xdr:rowOff>76200</xdr:rowOff>
    </xdr:from>
    <xdr:ext cx="13687425" cy="5448300"/>
    <xdr:pic>
      <xdr:nvPicPr>
        <xdr:cNvPr id="0" name="image10.png" title="Imagem"/>
        <xdr:cNvPicPr preferRelativeResize="0"/>
      </xdr:nvPicPr>
      <xdr:blipFill>
        <a:blip cstate="print" r:embed="rId2"/>
        <a:stretch>
          <a:fillRect/>
        </a:stretch>
      </xdr:blipFill>
      <xdr:spPr>
        <a:prstGeom prst="rect">
          <a:avLst/>
        </a:prstGeom>
        <a:noFill/>
      </xdr:spPr>
    </xdr:pic>
    <xdr:clientData fLocksWithSheet="0"/>
  </xdr:oneCellAnchor>
  <xdr:oneCellAnchor>
    <xdr:from>
      <xdr:col>31</xdr:col>
      <xdr:colOff>323850</xdr:colOff>
      <xdr:row>36</xdr:row>
      <xdr:rowOff>76200</xdr:rowOff>
    </xdr:from>
    <xdr:ext cx="13525500" cy="5457825"/>
    <xdr:pic>
      <xdr:nvPicPr>
        <xdr:cNvPr id="0" name="image19.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37</xdr:row>
      <xdr:rowOff>0</xdr:rowOff>
    </xdr:from>
    <xdr:ext cx="14068425" cy="3724275"/>
    <xdr:pic>
      <xdr:nvPicPr>
        <xdr:cNvPr id="0" name="image22.png"/>
        <xdr:cNvPicPr preferRelativeResize="0"/>
      </xdr:nvPicPr>
      <xdr:blipFill>
        <a:blip cstate="print" r:embed="rId1"/>
        <a:stretch>
          <a:fillRect/>
        </a:stretch>
      </xdr:blipFill>
      <xdr:spPr>
        <a:prstGeom prst="rect">
          <a:avLst/>
        </a:prstGeom>
        <a:noFill/>
      </xdr:spPr>
    </xdr:pic>
    <xdr:clientData fLocksWithSheet="0"/>
  </xdr:oneCellAnchor>
  <xdr:oneCellAnchor>
    <xdr:from>
      <xdr:col>18</xdr:col>
      <xdr:colOff>314325</xdr:colOff>
      <xdr:row>36</xdr:row>
      <xdr:rowOff>19050</xdr:rowOff>
    </xdr:from>
    <xdr:ext cx="12649200" cy="3924300"/>
    <xdr:pic>
      <xdr:nvPicPr>
        <xdr:cNvPr id="0" name="image16.png"/>
        <xdr:cNvPicPr preferRelativeResize="0"/>
      </xdr:nvPicPr>
      <xdr:blipFill>
        <a:blip cstate="print" r:embed="rId2"/>
        <a:stretch>
          <a:fillRect/>
        </a:stretch>
      </xdr:blipFill>
      <xdr:spPr>
        <a:prstGeom prst="rect">
          <a:avLst/>
        </a:prstGeom>
        <a:noFill/>
      </xdr:spPr>
    </xdr:pic>
    <xdr:clientData fLocksWithSheet="0"/>
  </xdr:oneCellAnchor>
  <xdr:oneCellAnchor>
    <xdr:from>
      <xdr:col>29</xdr:col>
      <xdr:colOff>742950</xdr:colOff>
      <xdr:row>36</xdr:row>
      <xdr:rowOff>123825</xdr:rowOff>
    </xdr:from>
    <xdr:ext cx="1247775" cy="3819525"/>
    <xdr:pic>
      <xdr:nvPicPr>
        <xdr:cNvPr id="0" name="image15.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xdr:colOff>
      <xdr:row>36</xdr:row>
      <xdr:rowOff>0</xdr:rowOff>
    </xdr:from>
    <xdr:ext cx="13677900" cy="5419725"/>
    <xdr:pic>
      <xdr:nvPicPr>
        <xdr:cNvPr id="0" name="image24.png"/>
        <xdr:cNvPicPr preferRelativeResize="0"/>
      </xdr:nvPicPr>
      <xdr:blipFill>
        <a:blip cstate="print" r:embed="rId1"/>
        <a:stretch>
          <a:fillRect/>
        </a:stretch>
      </xdr:blipFill>
      <xdr:spPr>
        <a:prstGeom prst="rect">
          <a:avLst/>
        </a:prstGeom>
        <a:noFill/>
      </xdr:spPr>
    </xdr:pic>
    <xdr:clientData fLocksWithSheet="0"/>
  </xdr:oneCellAnchor>
  <xdr:oneCellAnchor>
    <xdr:from>
      <xdr:col>18</xdr:col>
      <xdr:colOff>885825</xdr:colOff>
      <xdr:row>35</xdr:row>
      <xdr:rowOff>152400</xdr:rowOff>
    </xdr:from>
    <xdr:ext cx="13582650" cy="5476875"/>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31</xdr:col>
      <xdr:colOff>171450</xdr:colOff>
      <xdr:row>35</xdr:row>
      <xdr:rowOff>152400</xdr:rowOff>
    </xdr:from>
    <xdr:ext cx="13258800" cy="5476875"/>
    <xdr:pic>
      <xdr:nvPicPr>
        <xdr:cNvPr id="0" name="image28.png"/>
        <xdr:cNvPicPr preferRelativeResize="0"/>
      </xdr:nvPicPr>
      <xdr:blipFill>
        <a:blip cstate="print" r:embed="rId3"/>
        <a:stretch>
          <a:fillRect/>
        </a:stretch>
      </xdr:blipFill>
      <xdr:spPr>
        <a:prstGeom prst="rect">
          <a:avLst/>
        </a:prstGeom>
        <a:noFill/>
      </xdr:spPr>
    </xdr:pic>
    <xdr:clientData fLocksWithSheet="0"/>
  </xdr:oneCellAnchor>
  <xdr:oneCellAnchor>
    <xdr:from>
      <xdr:col>43</xdr:col>
      <xdr:colOff>238125</xdr:colOff>
      <xdr:row>35</xdr:row>
      <xdr:rowOff>123825</xdr:rowOff>
    </xdr:from>
    <xdr:ext cx="9715500" cy="5514975"/>
    <xdr:pic>
      <xdr:nvPicPr>
        <xdr:cNvPr id="0" name="image26.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36</xdr:row>
      <xdr:rowOff>0</xdr:rowOff>
    </xdr:from>
    <xdr:ext cx="13906500" cy="4124325"/>
    <xdr:pic>
      <xdr:nvPicPr>
        <xdr:cNvPr id="0" name="image14.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36</xdr:row>
      <xdr:rowOff>0</xdr:rowOff>
    </xdr:from>
    <xdr:ext cx="13401675" cy="4124325"/>
    <xdr:pic>
      <xdr:nvPicPr>
        <xdr:cNvPr id="0" name="image20.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133350</xdr:colOff>
      <xdr:row>55</xdr:row>
      <xdr:rowOff>28575</xdr:rowOff>
    </xdr:from>
    <xdr:ext cx="13963650" cy="1914525"/>
    <xdr:pic>
      <xdr:nvPicPr>
        <xdr:cNvPr id="0" name="image18.png"/>
        <xdr:cNvPicPr preferRelativeResize="0"/>
      </xdr:nvPicPr>
      <xdr:blipFill>
        <a:blip cstate="print" r:embed="rId3"/>
        <a:stretch>
          <a:fillRect/>
        </a:stretch>
      </xdr:blipFill>
      <xdr:spPr>
        <a:prstGeom prst="rect">
          <a:avLst/>
        </a:prstGeom>
        <a:noFill/>
      </xdr:spPr>
    </xdr:pic>
    <xdr:clientData fLocksWithSheet="0"/>
  </xdr:oneCellAnchor>
  <xdr:oneCellAnchor>
    <xdr:from>
      <xdr:col>18</xdr:col>
      <xdr:colOff>266700</xdr:colOff>
      <xdr:row>55</xdr:row>
      <xdr:rowOff>19050</xdr:rowOff>
    </xdr:from>
    <xdr:ext cx="14135100" cy="1943100"/>
    <xdr:pic>
      <xdr:nvPicPr>
        <xdr:cNvPr id="0" name="image23.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35</xdr:row>
      <xdr:rowOff>0</xdr:rowOff>
    </xdr:from>
    <xdr:ext cx="10858500" cy="1666875"/>
    <xdr:pic>
      <xdr:nvPicPr>
        <xdr:cNvPr id="0" name="image3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46</xdr:row>
      <xdr:rowOff>0</xdr:rowOff>
    </xdr:from>
    <xdr:ext cx="11058525" cy="2057400"/>
    <xdr:pic>
      <xdr:nvPicPr>
        <xdr:cNvPr id="0" name="image29.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37</xdr:row>
      <xdr:rowOff>0</xdr:rowOff>
    </xdr:from>
    <xdr:ext cx="9925050" cy="3343275"/>
    <xdr:pic>
      <xdr:nvPicPr>
        <xdr:cNvPr id="0" name="image27.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504825</xdr:colOff>
      <xdr:row>37</xdr:row>
      <xdr:rowOff>9525</xdr:rowOff>
    </xdr:from>
    <xdr:ext cx="9591675" cy="3343275"/>
    <xdr:pic>
      <xdr:nvPicPr>
        <xdr:cNvPr id="0" name="image25.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36</xdr:row>
      <xdr:rowOff>0</xdr:rowOff>
    </xdr:from>
    <xdr:ext cx="14211300" cy="4114800"/>
    <xdr:pic>
      <xdr:nvPicPr>
        <xdr:cNvPr id="0" name="image30.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428625</xdr:colOff>
      <xdr:row>35</xdr:row>
      <xdr:rowOff>104775</xdr:rowOff>
    </xdr:from>
    <xdr:ext cx="11639550" cy="4429125"/>
    <xdr:pic>
      <xdr:nvPicPr>
        <xdr:cNvPr id="0" name="image35.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56</xdr:row>
      <xdr:rowOff>104775</xdr:rowOff>
    </xdr:from>
    <xdr:ext cx="14211300" cy="2038350"/>
    <xdr:pic>
      <xdr:nvPicPr>
        <xdr:cNvPr id="0" name="image32.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266700</xdr:colOff>
      <xdr:row>56</xdr:row>
      <xdr:rowOff>142875</xdr:rowOff>
    </xdr:from>
    <xdr:ext cx="11791950" cy="2000250"/>
    <xdr:pic>
      <xdr:nvPicPr>
        <xdr:cNvPr id="0" name="image33.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36</xdr:row>
      <xdr:rowOff>0</xdr:rowOff>
    </xdr:from>
    <xdr:ext cx="13354050" cy="2581275"/>
    <xdr:pic>
      <xdr:nvPicPr>
        <xdr:cNvPr id="0" name="image3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36</xdr:row>
      <xdr:rowOff>0</xdr:rowOff>
    </xdr:from>
    <xdr:ext cx="10058400" cy="1847850"/>
    <xdr:pic>
      <xdr:nvPicPr>
        <xdr:cNvPr id="0" name="image37.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36</xdr:row>
      <xdr:rowOff>85725</xdr:rowOff>
    </xdr:from>
    <xdr:ext cx="10067925" cy="5295900"/>
    <xdr:pic>
      <xdr:nvPicPr>
        <xdr:cNvPr id="0" name="image38.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552450</xdr:colOff>
      <xdr:row>36</xdr:row>
      <xdr:rowOff>85725</xdr:rowOff>
    </xdr:from>
    <xdr:ext cx="11153775" cy="5295900"/>
    <xdr:pic>
      <xdr:nvPicPr>
        <xdr:cNvPr id="0" name="image44.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37</xdr:row>
      <xdr:rowOff>0</xdr:rowOff>
    </xdr:from>
    <xdr:ext cx="8448675" cy="5276850"/>
    <xdr:pic>
      <xdr:nvPicPr>
        <xdr:cNvPr id="0" name="image39.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123825</xdr:colOff>
      <xdr:row>37</xdr:row>
      <xdr:rowOff>0</xdr:rowOff>
    </xdr:from>
    <xdr:ext cx="11172825" cy="5305425"/>
    <xdr:pic>
      <xdr:nvPicPr>
        <xdr:cNvPr id="0" name="image40.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35</xdr:row>
      <xdr:rowOff>0</xdr:rowOff>
    </xdr:from>
    <xdr:ext cx="14192250" cy="4219575"/>
    <xdr:pic>
      <xdr:nvPicPr>
        <xdr:cNvPr id="0" name="image4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36</xdr:row>
      <xdr:rowOff>0</xdr:rowOff>
    </xdr:from>
    <xdr:ext cx="13811250" cy="4581525"/>
    <xdr:pic>
      <xdr:nvPicPr>
        <xdr:cNvPr id="0" name="image43.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58</xdr:row>
      <xdr:rowOff>180975</xdr:rowOff>
    </xdr:from>
    <xdr:ext cx="13830300" cy="2152650"/>
    <xdr:pic>
      <xdr:nvPicPr>
        <xdr:cNvPr id="0" name="image42.png"/>
        <xdr:cNvPicPr preferRelativeResize="0"/>
      </xdr:nvPicPr>
      <xdr:blipFill>
        <a:blip cstate="print" r:embed="rId2"/>
        <a:stretch>
          <a:fillRect/>
        </a:stretch>
      </xdr:blipFill>
      <xdr:spPr>
        <a:prstGeom prst="rect">
          <a:avLst/>
        </a:prstGeom>
        <a:noFill/>
      </xdr:spPr>
    </xdr:pic>
    <xdr:clientData fLocksWithSheet="0"/>
  </xdr:oneCellAnchor>
  <xdr:oneCellAnchor>
    <xdr:from>
      <xdr:col>19</xdr:col>
      <xdr:colOff>19050</xdr:colOff>
      <xdr:row>36</xdr:row>
      <xdr:rowOff>95250</xdr:rowOff>
    </xdr:from>
    <xdr:ext cx="13211175" cy="4591050"/>
    <xdr:pic>
      <xdr:nvPicPr>
        <xdr:cNvPr id="0" name="image45.png"/>
        <xdr:cNvPicPr preferRelativeResize="0"/>
      </xdr:nvPicPr>
      <xdr:blipFill>
        <a:blip cstate="print" r:embed="rId3"/>
        <a:stretch>
          <a:fillRect/>
        </a:stretch>
      </xdr:blipFill>
      <xdr:spPr>
        <a:prstGeom prst="rect">
          <a:avLst/>
        </a:prstGeom>
        <a:noFill/>
      </xdr:spPr>
    </xdr:pic>
    <xdr:clientData fLocksWithSheet="0"/>
  </xdr:oneCellAnchor>
  <xdr:oneCellAnchor>
    <xdr:from>
      <xdr:col>18</xdr:col>
      <xdr:colOff>228600</xdr:colOff>
      <xdr:row>58</xdr:row>
      <xdr:rowOff>190500</xdr:rowOff>
    </xdr:from>
    <xdr:ext cx="14106525" cy="2171700"/>
    <xdr:pic>
      <xdr:nvPicPr>
        <xdr:cNvPr id="0" name="image46.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19050</xdr:colOff>
      <xdr:row>36</xdr:row>
      <xdr:rowOff>95250</xdr:rowOff>
    </xdr:from>
    <xdr:ext cx="13211175" cy="4591050"/>
    <xdr:pic>
      <xdr:nvPicPr>
        <xdr:cNvPr id="0" name="image45.png"/>
        <xdr:cNvPicPr preferRelativeResize="0"/>
      </xdr:nvPicPr>
      <xdr:blipFill>
        <a:blip cstate="print" r:embed="rId1"/>
        <a:stretch>
          <a:fillRect/>
        </a:stretch>
      </xdr:blipFill>
      <xdr:spPr>
        <a:prstGeom prst="rect">
          <a:avLst/>
        </a:prstGeom>
        <a:noFill/>
      </xdr:spPr>
    </xdr:pic>
    <xdr:clientData fLocksWithSheet="0"/>
  </xdr:oneCellAnchor>
  <xdr:oneCellAnchor>
    <xdr:from>
      <xdr:col>18</xdr:col>
      <xdr:colOff>228600</xdr:colOff>
      <xdr:row>58</xdr:row>
      <xdr:rowOff>190500</xdr:rowOff>
    </xdr:from>
    <xdr:ext cx="14106525" cy="2171700"/>
    <xdr:pic>
      <xdr:nvPicPr>
        <xdr:cNvPr id="0" name="image46.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11:P1903" sheet="TIMESHEET"/>
  </cacheSource>
  <cacheFields>
    <cacheField name="Projeto 1" numFmtId="0">
      <sharedItems>
        <s v="INOV00001"/>
        <s v="INOV00012"/>
        <s v="INOV00020"/>
        <s v="INOV00004"/>
        <s v="INOV00023"/>
        <s v="INOV00025"/>
        <s v="INOV00010"/>
        <s v="INOV00006"/>
        <s v="INOV00013"/>
        <s v="INOV00032"/>
        <s v="INOV00019"/>
        <s v="INOV00029"/>
        <s v="INOV00037"/>
        <s v="INOV00024"/>
        <s v="INOV00022"/>
        <s v="INOV00041"/>
        <s v="INOV00040"/>
        <s v="INOV00031"/>
        <s v="INOV00017"/>
        <s v="INOV00014"/>
        <s v="INOV00034"/>
        <s v="INOV00035"/>
        <s v="INOV00036"/>
        <s v="INOV00038"/>
        <s v="INOV00016"/>
        <s v="INOV00028"/>
        <s v="INOV00021"/>
        <s v="INOV00018"/>
        <s v="INOV00027"/>
        <s v="INOV00039"/>
        <s v="INOV00045"/>
        <s v="INOV00044"/>
        <s v="INOV00046"/>
        <s v="INOV00042"/>
      </sharedItems>
    </cacheField>
    <cacheField name="Etapa" numFmtId="0">
      <sharedItems>
        <s v="INOV00001"/>
        <s v="INOV00012"/>
        <s v="INOV00020"/>
        <s v="INOV00004"/>
        <s v="INOV00023"/>
        <s v="INOV00025"/>
        <s v="INOV00010"/>
        <s v="INOV00006"/>
        <s v="INOV00013"/>
        <s v="INOV00032"/>
        <s v="INOV00019"/>
        <s v="INOV00029"/>
        <s v="INOV00037"/>
        <s v="INOV00024"/>
        <s v="INOV00022"/>
        <s v="INOV00041"/>
        <s v="INOV00040"/>
        <s v="INOV00031"/>
        <s v="INOV00017"/>
        <s v="INOV00014"/>
        <s v="INOV00034"/>
        <s v="INOV00035"/>
        <s v="INOV00036"/>
        <s v="INOV00038"/>
        <s v="INOV00016"/>
        <s v="INOV00028"/>
        <s v="INOV00021"/>
        <s v="INOV00018"/>
        <s v="INOV00027"/>
        <s v="INOV00039"/>
        <s v="INOV00045"/>
        <s v="INOV00044"/>
        <s v="INOV00046"/>
        <s v="INOV00042"/>
      </sharedItems>
    </cacheField>
    <cacheField name="Colaborador" numFmtId="0">
      <sharedItems>
        <s v="Ana Paula Celes"/>
        <s v="Ana Claudia Zanini"/>
        <s v="Camila Mendes Pereira"/>
        <s v="Gabriela Faria de Oliveira"/>
        <s v="Hellin dos Santos"/>
        <s v="Juliana Lamas Roberto"/>
        <s v="Luciana Dutra"/>
        <s v="Lizianne Angelica Shmeil"/>
        <s v="Rafael Parreira Lorini"/>
        <s v="Vaneisse Cristina Lima Monteiro"/>
        <s v="Ana Paula Biz"/>
        <s v="Alyne Alves Nunes Oliveira"/>
        <s v="Raissa Bellotti"/>
      </sharedItems>
    </cacheField>
    <cacheField name="Data" numFmtId="170">
      <sharedItems containsSemiMixedTypes="0" containsDate="1" containsString="0">
        <d v="2023-01-06T00:00:00Z"/>
        <d v="2023-01-09T00:00:00Z"/>
        <d v="2023-01-13T00:00:00Z"/>
        <d v="2023-01-16T00:00:00Z"/>
        <d v="2023-01-17T00:00:00Z"/>
        <d v="2023-01-25T00:00:00Z"/>
        <d v="2023-02-02T00:00:00Z"/>
        <d v="2023-02-03T00:00:00Z"/>
        <d v="2023-02-06T00:00:00Z"/>
        <d v="2023-03-06T00:00:00Z"/>
        <d v="2023-03-09T00:00:00Z"/>
        <d v="2023-03-10T00:00:00Z"/>
        <d v="2023-03-14T00:00:00Z"/>
        <d v="2023-03-21T00:00:00Z"/>
        <d v="2023-03-23T00:00:00Z"/>
        <d v="2023-03-24T00:00:00Z"/>
        <d v="2023-03-29T00:00:00Z"/>
        <d v="2023-03-31T00:00:00Z"/>
        <d v="2023-01-05T00:00:00Z"/>
        <d v="2023-01-12T00:00:00Z"/>
        <d v="2023-01-18T00:00:00Z"/>
        <d v="2023-01-19T00:00:00Z"/>
        <d v="2023-01-20T00:00:00Z"/>
        <d v="2023-01-23T00:00:00Z"/>
        <d v="2023-01-24T00:00:00Z"/>
        <d v="2023-01-26T00:00:00Z"/>
        <d v="2023-01-27T00:00:00Z"/>
        <d v="2023-01-30T00:00:00Z"/>
        <d v="2023-01-31T00:00:00Z"/>
        <d v="2023-02-01T00:00:00Z"/>
        <d v="2023-02-07T00:00:00Z"/>
        <d v="2023-02-16T00:00:00Z"/>
        <d v="2023-02-15T00:00:00Z"/>
        <d v="2023-02-17T00:00:00Z"/>
        <d v="2023-02-14T00:00:00Z"/>
        <d v="2023-02-22T00:00:00Z"/>
        <d v="2023-02-24T00:00:00Z"/>
        <d v="2023-02-27T00:00:00Z"/>
        <d v="2023-02-28T00:00:00Z"/>
        <d v="2023-02-09T00:00:00Z"/>
        <d v="2023-02-10T00:00:00Z"/>
        <d v="2023-02-23T00:00:00Z"/>
        <d v="2023-03-01T00:00:00Z"/>
        <d v="2023-03-02T00:00:00Z"/>
        <d v="2023-03-03T00:00:00Z"/>
        <d v="2023-03-07T00:00:00Z"/>
        <d v="2023-03-08T00:00:00Z"/>
        <d v="2023-03-13T00:00:00Z"/>
        <d v="2023-03-15T00:00:00Z"/>
        <d v="2023-03-16T00:00:00Z"/>
        <d v="2023-03-17T00:00:00Z"/>
        <d v="2023-03-22T00:00:00Z"/>
        <d v="2023-03-27T00:00:00Z"/>
        <d v="2023-03-30T00:00:00Z"/>
        <d v="2023-01-03T00:00:00Z"/>
        <d v="2023-01-10T00:00:00Z"/>
        <d v="2023-01-11T00:00:00Z"/>
        <d v="2023-02-08T00:00:00Z"/>
        <d v="2023-02-13T00:00:00Z"/>
        <d v="2023-03-20T00:00:00Z"/>
        <d v="2023-01-02T00:00:00Z"/>
        <d v="2023-01-04T00:00:00Z"/>
        <d v="2023-03-28T00:00:00Z"/>
        <d v="2023-04-04T00:00:00Z"/>
        <d v="2023-04-11T00:00:00Z"/>
        <d v="2023-04-14T00:00:00Z"/>
        <d v="2023-04-25T00:00:00Z"/>
        <d v="2023-04-26T00:00:00Z"/>
        <d v="2023-04-28T00:00:00Z"/>
        <d v="2023-05-05T00:00:00Z"/>
        <d v="2023-05-12T00:00:00Z"/>
        <d v="2023-05-15T00:00:00Z"/>
        <d v="2023-05-18T00:00:00Z"/>
        <d v="2023-05-19T00:00:00Z"/>
        <d v="2023-05-31T00:00:00Z"/>
        <d v="2023-06-02T00:00:00Z"/>
        <d v="2023-05-06T00:00:00Z"/>
        <d v="2023-06-22T00:00:00Z"/>
        <d v="2023-06-27T00:00:00Z"/>
        <d v="2023-04-03T00:00:00Z"/>
        <d v="2023-04-05T00:00:00Z"/>
        <d v="2023-04-10T00:00:00Z"/>
        <d v="2023-04-13T00:00:00Z"/>
        <d v="2023-04-18T00:00:00Z"/>
        <d v="2023-04-19T00:00:00Z"/>
        <d v="2023-04-20T00:00:00Z"/>
        <d v="2023-04-24T00:00:00Z"/>
        <d v="2023-04-27T00:00:00Z"/>
        <d v="2023-05-02T00:00:00Z"/>
        <d v="2023-05-04T00:00:00Z"/>
        <d v="2023-05-08T00:00:00Z"/>
        <d v="2023-05-09T00:00:00Z"/>
        <d v="2023-05-10T00:00:00Z"/>
        <d v="2023-05-11T00:00:00Z"/>
        <d v="2023-05-17T00:00:00Z"/>
        <d v="2023-05-22T00:00:00Z"/>
        <d v="2023-05-23T00:00:00Z"/>
        <d v="2023-05-24T00:00:00Z"/>
        <d v="2023-05-30T00:00:00Z"/>
        <d v="2023-06-05T00:00:00Z"/>
        <d v="2023-06-06T00:00:00Z"/>
        <d v="2023-06-07T00:00:00Z"/>
        <d v="2023-06-09T00:00:00Z"/>
        <d v="2023-06-12T00:00:00Z"/>
        <d v="2023-06-14T00:00:00Z"/>
        <d v="2023-06-15T00:00:00Z"/>
        <d v="2023-06-16T00:00:00Z"/>
        <d v="2023-06-19T00:00:00Z"/>
        <d v="2023-06-20T00:00:00Z"/>
        <d v="2023-06-21T00:00:00Z"/>
        <d v="2023-06-23T00:00:00Z"/>
        <d v="2023-06-26T00:00:00Z"/>
        <d v="2023-06-29T00:00:00Z"/>
        <d v="2023-04-17T00:00:00Z"/>
        <d v="2023-05-03T00:00:00Z"/>
        <d v="2023-05-16T00:00:00Z"/>
        <d v="2023-05-26T00:00:00Z"/>
        <d v="2023-05-29T00:00:00Z"/>
        <d v="2023-06-01T00:00:00Z"/>
        <d v="2023-06-28T00:00:00Z"/>
        <d v="2023-04-06T00:00:00Z"/>
        <d v="2023-04-21T00:00:00Z"/>
        <d v="2023-04-22T00:00:00Z"/>
        <d v="2023-04-23T00:00:00Z"/>
        <d v="2023-05-25T00:00:00Z"/>
        <d v="2023-06-13T00:00:00Z"/>
        <d v="2023-04-01T00:00:00Z"/>
        <d v="2023-04-12T00:00:00Z"/>
        <d v="2023-04-15T00:00:00Z"/>
        <d v="2023-09-19T00:00:00Z"/>
        <d v="2023-09-20T00:00:00Z"/>
        <d v="2023-06-30T00:00:00Z"/>
        <d v="2023-07-02T00:00:00Z"/>
        <d v="2023-07-03T00:00:00Z"/>
        <d v="2023-07-04T00:00:00Z"/>
        <d v="2023-07-20T00:00:00Z"/>
        <d v="2023-07-21T00:00:00Z"/>
        <d v="2023-07-24T00:00:00Z"/>
        <d v="2023-07-26T00:00:00Z"/>
        <d v="2023-07-27T00:00:00Z"/>
        <d v="2023-07-28T00:00:00Z"/>
        <d v="2023-07-31T00:00:00Z"/>
        <d v="2023-07-05T00:00:00Z"/>
        <d v="2023-07-06T00:00:00Z"/>
        <d v="2023-07-07T00:00:00Z"/>
        <d v="2023-07-12T00:00:00Z"/>
        <d v="2023-07-19T00:00:00Z"/>
        <d v="2023-07-25T00:00:00Z"/>
        <d v="2023-08-02T00:00:00Z"/>
        <d v="2023-08-04T00:00:00Z"/>
        <d v="2023-08-07T00:00:00Z"/>
        <d v="2023-08-08T00:00:00Z"/>
        <d v="2023-08-09T00:00:00Z"/>
        <d v="2023-08-10T00:00:00Z"/>
        <d v="2023-08-11T00:00:00Z"/>
        <d v="2023-08-16T00:00:00Z"/>
        <d v="2023-08-17T00:00:00Z"/>
        <d v="2023-08-18T00:00:00Z"/>
        <d v="2023-08-25T00:00:00Z"/>
        <d v="2023-08-28T00:00:00Z"/>
        <d v="2023-08-29T00:00:00Z"/>
        <d v="2023-08-30T00:00:00Z"/>
        <d v="2023-08-31T00:00:00Z"/>
        <d v="2023-09-04T00:00:00Z"/>
        <d v="2023-09-05T00:00:00Z"/>
        <d v="2023-09-06T00:00:00Z"/>
        <d v="2023-09-11T00:00:00Z"/>
        <d v="2023-09-13T00:00:00Z"/>
        <d v="2023-09-18T00:00:00Z"/>
        <d v="2023-07-14T00:00:00Z"/>
        <d v="2023-07-17T00:00:00Z"/>
        <d v="2023-08-01T00:00:00Z"/>
        <d v="2023-08-03T00:00:00Z"/>
        <d v="2023-08-24T00:00:00Z"/>
        <d v="2023-07-10T00:00:00Z"/>
        <d v="2023-08-14T00:00:00Z"/>
        <d v="2023-08-21T00:00:00Z"/>
        <d v="2023-08-22T00:00:00Z"/>
        <d v="2023-07-11T00:00:00Z"/>
        <d v="2023-07-13T00:00:00Z"/>
        <d v="2023-07-18T00:00:00Z"/>
        <d v="2023-08-15T00:00:00Z"/>
        <d v="2023-08-23T00:00:00Z"/>
        <d v="2023-09-01T00:00:00Z"/>
        <d v="2023-09-12T00:00:00Z"/>
        <d v="2023-09-14T00:00:00Z"/>
        <d v="2023-09-15T00:00:00Z"/>
        <d v="2023-09-21T00:00:00Z"/>
        <d v="2023-09-22T00:00:00Z"/>
        <d v="2023-09-25T00:00:00Z"/>
        <d v="2023-09-27T00:00:00Z"/>
        <d v="2023-10-02T00:00:00Z"/>
        <d v="2023-10-03T00:00:00Z"/>
        <d v="2023-10-05T00:00:00Z"/>
        <d v="2023-10-09T00:00:00Z"/>
        <d v="2023-10-10T00:00:00Z"/>
        <d v="2023-10-11T00:00:00Z"/>
        <d v="2023-10-16T00:00:00Z"/>
        <d v="2023-10-17T00:00:00Z"/>
        <d v="2023-10-19T00:00:00Z"/>
        <d v="2023-10-24T00:00:00Z"/>
        <d v="2023-11-03T00:00:00Z"/>
        <d v="2023-11-13T00:00:00Z"/>
        <d v="2023-11-20T00:00:00Z"/>
        <d v="2023-11-29T00:00:00Z"/>
        <d v="2023-11-30T00:00:00Z"/>
        <d v="2023-12-04T00:00:00Z"/>
        <d v="2023-12-11T00:00:00Z"/>
        <d v="2023-12-18T00:00:00Z"/>
        <d v="2023-12-28T00:00:00Z"/>
        <d v="2023-10-06T00:00:00Z"/>
        <d v="2023-10-18T00:00:00Z"/>
        <d v="2023-10-20T00:00:00Z"/>
        <d v="2023-10-26T00:00:00Z"/>
        <d v="2023-10-31T00:00:00Z"/>
        <d v="2023-11-21T00:00:00Z"/>
        <d v="2023-11-23T00:00:00Z"/>
        <d v="2023-11-24T00:00:00Z"/>
        <d v="2023-10-13T00:00:00Z"/>
        <d v="2023-12-13T00:00:00Z"/>
        <d v="2023-11-07T00:00:00Z"/>
        <d v="2023-11-08T00:00:00Z"/>
        <d v="2023-11-10T00:00:00Z"/>
        <d v="2023-11-16T00:00:00Z"/>
        <d v="2023-11-22T00:00:00Z"/>
        <d v="2023-12-01T00:00:00Z"/>
        <d v="2023-12-06T00:00:00Z"/>
        <d v="2023-12-19T00:00:00Z"/>
        <d v="2023-12-20T00:00:00Z"/>
        <d v="2023-12-22T00:00:00Z"/>
        <d v="2023-10-04T00:00:00Z"/>
        <d v="2023-10-23T00:00:00Z"/>
        <d v="2023-10-25T00:00:00Z"/>
        <d v="2023-10-27T00:00:00Z"/>
        <d v="2023-10-30T00:00:00Z"/>
        <d v="2023-11-01T00:00:00Z"/>
        <d v="2023-11-06T00:00:00Z"/>
        <d v="2023-11-09T00:00:00Z"/>
        <d v="2023-11-14T00:00:00Z"/>
        <d v="2023-11-17T00:00:00Z"/>
        <d v="2023-12-12T00:00:00Z"/>
        <d v="2023-12-14T00:00:00Z"/>
        <d v="2023-12-15T00:00:00Z"/>
        <d v="2023-12-21T00:00:00Z"/>
        <d v="2023-12-26T00:00:00Z"/>
        <d v="2023-12-27T00:00:00Z"/>
        <d v="2023-12-29T00:00:00Z"/>
        <d v="2023-12-05T00:00:00Z"/>
        <d v="2023-12-07T00:00:00Z"/>
        <d v="2023-11-15T00:00:00Z"/>
        <d v="2023-11-27T00:00:00Z"/>
        <d v="2023-11-28T00:00:00Z"/>
        <d v="2023-10-14T00:00:00Z"/>
        <d v="2023-10-01T00:00:00Z"/>
        <d v="2023-10-12T00:00:00Z"/>
        <d v="2023-11-25T00:00:00Z"/>
      </sharedItems>
    </cacheField>
    <cacheField name="Tempo(h)" numFmtId="46">
      <sharedItems containsSemiMixedTypes="0" containsDate="1" containsString="0">
        <d v="1899-12-30T01:30:00Z"/>
        <d v="1899-12-30T01:00:00Z"/>
        <d v="1899-12-30T00:30:00Z"/>
        <d v="1899-12-30T02:00:00Z"/>
        <d v="1899-12-30T00:45:00Z"/>
        <d v="1899-12-30T03:00:00Z"/>
        <d v="1899-12-30T03:30:00Z"/>
        <d v="1899-12-30T04:00:00Z"/>
        <d v="1899-12-30T05:00:00Z"/>
        <d v="1899-12-30T06:00:00Z"/>
        <d v="1899-12-30T05:45:00Z"/>
        <d v="1899-12-30T03:45:00Z"/>
        <d v="1899-12-30T02:30:00Z"/>
        <d v="1899-12-30T04:30:00Z"/>
        <d v="1899-12-30T07:00:00Z"/>
        <d v="1899-12-30T06:30:00Z"/>
        <d v="1899-12-30T10:00:00Z"/>
        <d v="1899-12-30T00:00:00Z"/>
        <d v="1899-12-30T08:00:00Z"/>
        <d v="1899-12-30T03:15:00Z"/>
        <d v="1899-12-30T00:20:00Z"/>
        <d v="1899-12-30T02:10:00Z"/>
        <d v="1899-12-30T01:45:00Z"/>
        <d v="1899-12-30T01:20:00Z"/>
        <d v="1899-12-30T04:45:00Z"/>
        <d v="1899-12-30T04:15:00Z"/>
        <d v="1899-12-30T02:15:00Z"/>
        <d v="1899-12-30T02:45:00Z"/>
        <d v="1899-12-30T09:45:00Z"/>
        <d v="1899-12-30T12:00:00Z"/>
        <d v="1899-12-30T00:40:00Z"/>
        <d v="1899-12-30T04:40:00Z"/>
        <d v="1899-12-30T01:40:00Z"/>
        <d v="1899-12-30T01:55:00Z"/>
        <d v="1899-12-30T09:30:00Z"/>
        <d v="1899-12-30T08:30:00Z"/>
        <d v="1899-12-30T03:52:00Z"/>
        <d v="1899-12-30T02:46:00Z"/>
        <d v="1899-12-30T01:05:00Z"/>
        <d v="1899-12-30T01:10:00Z"/>
        <d v="1899-12-30T00:50:00Z"/>
        <d v="1899-12-30T00:25:00Z"/>
        <d v="1899-12-30T04:50:00Z"/>
        <d v="1899-12-30T15:45:00Z"/>
        <d v="1899-12-30T05:15:00Z"/>
        <d v="1899-12-30T01:15:00Z"/>
        <d v="1899-12-30T15:30:00Z"/>
        <d v="1899-12-30T00:15:00Z"/>
        <d v="1899-12-30T00:38:00Z"/>
        <d v="1899-12-30T00:10:00Z"/>
        <d v="1899-12-30T00:35:00Z"/>
        <d v="1899-12-30T00:18:00Z"/>
        <d v="1899-12-30T00:49:00Z"/>
        <d v="1899-12-30T00:55:00Z"/>
        <d v="1899-12-30T00:26:00Z"/>
        <d v="1899-12-30T09:00:00Z"/>
        <d v="1899-12-30T12:10:00Z"/>
        <d v="1899-12-30T08:45:00Z"/>
        <d v="1899-12-30T02:05:00Z"/>
        <d v="1899-12-30T01:35:00Z"/>
        <d v="1899-12-30T01:56:00Z"/>
        <d v="1899-12-30T07:45:00Z"/>
        <d v="1899-12-30T12:59:00Z"/>
      </sharedItems>
    </cacheField>
    <cacheField name="Classificação PRODIET" numFmtId="0">
      <sharedItems>
        <s v="Gestão e outros"/>
        <s v="Desenvolvimento"/>
        <s v="Pesquisa"/>
        <s v="Treinamento"/>
      </sharedItems>
    </cacheField>
    <cacheField name="Classificação MCBENNER" numFmtId="0">
      <sharedItems>
        <s v="Desenvolvimento"/>
        <s v="Pesquisa"/>
        <s v="Gestão e outros"/>
        <s v="Treinamento"/>
      </sharedItems>
    </cacheField>
    <cacheField name=" " numFmtId="0">
      <sharedItems>
        <b v="0"/>
        <b v="1"/>
      </sharedItems>
    </cacheField>
    <cacheField name="Descrição da atividade e observações" numFmtId="0">
      <sharedItems>
        <s v="Alinhamento de atividades para testes latco(bags, cestos, tubulações)"/>
        <s v="Análise tecnica dos estudos finais de estabilidade"/>
        <s v="Construção de processos para Marca Própria"/>
        <s v="Estudo de plantas pilotos"/>
        <s v="Composição de respaldo para NHcF"/>
        <s v="Análises do EE final e aminograma"/>
        <s v="Estudo e análise do briefing"/>
        <s v="Degustação para definição das caracteristicas sensorial"/>
        <s v="discussão de protocolo UFRN"/>
        <s v="fechamento do tema NHcF"/>
        <s v="Conhecendo possibilidades de bicos"/>
        <s v="Definindo IN e porção"/>
        <s v="Definição dos testes na Embrapa"/>
        <s v="Receitas para testar o ARTS"/>
        <s v="Construção da arquiteura de MP"/>
        <s v="Análise de resultados preliminares"/>
        <s v="definição do layout do sache a vácuo"/>
        <s v="Alinhamento semanal"/>
        <s v="Resultados preliminares dos testes feitos"/>
        <s v="resultados Spray Dryer e SiO2"/>
        <s v="Business case"/>
        <s v="Discussào de todos os resultados obtidos"/>
        <s v="Rounds para composição nutricional da formula"/>
        <s v="Pesquisa básica para desenvolvimento de protocolo de pesquisa clínica"/>
        <s v="Pesquisa básica para desenvolvimento de novo produto"/>
        <s v="Pesquisa básica para desenvolvimento de protocolo de estudo de caso"/>
        <s v="Pesquisa básica para produção de material cientifico"/>
        <s v="Pesquisa básica para escrita de artigo cientifico"/>
        <s v="Pesquisa básica para definição de protocolo de Relato de caso"/>
        <s v="Escrita de artigo cientifico"/>
        <s v="Pesquisa básica para elaboração de material científico"/>
        <s v="Pesquisa básica para elaboração de respaldo científico"/>
        <s v="Pesquisa básica para desenvolvimento de protocolo de relato de caso"/>
        <s v="Pesquisa básica para análise de resultados de pesquisa clínica"/>
        <s v="Avaliação informação nutricional em relação ao atendimento do target"/>
        <s v="Reserva de hospedagem visita técnica fornecedor IFF"/>
        <s v="Avaliação especificação técnica Dióxido de Silício"/>
        <s v="Apresentação status projetos equipe de P&amp;D"/>
        <s v="Avaliação resultados análise base do produto para investigação contribuição de B1"/>
        <s v="Homologação e solicitação de amostra do mix de vitaminas e minerais DSM para teste industrial para aprovação final"/>
        <s v="Investigação contribuição vitamina B1 junto aos fornecedores de aroma e corante"/>
        <s v="Definição de etapas, atribuição de atividades demais setores, cronograma envio de materiais para teste piloto"/>
        <s v="Inscrição curso Inovação em Pesquisa e Desenvolvimento de Alimentos FoodTech"/>
        <s v="Cálculo de custo da fórmula com mix alternativo DSM"/>
        <s v="Simulações de produtos e investimento em plantas piloto"/>
        <s v="Cadastro mixes software"/>
        <s v="Separação materiais para envio teste piloto Doremus"/>
        <s v="Teste de bancada (avaliação prática) estabilidade fórmula para definição de estabilizantes e dosagens"/>
        <s v="Discussão opções de MP para alteração de fonte proteica láctea"/>
        <s v="Acompanhamento desenvolvimento do projeto junto com o Científico"/>
        <s v="Cálculo custo matérias primas para teste piloto Doremus"/>
        <s v="Mitura matérias primas líquidas para envio teste piloto Doremus"/>
        <s v="Discussão opção de mix e dosagem do PA para atendimento fórmula Suplemento Alimentar"/>
        <s v="Apresentação receitas para aplicação e teste de administração via sonda"/>
        <s v="Discussão com fornecedor de aroma sobre contribuição de vitamina B1"/>
        <s v="Alinhamento P&amp;D e AR status projetos"/>
        <s v="Discussão informação nutricional versus dosagem do produto"/>
        <s v="Teste piloto Doremus"/>
        <s v="Apresentação IFF proposta fórmula para redução de custo"/>
        <s v="Discussão técnica com Mauá sobre planta pilotos como parceiro para testes"/>
        <s v="Cálculo e avaliação informação nutricional versus dosagem 1.0 e 1.2kcal do produto"/>
        <s v="Envio análise de macronutrientes - teste spray dryer"/>
        <s v="Avaliação de sabor e odor, substituição por aromas leite e pó e baunilha Takasago"/>
        <s v="Teste piloto validação aroma"/>
        <s v="Preenchimento RDV"/>
        <s v="Elaboração cronograma de desenvolvimento do produto"/>
        <s v="Avaliação informação nutricional versus dosagem 1.0 e 1.2kcal do produto"/>
        <s v="Preparo de amostras para avaliação de sabor e odor"/>
        <s v="Discussão fonte proteica, fatores antinutricionais e aplicação em receita"/>
        <s v="Avaliação informação nutricional e determinação da dose diária de consumo"/>
        <s v="Alinhamentos status projetos P&amp;D e AR"/>
        <s v="Definição de Claims"/>
        <s v="Aplicação em Trophic Basic Enteral"/>
        <s v="Aplicação em Trophic Fiber"/>
        <s v="Alinhamentos status projetos CI primeiro triemestre"/>
        <s v="Alinhamento alteração de fórmula outros setores"/>
        <s v="Elaboração apresentação proposta fórmula dose mix + dose de consumo"/>
        <s v="Apresentação proposta fórmula dose mix + dose de consumo para Gerência"/>
        <s v="Apresentação proposta fórmula dose mix + dose de consumo para Científico e  AR"/>
        <s v="Envio base Duas Rodas para desenvolvimento aroma de chocolate"/>
        <s v="Envio Base Doremus para desenvolvimento aroma de chocolate"/>
        <s v="Avaliação de diluição, sabor, odor, administraçã amostra spray dryer, aplicação em T. Basic Enteral"/>
        <s v="Avaliação de diluição, sabor, odor, administração amostra spray dryer, aplicação em T. Fiber"/>
        <s v="Preparo para envio avaliação diretoria amostra aplicação Spray Dryer e Sio2"/>
        <s v="Discussão técnica com o Comercial sobre alteração de dose de consumo"/>
        <s v="Envio base IFF para testes adicionais de desenvolvimento de proposta de fórmula com redução de custo"/>
        <s v="Envio base IFF para desenvolvimento de aroma chococlate"/>
        <s v="Teste de Administração gravitacional em fórmula sem carragena e lecitina"/>
        <s v="Elaboração apresentação com resultados dos testes de diluição, custo, propostas à Diretoria Técnica, Industrial e CEO"/>
        <s v="Apresentação à Gerência e ajustes no arquivo de apresentação Diretoria Técnica, Industrial e CEO )"/>
        <s v="Apresentação à Diretoria Técnica"/>
        <s v="Apresentação à Diretoria Industrial e CEO"/>
        <s v="Avaliação de Administração Gravitacional sem carragena e lecitina com Gerência P&amp;D"/>
        <s v="Avaliação de sabor e odor com alteração de aroma leite condensado com Gerência P&amp;D"/>
        <s v="Alinhamento status desenvolvimento do porjeto com Científico"/>
        <s v="Aplicação e avaliação de sabor e odor com aroma leite condensado Synergy"/>
        <s v="Criação de fórmulas chocolate e morango no software de desenvolvimento de produto"/>
        <s v="Avaliação de custo para definição de fórmula variando4 fonte fibras e mix de vitaminas e minerais"/>
        <s v="Desenvolvimento de novo produto - avaliação de viabilidade de matérias primas e desenho nutricional"/>
        <s v="Desenvolvimento de protocolo de estudo de pesquisa clínica"/>
        <s v="Alinhamento de desenvolvimento de pesquisa clínica"/>
        <s v="Alinhamento de desenvolvimento de estudo de caso com profissionais"/>
        <s v="Desenvolvimento de protocolo de estudo de pesquisa de aplicação"/>
        <s v="Prospecção de pesquisa sobre cicatrização"/>
        <s v="Estudo de caso com produto HDmax + DiamaxIG"/>
        <s v="Estudo de caso com produto Energyzip Senior"/>
        <s v="pesquisa básica nutriente HMO"/>
        <s v="pesquisa básica estudo Instanth Neo ASPEN"/>
        <s v="pesquisa básica estudo Instanth Neo"/>
        <s v="protocolo teste clínico tetra pack SF"/>
        <s v="pesquisa básica protocolo para pesquisa clínica"/>
        <s v="acompanhamento pesquisa clínica"/>
        <s v="pesquisa básica HMO"/>
        <s v="avaliação sensorial"/>
        <s v="pesquisa básica protocolo fosfatidilseria na nutrição enteral"/>
        <s v="pesquisa básica estudos de caso 2023"/>
        <s v="pesquisa básica respaldo biotina NHcF"/>
        <s v="pesquisa básica protocolo para pesquisa aplicada"/>
        <s v="análise formulação"/>
        <s v="pesquisa básica comunicação produto"/>
        <s v="pesquisa básica sobre biotina"/>
        <s v="Pesquisa básica formulação - albumina"/>
        <s v="Pesquisa básica formulação"/>
        <s v="pesquisa básica protocolo relato de caso - fibrose cística"/>
        <s v="pesquisa básica sobre protocolo pesquisa de aplicação"/>
        <s v="Pesquisa básica formulação - Medtrition"/>
        <s v="pesquisa clínica - discussão resultados parciais"/>
        <s v="pesquisa básica protocolo relato de caso - trophic infant"/>
        <s v="pesquisa básica protocolo para pesquisa clínica - pancreatite"/>
        <s v="Avaliação de resultados obtidos para T6A"/>
        <s v="Atualização de planilhas de acompanhamento de resultados"/>
        <s v="Elaboração de previsão estatística para comportamento do produto"/>
        <s v="Discussão sobre target nutricional do produto, para modificação da formulação"/>
        <s v="Conferência de NF de análise e transposte, e envio para pagamento"/>
        <s v="Contato com Mcassab para avaliação de atualizações na investigação sobre vitamina B1"/>
        <s v="Modificação de níveis de pré-mix na formulação, para atendimento ao target nutricional do produto"/>
        <s v="Avaliação de proposta comercial de análise para PL"/>
        <s v="Elaboração de solicitação de análise, considerando nova proposta comercial"/>
        <s v="Elaboração de IN para dieta NHcF"/>
        <s v="Elaboração de solicitação de análise para T9LD do Trophic Soya 1.5"/>
        <s v="Pesquisa bibliográfica para determinação de agente protetor da vitamina C"/>
        <s v="Apresentação dos resultados do EE da dieta NHcF para gerência"/>
        <s v="Apresentação dos resultados do EE da dieta NHcF para diretoria e avaliação das possibilidades de registro"/>
        <s v="Cálculo para determinação da quantidade adequada de ácido cítrico e ácido ascórbico na produto Trophic Soya 1.5 Fiber"/>
        <s v="Discussão técnica com gerência sobre possibilidades para novos testes"/>
        <s v="Contato com comprador para solicitação de amostras de ácido cítrico e citrato de sódio"/>
        <s v="Revisão de fórmulas para reformulação de pré-mix de vitaminas e envio de documentação para fornecedor."/>
        <s v="Avaliação das conclusões sobre investigação sobre Vitamina B1"/>
        <s v="Atualização de resultados de análise para T6LD das dietas HH e HN"/>
        <s v="Aceite de serviço de análise"/>
        <s v="Follow up de resultados em atraso."/>
        <s v="Conferência de NF de análise e questionamento ao laboratório devido à valores divergentes"/>
        <s v="Avaliação de metodologia de referência para determinação de macronutrientes x metodologia utilizada pela Prodiet"/>
        <s v="Envio de NF de análise para pagamento"/>
        <s v="Avaliação de resultados obtidos para teste DAUS"/>
        <s v="Organização de dados e início de elaboração de análise estatística para registro da dieta NHcF"/>
        <s v="Discussão técnica sobre possibildiades de alteração do aroma do produto."/>
        <s v="Conferência e envio de NF de análise para pagamento"/>
        <s v="Contato com laboratório para avaliação de diferentes métodos para determinação de Vitamina C"/>
        <s v="Avaliação de incertezas de análise reais para vitaminas, para elaboração de gráficos para relatório de EE"/>
        <s v="Discussão técnica com gerência sobre resultados obtidos"/>
        <s v="Avaliação de incertezas de análise reais para minerais, para elaboração de gráficos para relatório de EE"/>
        <s v="Envio de NF de cobrança para remessa de material necessário para início da pesquisa."/>
        <s v="Discussão com científico sobre IN da dieta NHcF"/>
        <s v="Avaliação de resultados de PL."/>
        <s v="Envio de NF de cobrança de remessa de amostras para análise"/>
        <s v="Elaboração de arquivo de ET para dieta NHcF"/>
        <s v="Revisão de declaração de composição de pré-mixes"/>
        <s v="Follouw up de documentação para desenvolvimento do pré-mix"/>
        <s v="Avaliação da inclusão de ácido cítrico em teste piloto"/>
        <s v="Inclusão de pré-mix no centric e simulações de formulação, com avaliação estatística."/>
        <s v="Follow up para previsão de recebimento de amostras de ácido cítrico e ácido ascórbico"/>
        <s v="Avaliação de EE recentes, para determinação de comportamento de vitaminas em produtos pó"/>
        <s v="Atualização de resutlados de macronutrientes para retort HH, HN e HNcF"/>
        <s v="Recebimento de resultados de T9LD para Trophic Soya 1.5 e atualização de planilha EEALD"/>
        <s v="Elaboração de templeta e especificação centric do ácido cítrico, para inclusão de ácido cítrico na formulação do retort UTI"/>
        <s v="Alteração de fórmula do retort UTI, para inclusão de ácido cítrico e elaboração de tendência de resultados."/>
        <s v="Avaliação dos resultados de PL para T6A das dietas HH, HN e HNcF"/>
        <s v="Avaliação do resutlado de PL para T9LD do Trophic Soya 1.5"/>
        <s v="Elaboração de gráficos para relatório de EE, como parte do dossiê de registro do produto NHcF"/>
        <s v="Levantamento de laudos de nutrientes pendentes para compor dossiê de registro do produto NHcF"/>
        <s v="Levantamento de laudos necessários para registro do produto NHcF"/>
        <s v="Levantamento de dados para elaboração de tendência de comportamento"/>
        <s v="Avaliação dos resultados de reanálise para PL de T6A e T6LD"/>
        <s v="Levantamento de dados para elaboração de tendência de comportamento, considerando novos estudos"/>
        <s v="Avaliação de FT de ácido ascórbico e solicitação de amostra"/>
        <s v="Recebimento de laudo de PL para T6A das dietas HH, HN e HNcF e atualização de planilha de análise"/>
        <s v="Recebimento de laudo de PL para T6A  e atualização de planilha de análise"/>
        <s v="Recebimento de laudo de PL para T9LD e atualização de planilha de análise"/>
        <s v="Envio de NF para pagamento"/>
        <s v="Pesquisa bibliográfica sobre barreiras proporcionadas por diferentes tipos de material de embalagem"/>
        <s v="Aceite de ordem de serivço para análise de PL e atualização de planilha de controle de análise"/>
        <s v="Encerramento da investigação sobre vitamina B1, com fornecedor Mcassab"/>
        <s v="Discussão técnica sobre condução de estudo de estabilidade pela Universidade de Erechim"/>
        <s v="Discussão técnica sobre resultados de perfil lipidico e impacto de amostras para pesquisa"/>
        <s v="Avaliação de documentação para pré-mix de vitaminas"/>
        <s v="Avaliação de possível fornecedor de vitamina B1 encapsulada"/>
        <s v="Contato com fornecedor sobre diluentes utilizados no pré-mix"/>
        <s v="Avaliação de tendência para elaboração de"/>
        <s v="Avaliação de ômega 6 em óleo de canola, para desenvolvimento de MP"/>
        <s v="Avaliação de tendência para elaboração para fórmula frutas amarelas"/>
        <s v="Avaliação de tendência para elaboração para fórmula frutas vermelhas"/>
        <s v="Avaliação de tendência para elaboração para fórmula guaraná"/>
        <s v="Avaliação de tendência para elaboração para fórmula abacaxi com hortelã"/>
        <s v="Folow up sobre status do desenvolvimento do pré-mix de vitamina"/>
        <s v="Avaliação de estrutras de material de embalagem e pesquisa bibliográfica"/>
        <s v="Avaliação de requisitos para início de estudo no produto Trophic Fiber"/>
        <s v="Elaboração de gráficos e avaliação estatística para relatório de EE, como parte do dossiê de registro do produto NHcF"/>
        <s v="Avaliação de ficha técnica de pré-mix e envio de solicitação de ajuste"/>
        <s v="Avaliação de laudos de fontes de nutrientes necessários para registro do produto NHcF"/>
        <s v="Revisão do material escrito até o momento para registro do produto NHcF"/>
        <s v="Discussão com a equipa sobre estratégia para teste piloto e revisão de cálculos para adição de vitamina C isolada"/>
        <s v="Avaliação dos resultados obtidos para T6A HH, HN e HNcF e atualização de planilhas"/>
        <s v="Avaliação de resultados de vitaminas, minerais e macronutrientes para dietas HNcF e HN e avaliação de possibilidade de EE reduzido"/>
        <s v="Avaliação de resultados em estudo de estabilidade tempo final (dieta NHcF)"/>
        <s v="Prospeção de copacker e embalagem"/>
        <s v="Avaliação de resultados em estudo de estabilidade e avaliação de ajustes em mix de vitaminas"/>
        <s v="Elaboração de check list para aprovação de novas matérias-primas"/>
        <s v="Simulações de produto e levantamento de investimento em plantas pilotos"/>
        <s v="Discutir estratégia de dossiê para relatório cientifio"/>
        <s v="Apresentar nova forma de compartilhar amnograma com a equipe via Centric"/>
        <s v="Discutir estratégia para evitar crise de falta de colina no mercado"/>
        <s v="Alinhamento semanal de projeto entre os departamentos"/>
        <s v="Benchmark de produto"/>
        <s v="Discussão de estratégia com cliente"/>
        <s v="Sensorial de teste de bancada"/>
        <s v="Apresentação de status para diretoria"/>
        <s v="Alinhamento de status do projeto com pesquisadora"/>
        <s v="Alinhamento para visita internacional à fornecedor"/>
        <s v="Apresentação de status de regulamentação de produto para diretoria"/>
        <s v="Alinhamento de status do projeto com pesquisador"/>
        <s v="Avaliação de amostras com fornecedor de aroma"/>
        <s v="Avaliação de resultados de teste piloto planta DAUS"/>
        <s v="Apresentação pela diretoria das etapas do projeto"/>
        <s v="Reunião mensal para atualização de status de projetos"/>
        <s v="Avaliação de dizeres de rotulagem e estrtégia de divulgação"/>
        <s v="Teste piloto - planta Doremus"/>
        <s v="Avaliação de sugestão de melhoria no fornecedor IFF"/>
        <s v="Reunião com fornecedor DSM para definir ajustes de premix"/>
        <s v="Treinamento com as pesquisadoras do projeto Preop da Universidade de Erechim/RS"/>
        <s v="Alinhamento com pesquisadora para próximos passos"/>
        <s v="Visita à BioEdTeck para prospecção de inovação"/>
        <s v="Apresentação de estratégias de marketing para definição de marcas"/>
        <s v="Apresentação de primeiros resultados com aplicação de SiO2"/>
        <s v="Start up Projeto DAUS Prodiet"/>
        <s v="Avaliação de ajustes de desenvolvimento"/>
        <s v="Avalaição de resultados obtidos em estudo de estabilidade"/>
        <s v="Avaliação de fórmulas teóricas para levar ao teste piloto Embrapa"/>
        <s v="Pesquisa de fornecedor de software de gestão de projetos"/>
        <s v="Treinamento com fornecedor Alibra para convenção interna"/>
        <s v="Reunião trimestral para atualização de status de projetos"/>
        <s v="Pesquisa de arquitetura de marcas Prodiet"/>
        <s v="Treinamento de mini curso"/>
        <s v="Apresentação de possiveis layouts para embalagem à vácuo"/>
        <s v="Avalaição de ajustes em formulação"/>
        <s v="Participação em gurpo de trabalho de Nutrição Infantil"/>
        <s v="Continuação de avalaição de ajustes em formulação"/>
        <s v="Como elaborar dossiê de estudo de estabilidade para solicitação de registro"/>
        <s v="Orientação para visitas à fábrica"/>
        <s v="Idealização de cronograma de liberação de artes"/>
        <s v="Sustenlac S.A. - Apresentação para definir declaração de porção"/>
        <s v="Participação em gurpo de trabalho de Rotulagem"/>
        <s v="Elaborar documento para grupo de trabalho de Nutrição Enteral"/>
        <s v="Avaliar documento elaborado por consultoria do grupo de trabalho de nutrição enteral"/>
        <s v="Orcamento com empresas especializadas em documentação MAPA"/>
        <s v="Apresentação prévia de resultados obtidos nos testes"/>
        <s v="Busca por solução quanto ao aminograma junto com fornecedor IFF"/>
        <s v="Apresentação de resultados obtidos nos testes"/>
        <s v="Alinhamento para produção em novo co-packer DAUS"/>
        <s v="Ajuste em formulação"/>
        <s v="Ajuste em especificação técnica para produção DAUS"/>
        <s v="Avaliar possibilidades para extensão de shelf life"/>
        <s v="Apresentação de possibilidades para extensão de shelf life"/>
        <s v="Avaliar resultados obtivos em estudo de estabilidade"/>
        <s v="Verificação novas MP's + contato fornecedores"/>
        <s v="Trâmites fiscais - direcional NF's"/>
        <s v="Avaliação novas MP's x fórmula"/>
        <s v="Planejamento instalação autoclave"/>
        <s v="Envio bobina para teste Erechim"/>
        <s v="Atualizações sistema"/>
        <s v="Alinhamento testes Latco - novos pouches / instalação equipamentos / melhorias envasadora"/>
        <s v="Planejamento teste Embrapa + contato Embrapa + avaliação melhorias fórmula UTI + alinhamento registro novo produto NHcF"/>
        <s v="Verificação e análise resultados perfil lipídico"/>
        <s v="Ajustes formulação UTI + Planejamento teste Embrapa + avaliação novo pouch teste autoclave (fabricação bandejas)"/>
        <s v="Elaboração especificações novas MP's + contato fornecedores"/>
        <s v="Elaboração especificações novas MP's"/>
        <s v="Levantamento testes repetidos"/>
        <s v="Planejamento teste Embrapa + avaliação resultados último teste"/>
        <s v="Planejamento teste Embrapa + avaliação resultados último teste + estudo nova formulação UTI"/>
        <s v="Estudo formulação proteínas líquidas"/>
        <s v="Estudo formulação proteínas líquidas + planejamento teste Embrapa + pesagem MP's teste Embrapa"/>
        <s v="Inserção novas especificações Centric + contato fornecedores"/>
        <s v="Definições teste Latco - instalação autoclave / envasadora + teste novos pouches"/>
        <s v="Realização análises FQ T6A - dietas HH / HN / HNcF"/>
        <s v="Atualização cronograma"/>
        <s v="Avaliação resultados análises FQ"/>
        <s v="Solicitação atualização simulador custos + planejamento teste Embrapa"/>
        <s v="Inserção novas especificações Centric + fórmula sorvete"/>
        <s v="Atualizações SP novo pouch"/>
        <s v="Envio PA para análise externa"/>
        <s v="Envio PA para análise externa + avaliação e alinhamento chegada novos equipamentos"/>
        <s v="Estudo nova formulação UTI"/>
        <s v="Contato fornecedores + avaliação fórmulação"/>
        <s v="Apresentação visita DSM - novas MP's"/>
        <s v="Verificação novos equipamentos"/>
        <s v="Vaidação documento embalagem para novo fornecedor"/>
        <s v="Pesquisa possíveis plantas piloto"/>
        <s v="Estudo nova formulação UTI + pesagem MP's"/>
        <s v="Estudo nova formulação UTI + elaboração fórmula"/>
        <s v="Avaliação resultados NHcF para registro"/>
        <s v="Exploração opções rotulagem / embalagem secundária"/>
        <s v="Estudo nova formulação UTI + ajustes fórmula"/>
        <s v="Exploração novos parceiros sorvete"/>
        <s v="Contato fornecedores novas MP's"/>
        <s v="Verificação MP's teste Embrapa + contato Embrapa"/>
        <s v="Realização análises FQ T6A"/>
        <s v="Contato fornecedores novas MP's + planejamento teste Embrapa + avaliação novo w-3"/>
        <s v="Consulta custo visita fornecedor embalagem inovadora + contato fornecedor"/>
        <s v="Pesagem MP's teste Embrapa + avaliação nova fórmula UTI + planejamento teste Embrapa"/>
        <s v="Exploração novo pouch + contato fornecedor"/>
        <s v="Pesquisa possíveis plantas piloto + consulta fornecedor gel proteína"/>
        <s v="Elaboração especificação novo pouch"/>
        <s v="Estudo proteínas líquidas"/>
        <s v="Trâmites logísticos deslocamento teste Embrapa"/>
        <s v="Planejamento teste Embrapa"/>
        <s v="Discussão técnica junto ao mkt"/>
        <s v="Contato fornecedor novas MP's"/>
        <s v="Contato fornecedor pouch - novas dimensões"/>
        <s v="Contato fornecedor pouch - exploração diferentes barreiras"/>
        <s v="Inserção tarefas teams"/>
        <s v="Planejamento teste Embrapa + contao fornecedores"/>
        <s v="Planejamento teste Embrapa + elaboração fórmula proteínas líquidas"/>
        <s v="Exploração novas opções w-3"/>
        <s v="Contato fornecedor pouch - exploração diferentes barreiras + estudo proteínas líquidas"/>
        <s v="Solicitação atualização simulador custos novas MP's"/>
        <s v="Alinhamento técnico status projeto"/>
        <s v="Envio pouches - confeccção bandejas autoclave"/>
        <s v="Contato fornecedores + planejamento teste Embrapa"/>
        <s v="Avaliação quantidade zinco fórmula"/>
        <s v="Curso embalagens flexíveis"/>
        <s v="Separação MP's teste Embrapa + contato fornecedores"/>
        <s v="Avaliação previsão forecast início vendas"/>
        <s v="Ensaio custos para desenvolvimento de produto"/>
        <s v="Check pesagens teste Embrapa + separação materiais teste Embrapa"/>
        <s v="Curso embalagens flexíveis + elaboração projeto bebidas esportivas"/>
        <s v="TB sorvete"/>
        <s v="Elaboração relatório sorvete"/>
        <s v="Envio produtos análise externa - T9LD"/>
        <s v="Deslocamento teste Embrapa"/>
        <s v="Teste piloto Embrapa - dieta UTI + proteínas líquidas"/>
        <s v="Retorno Curitiba - teste Embrapa"/>
        <s v="Avaliação resultados + elaboração relatório teste Embrapa"/>
        <s v="Relatório teste Embrapa"/>
        <s v="Coordenação retorno materiais teste Embrapa + trâmites ficais RDV"/>
        <s v="Desenvolvimento de ajustes sensoriais de cor"/>
        <s v="Preparo de amostras com ajustes sensoriais"/>
        <s v="BC - Energyzip pó"/>
        <s v="Envio de amostras para análise"/>
        <s v="Análises FQ - Trophic Soya com ajustes de pressão"/>
        <s v="Relatório de projeto"/>
        <s v="Relatório e encaminhamento de observações sobre testes tampa +selo"/>
        <s v="Ajustes sensoriais - testes de coloração e aroma"/>
        <s v="Envio de amostras T9 + Análises FQ e TAP"/>
        <s v="Apresentação, degustação e aprovação de fórmulas finais"/>
        <s v="Testes com novo Aroma de Morango e Troca de Carmim"/>
        <s v="Reunião com fornecedor para novos corantes"/>
        <s v="Aplicação de Bico - FASE 3"/>
        <s v="Reunião com fornecedor para novos ingredientes/MP's"/>
        <s v="Aplicação de Bico, variações de testes, avaliações comparativas - FASE 3"/>
        <s v="Reunião prospecção de Plantas Piloto - Mauá"/>
        <s v="Testes de vedação e administração do produto via Bomba de Infusão - FASE 3"/>
        <s v="Testes de administração via BI - FASE 3"/>
        <s v="Análises FQ após ajustes de pressão de homogeneização"/>
        <s v="Teste UHT de novo corante - Duas Rodas"/>
        <s v="Visita técnica a BioEdTech"/>
        <s v="Aplicação de selos de vedação - FASE 3"/>
        <s v="Atualização de relatório após aplicação de tampas"/>
        <s v="Alinhamento do projeto"/>
        <s v="Aplicação de ácido cítrico ou ascórbico em formulação"/>
        <s v="Reunião com fornecedor Logoplaste sobre embalagens plásticas"/>
        <s v="Aplicação de ácido cítrico em PA"/>
        <s v="Aplicação de bico FASE 3 em bag"/>
        <s v="Visita técnica a CAVAC - Ultrassom"/>
        <s v="Aplicação de ácido cítrico - avaliação de pH"/>
        <s v="Alinhamento de testes com a IFF"/>
        <s v="Alinhamento e agendamento de Testes Piloto"/>
        <s v="Aplicação de corantes diferentes em PA - Avaliação de estabilidade"/>
        <s v="Relatório de visita técnica - BioEdtech"/>
        <s v="Avaliação de custo em aplicação de corantes em PA"/>
        <s v="Testes de aplicação e repetibilidade -FASE1"/>
        <s v="Análise FQ com redução de pressão de homogeneização"/>
        <s v="BC Cicatrização"/>
        <s v="Reunião com IFF sobre testes e alterações de fórmula"/>
        <s v="Ajustes sensorias, troca de aroma e de corante"/>
        <s v="Ajustes sensoriais de aroma mascarante em dois sabores"/>
        <s v="BC Energyzip pó"/>
        <s v="Ajustes sensoriais, adição de sucralose"/>
        <s v="Avaliação de custos de aplicação de corantes e aromas"/>
        <s v="Relatório de alterações de pressão de homogeneização"/>
        <s v="Desenvolvimento de sabor morango"/>
        <s v="Avaliação de formulação de micronutrientes"/>
        <s v="Avaliação de troca de aroma de leite condensado"/>
        <s v="Avaliação de vedação de tampas - FASE 1"/>
        <s v="Pesquisa básica - Levantamento científico sobre novo ingrediente"/>
        <s v="Pesquisa básica - Discussão sobre o levantamento científico sobre novo ingrediente"/>
        <s v="Pesquisa básica - Discussão em equipe sobre o projeto e novas evidências científicas"/>
        <s v="Pesquisa Clínica - Contextualização e apresentação sobre o projeto"/>
        <s v="Análise sensorial do produto"/>
        <s v="Pesquisa Clínica - Levantamento de profissionais para prospecção de relatos de casos e pesquisa"/>
        <s v="Pesquisa Clínica - Prospecção para relato de caso"/>
        <s v="Pesquisa Clínica - Discussão sobre lista de profissionais prospectados e resultados do levantamento de estudos sobre o tema"/>
        <s v="Pesquisa Clínica - Discussão sobre delineamento do estudo"/>
        <s v="Pesquisa clínica - Conversa preliminar para prospecção para relato de caso ou pesquisa clínica"/>
        <s v="Pesquisa básica - Apresentação de resultados de busca sobre pancreatite crônica"/>
        <s v="Pesquisa básica - Busca e leitura de artigos sobre pancreatite crônica - elaboração de síntese dos achados"/>
        <s v="Pesquisa básica - Discussão de cronograma e elaboração de projeto de pesquisa"/>
        <s v="Pesquisa clínica- Visita ao Hospital Pequeno Príncipe para prospecção de relatos de caso"/>
        <s v="Pesquisa básica - Discussão de metodologia para elaboração de protocolo de pesquisa"/>
        <s v="Pesquisa básica - Busca e leitura de artigos sobre desenhos de estudo e consumo alimentar - elaboração de síntese dos achados"/>
        <s v="Pesquisa básica - Definição de proposta de protocolo para pesquisadora"/>
        <s v="Pesquisa básica - Levantamento de referências para elaboração de respaldo - NHcF"/>
        <s v="Pesquisa básica - Elaboração de respaldo - NHcF"/>
        <s v="Pesquisa básica - Revisão e edição de respaldo - NHcF"/>
        <s v="Pesquisa básica - Conferência de receita no Centric - Incio"/>
        <s v="Pesquisa básica - Alinhamento e revisão do Respaldo - NHcF"/>
        <s v="Pesquisa básica - Conferência de receita - Alinhamento e revisão"/>
        <s v="Pesquisa clínica - Elaboração de projeto de pesquisa"/>
        <s v="Pesquisa Clínica - Revisão, edição e alinhamento do projeto com a equipe interna"/>
        <s v="Pesquisa Clínica - Prospecção para ensaio clínico, relato de caso ou série de casos"/>
        <s v="Pesquisa Clínica - Revisão, edição e alinhamento do projeto para submissão ao comitê de ética"/>
        <s v="Pesquisa Clínica - Alinhamento para relato de caso"/>
        <s v="Pesquisa Clínica - Alinhamento sobre densidade calórica da fórmula - Peptimax"/>
        <s v="Pesquisa básica - Levantamento sobre hidrólise de proteína e aplicações clínicas"/>
        <s v="Pesquisa Clínica - Revisão de projeto de pesquisa"/>
        <s v="Pesquisa Clínica - Prospecção para ensaio clínico, relato de caso ou série de casos - UFPA"/>
        <s v="Pesquisa básica - Alinhamento sobre módulos proteicos"/>
        <s v="Pesquisa básica - Atualização de planilha de estimativa de consumo de nutrientes em diferentes faixas etárias"/>
        <s v="Pesquisa Clínica - Alinhamento para divulgação de relato de caso"/>
        <s v="Pesquisa básica - Alinhamento para atualização de planilha de estimativa de consumo de nutrientes em diferentes faixas etárias"/>
        <s v="Pesquisa Clínica - Elaboração de material para divulgação de relato de caso"/>
        <s v="Desenvolvimento - Teste de dispositivo em conjunto com P&amp;DI"/>
        <s v="Pesquisa Clínica - Alinhamento para protocolo de estudo"/>
        <s v="Pesquisa básica - Levantamento de desfechos de estudos com dietas oligoméricas"/>
        <s v="Desenvolvimento - Discussão sobre o cronogramas e etapas do projeto"/>
        <s v="Pesquisa básica - Discussão sobre o levantamento de desfechos de estudos com dietas oligoméricas"/>
        <s v="Pesquisa Clínica - Alinhamento sobre parceria com pesquisador"/>
        <s v="Pesquisa básica - Elaboração de apresentação sobre levantamento sobre hidrólise de proteína e aplicações clínicas"/>
        <s v="Pesquisa Clínica - Divulgação e discussão de resultados de projeto de pesquisa"/>
        <s v="Desenvolvimeto - Alinhamento pré round: novos itens no produto"/>
        <s v="Pesquisa Clínica - Alinhamento para série de casos"/>
        <s v="Desenvolvimeto - Round: novos itens no produto"/>
        <s v="Alinhamento de atividades para primeira compra"/>
        <s v="Alinhamentos de parceria"/>
        <s v="Definição de Marca para produto"/>
        <s v="Alinhamento dos dados de BC"/>
        <s v="Alinhamento modulo whey criança"/>
        <s v="Alinhamento final de produto"/>
        <s v="Definindo as linhas de embalagens e layout"/>
        <s v="Round cientifico"/>
        <s v="Alinhamento de custo"/>
        <s v="Direcionais da pesquisa"/>
        <s v="Avaliação de BC"/>
        <s v="Apresentação do BC"/>
        <s v="Apresentação e alinhamento do produto"/>
        <s v="Reestudo de ingredientes"/>
        <s v="Alinhamentos para teste industrial"/>
        <s v="Alinhamento para pesquisa/serie de casos"/>
        <s v="Análise sensorial"/>
        <s v="Pesquisa básica - Revisão de literatura sobre de desfechos de estudos"/>
        <s v="Pesquisa Clínica - Revisão de literatura sobre ferramentas de avaliação de desfechos clínicos"/>
        <s v="Pesquisa básica para desenvolvimento de resumo cientifico para congresso"/>
        <s v="Prospecção de centro para realização de Relato de caso e definição de protocolo"/>
        <s v="Pesquisa básica para desenvolvimento de protocolo de teste de produto"/>
        <s v="Pesquisa básica para desenvolvimento de protocolo de pesquisa clinica"/>
        <s v="Pesquisa Clínica - Análise de resultados obtidos com o uso do produto em população específica"/>
        <s v="Pesquisa básica relacionada à viabilidade de uso do produto"/>
        <s v="congresso Ganepão - atualizações paciente UTI, Pesquisa clínica e estudos de casos"/>
        <s v="Pesquisa básica de MP junto ao fornecedor"/>
        <s v="Testes sensoriais / Testes de degustação para substituição aroma leite condensado"/>
        <s v="Teste de aplicação de Dióxido de Silício em diferentes dosagens, avaliação de aspeco, degustação, passagem pela sonda"/>
        <s v="Teste de aplicação fornecedor alternativo de citrato de colina, para avaliação de aspecto, degustação"/>
        <s v="Elaboração do relatório com resultados da aplicação de citrato de colina alternativo"/>
        <s v="Alinhamento técnico"/>
        <s v="Teste para avaliação de nova matéria prima"/>
        <s v="Teste para avaliação passagem de produto pela sonda com 4,5% dióxido de silício"/>
        <s v="Testes sensoriais / Testes de degustação aplicação aroma chocolate Duas Rodas"/>
        <s v="Testes sensoriais / Testes de degustação aplicação aroma chocolate Doremus"/>
        <s v="Teste para avaliação de novo fornecedor de dosador"/>
        <s v="Desenvolvimento de relatório de avaliação de nova matéria prima"/>
        <s v="Testes sensoriais / Testes de degustação sabor neutro"/>
        <s v="Teste para avaliação do método de diluição para dose 30g"/>
        <s v="Testes sensoriais / Testes de degustação substituição aroma leite condensado pelo fornecedor Sinergy"/>
        <s v="Alinhamento sobre estoque de mix"/>
        <s v="Relatório de teste para avaliação de novo fornecedor de dosador"/>
        <s v="Alinhamento P&amp;D"/>
        <s v="Testes sensoriais / Testes de degustação reformulação aroma leite condensado"/>
        <s v="Aplicação e preparo de amostras para envio degustação gerência"/>
        <s v="Elaboração relatório teste industrial de matéria prima alternativa"/>
        <s v="Visita técnica UFPR para análises de reometria para estudo de fluidez de pós"/>
        <s v="Testes sensoriais / Testes de degustação aroma leite condensado Doremus"/>
        <s v="Testes sensoriais / Testes de degustação aroma chocolate Halal Duas Rodas"/>
        <s v="Testes sensoriais / Testes de degustação aroma chocolate  e belga Takasago"/>
        <s v="Apresentação curso de embalagens"/>
        <s v="Apresentação ASPEN"/>
        <s v="Feedback para fornecedor sobre testes de aplicação aroma reformulado"/>
        <s v="Testes sensoriais / degustação para avaliação de dose de aplicação aroma reformulado"/>
        <s v="Testes sensoriais/degustação para avaliação embalagem de fornecedor alternativo"/>
        <s v="Preenchimento controle de mudança"/>
        <s v="Elaboração apresentação para treinamento colaboradores fábrica sobre desenvolvimento de produto"/>
        <s v="Treinamento para uso software Monday"/>
        <s v="Discussão de ideias para elaboração treinamento sobre P&amp;D"/>
        <s v="Teste para avaliação de nova matéria prima SiO2/fornecedor Nicrom"/>
        <s v="Teste para avaliação de nova matéria prima SiO2/fornecedor Vogler"/>
        <s v="Teste sensorial/degustação aplicação aromas chocolates diluição em leite"/>
        <s v="Aplicação de cálculo para levantamento do PA"/>
        <s v="Elaboração de estudo de protocolo"/>
        <s v="Apresentação protótipos Vitafoods"/>
        <s v="Teste piloto de envase"/>
        <s v="Teste industrial avaliação matéria prima alternativa"/>
        <s v="Estudo de ajuste de formulação"/>
        <s v="Pesquisa por novas matérimas primas em conjunto com fornecedor"/>
        <s v="Desenvolvimento relatório de teste industrial avaliação matéria prima alternativa"/>
        <s v="Aplicação de cálculo para levantamento do PA Soya"/>
        <s v="Teste sensorial/degustação com aplicação de nova matéria prima PIS - Shandong Wonderful (Nicrom)"/>
        <s v="Teste de degustação e avaliação de solubilidade"/>
        <s v="Aplicação e preparo de amostras com aroma reformulado para envio gerência"/>
        <s v="Relatório aplicação de nova matéria prima PIS - Shandong Wonderful (Nicrom)"/>
        <s v="Aplicação de cálculo para levantamento do PA com aroma reformulado"/>
        <s v="Desenvolvimento de composição/formulação teórica com diferentes fontes proteicas"/>
        <s v="Apresentação para Científico da pesquisa de composição teórica"/>
        <s v="Teste de solubilidade Beterraba e Cenoura Temperart"/>
        <s v="Teste de passagem de produto pela sonda"/>
        <s v="Aplicação de cálculo para levantamento do PA Soya Fiber"/>
        <s v="Pesquisa básica de MP junto ao fornecedor aplicação de substituto de cacau"/>
        <s v="Apuração de matérias primas para teste piloto"/>
        <s v="Teste de degustação, solubilidade, aspecto de aplicação matéria prima alternativa CasCa CC 909 Armor"/>
        <s v="Teste para avaliação de solubilidade + sensorial + passagem pela sonda - Soya Fiber"/>
        <s v="Relatório teste de degustação, solubilidade, aspecto de aplicação matéria prima alternativa CasCa CC 909 Armor"/>
        <s v="Aplicação de cálculo para levantamento do PA com aroma reformulado após negociação de custo"/>
        <s v="Apuração de matérias primas e quantidade para teste piloto"/>
        <s v="Teste de degustação solubilidade + sensorial + passagem sonda + colher medida + osmolalidade - Soya Fiber redução xantana"/>
        <s v="Preparo de amostra aplicação aroma chocolate para apresentação gerência"/>
        <s v="Workshop ESG e apresentação/degustação aplicações novos ingredientes DSM"/>
        <s v="Teste de desgustação com a gerência"/>
        <s v="Elaboração apresentação para alinhamento técnico"/>
        <s v="Teste de degustação proposta fornecedor reformulação para redução de custo"/>
        <s v="protocolo estudos de caso"/>
        <s v="pesquisa básica - treinamento"/>
        <s v="Informação nutricional Diamax IG RTH"/>
        <s v="congresso ASPEN - atualizações paciente UTI e fórmula artesanal"/>
        <s v="pesquisa básica protocolo de relato de caso"/>
        <s v="discussão resultados parciais"/>
        <s v="Pesquisa básica formulação - presencial Naturaltech"/>
        <s v="Aula final do curso de embalagens flexíveis e apresentação de projeto de final de curso"/>
        <s v="Seleção de análises para análise de T12 LD"/>
        <s v="Avaliação de resultados obtidos versus esperado, considerando fórmula Centric para definição de necessidade de reformulação"/>
        <s v="Avaliação se resultados obtidos atendem o target nutricional para o produto"/>
        <s v="Elaboraçã de informação nutricional do produto Diamax IG RTH, de acordo com resultados analíticos do estudo 22_10"/>
        <s v="Levantamento bilbiográfico para entendimento do comportamento de diferentes proteínas ao tratamento térmico"/>
        <s v="Pesquisa sobre laboratórios acreditados para realização de análises nos produtos retort"/>
        <s v="Avaliação de amostras do retort UTI obtidas em teste EMBRAPA e seleção de critérios de análise para avaliação do impacto na concentração de vitaminas, considerando tempo de espera para esterelização"/>
        <s v="Conferência de NF de cobrança e envio para análise"/>
        <s v="Avaliação da concentração de lactose no produto, consideranto aumento de 1% para 2% na matéria-prima WPI"/>
        <s v="Avaliação análise disponíveis para determinação do impacto na concentração de vitaminas, considerando tempo de espera para esterelização"/>
        <s v="Determinação do atendimento ao target nutricional para nova IN produto Diamax IG RTH"/>
        <s v="Aplicação de critérios de aceitação de método de análises propostos pelos laboratórios Measurlabs e SGS são adequados aos produtos retort"/>
        <s v="Elaboração de ET para Diamax IG RTH, conforme estudo 22_10"/>
        <s v="Aplicação de critérios de aceitação junto ao fornecedor para avaliação de adequabilidade de diluentes presentes no pré mix"/>
        <s v="Aplicação de testes de previsão  para avaliação do atendimento ao target nutricional"/>
        <s v="Avaliação da adequabilidade de parâmetros de análise, para produtos Prodiet, propostos pelo laboratório SGS"/>
        <s v="Seleção de análises para avaliação das amostras obtidas no teste Embrapa"/>
        <s v="Seleção de análises para avaliação da composição de amostra de bancada"/>
        <s v="Avaliação da adequabilidade de parâmetros de análise, para produtos Prodiet, propostos pelo laboratório Measurlabs"/>
        <s v="Cálculo de composição de pré-mistura de vitaminas, considerando diluição de matérias-primas"/>
        <s v="Alteração de formulação, de modo a atender limites regulatório para ômega 6 e ômega 3"/>
        <s v="Avaliação de metodologia proposta por laboratório externo, para análise de esterelidade comercial"/>
        <s v="Elaboração de relatório para compravação de similaridade de fórmulas do produto Diamax IG RTH"/>
        <s v="Pesquisa científica para estabelecer níveis de segurança de uso para o aditivo carragena"/>
        <s v="Aplicação de critérios de aceitação para laudos de vitaminas e minerais, para compor dossiê de registro do produto Diamax IG RTH."/>
        <s v="Aplicação de critérios de aceitação para pré-mix, para aplicação no produto acabado"/>
        <s v="Conferência de NF de serviço de transporte, de análise e envio para pagamento."/>
        <s v="Elaboraão de relatório para compravação de similaridade de fórmulas do produto Diamax IG RTH"/>
        <s v="Pesquisa para defenição de metodologia padrão para análise de vitaminas e minierais, em conjunto com laboratório MesaruLabs"/>
        <s v="Avaliação do comportamento do pré mix de vitaminas em teste de bancada."/>
        <s v="Pesquisa para defenição de metodologia padrão para análise de macronutrientes e minierais, em conjunto com laboratório Eurofins"/>
        <s v="Conferência de nota fiscal de cobrança de análise e questionamento sobre cobrança duplicada."/>
        <s v="Seleção de análises para avaliação da composição do produto após 12 meses de estudo de estabildiade"/>
        <s v="Elaboração de relatório que descreve o comportamento do produto em administraçao via sonda"/>
        <s v="Avaliação de resultados analíticos de vitaminas obtidos na amostra do teste realizado em março/2023"/>
        <s v="Pesquisa para avaliação da possibilidade de aumento do prazo de validade da pré mistura de gluconato de zinco"/>
        <s v="Pesquisa para defenição de metodologia padrão para análise de gorduras que será realizada pleo copacker"/>
        <s v="Avaliação de troca de metoldogia para análise de Vitamina A nos produtos Diamax IG RTH e Trophic Soya RTH, realizada pelo laboratório Eurofins"/>
        <s v="Teste piloto para avaliação do produto obtido com adição de agentes protetores de vitamina C"/>
        <s v="Seleção de análises para avaliação da composição do produto após realização de teste piloto"/>
        <s v="Aplicação e preparo de amostras para envio para análise, após teste piloto"/>
        <s v="Estudo para entendimento do controle de mudança relacionado ao produto"/>
        <s v="Desenvolvimento de tópicos relevantes para equipe de P&amp;D"/>
        <s v="Estudo, junto com laboratório Eurofins para definição de parâmetros analíticos para análise de amostra de teste industrial"/>
        <s v="Pesquisa para definição de laboratório com conhecimento para análise de gorduras totais por método butirímetro"/>
        <s v="Estudo de qual a maneira correta de reportar resultados de ácido fólico, considerando a quantificação de folato na amostra"/>
        <s v="Avaliação de resultados analíticos obtidos no período de 9 meses do estudo de estabilidade das dietas HH, HN e HNcF"/>
        <s v="Avaliação de resultados analíticos obtidos no período de 6 meses do estudo de estabilidade das dietas Diamax IG RTH e Trophic Soya RTH"/>
        <s v="Avaliação de resultados analíticos obtidos na amostra de teste de bancada"/>
        <s v="Pesquisa para determinação da temperatura ideal para emulsão da fase gordurasa do produto"/>
        <s v="Pesquisa para correta aplicação do fator de conversão folato : ácido fólico, considerado parâmetros analíticos reportados em laudo."/>
        <s v="Avaliação de resultados analíticos de perfil lipidico, obtidos para dieta UTI"/>
        <s v="Aplicação de critérios de seleção, para determinação de sabor do produto para teste piloto."/>
        <s v="Aplicação de testes para determinação do cálculo correto dos parâmetros ácido fólico e folato, em resutados analíticos"/>
        <s v="Avaliação de resultados de esterelidade comercial"/>
        <s v="Pesquisa sobre incerteza de metodologia analítica, para determinação de vitaminas e minerais"/>
        <s v="Avaliação de resultados de vitaminas marcadoras para estudo de estabilidade no período de 6 meses para dieta UTI"/>
        <s v="Avaliação de resultados de vitaminas, minerais e macronutrientes para estudo de estabilidade no período de 12 meses"/>
        <s v="Aplicação de critérios de aceitação sobre material de embalagem, para tomada de decisão sobre seguir com análise de vitamina c"/>
        <s v="Avaliação do controle de mudança para produto e aceite das ações necessárias"/>
        <s v="Avaliação de resultados analíticos, para validação de pré-mix alternativo"/>
        <s v="Avaliação de resultado analíticos obtidos em 12 meses de estudo de estabilidade"/>
        <s v="Conforência de NF e envio para pagamento"/>
        <s v="Avaliação de resultados de vitamina C em amostra obtida em teste piloto"/>
        <s v="Aplicação de critérios de aceitação em documentação de aroma"/>
        <s v="Atualização de planilhas de resultados, para dieta retort UTI"/>
        <s v="Elaboração de documentos necessários para condução de teste piloto para produto Trophic Soya 1.5 Fiber"/>
        <s v="Elaboração de Especificação técnica para produto Protein PT Liquid"/>
        <s v="Elaboração de estudo para desenvolvimento do produto."/>
        <s v="Aplicação de critérios de aceitação para seleção de testes necessários para iníciode fabricação em copacker"/>
        <s v="Condução de estudo para avaliação dos resultados obtidos com pré mistura de vitaminas e minerais alternativo"/>
        <s v="Seleção de matérias primas necessárias para teste piloto do produto Trophic Soya 1.5 Fiber e viabilização da pesagem das mesmas"/>
        <s v="Seleção de produtos que retort que serão enviados para análise de estudo de estabilidade."/>
        <s v="Avaliação de resultados analiticos de perfil lipidico para Trophic Soya 1.5"/>
        <s v="Atualização de planilhas de resultados, para 12 meses de estudo de estabilidade"/>
        <s v="Aplicação de critérios de aceitação para determinação de metodologia analítica adequada para o produto e levantamento do número de amostras necessárias para estudo de estabilidade"/>
        <s v="Levantamento bibliográfico para elaboração de artigo"/>
        <s v="Levantamento de requisitos microbiológicos necessários para avaliação da qualidade microbiológica do produto Protein PT Liquid"/>
        <s v="Aplicação de estudo para determinação de pontos necessários para artigo científico"/>
        <s v="Elaboração de racional para similaridade de fórmulas, para condução de estudo de estabilidade reduzido"/>
        <s v="Elaboração da especificação técnica do produto em inglês e avaliação da unidade correta para report da análise de salmonela."/>
        <s v="Aplicação de estudo para determinação de adequabilidade de pré-mix de vitaminas"/>
        <s v="Avaliação, junto com responsável de planta piloto, sobre atendimento de requisitos necessários para realização de teste de formulação."/>
        <s v="Pesquisa bibliográfica sobre perfil nutricional da proteína isolada da soja"/>
        <s v="Pesquisa para determinação de wort case de embalagem, para manutenção das características dos produtos"/>
        <s v="Conferência de NF e envio para pagamento"/>
        <s v="Aplicação de critérios de aceitação em laudo de aminograma"/>
        <s v="Início de homologação de pré-mix"/>
        <s v="Aplicação de critérios de aceitação em documentação de pré-mix de vitaminas"/>
        <s v="Treinamento de novo colaborador na formulação do produto Diamax IN"/>
        <s v="Levantamento de metodologia analítica para análise de vitamina B1 em aroma em pó"/>
        <s v="Aplicação de critério de aceitação em teste de partículas queimadas"/>
        <s v="Realização de teste em escala piloto, para o produto Trophic Soya 1.5 Fiber"/>
        <s v="Avaliação de aceitação do sensorial do produto em congresso de nutrição"/>
        <s v="Seleção de análises para avaliação do produto obtido em teste piloto"/>
        <s v="Avaliação do atendimento do pré-mix target infantil ao produto Peptimax Júnior"/>
        <s v="Desenvolvimento de formulação para avaliação da concentração de Ômega 3 e DHA no produto Peptimax Júnior"/>
        <s v="Avaliação de ações necessárias para continuidade dos testes de desenvolvimento do produto"/>
        <s v="Aplicação de análise de risco para cadastro e compra de pré-mix de vitaminas reformulado."/>
        <s v="Elaboração de estratégia para definição da informação nutricional dos sabores baunilha e chocolate."/>
        <s v="Avaliação de resultados analíticos obtidos em teste piloto do produto"/>
        <s v="Elaboração de tendência de resultados para determinaçao de IN provisória"/>
        <s v="Aplicação de teste sensorial no produto"/>
        <s v="Elaboração de especificação técnica do produto"/>
        <s v="Deslocamento para início de produção em copacker DAUS"/>
        <s v="Primeira produção em copacker DAUS"/>
        <s v="Deslocamento após primeira produção em copacker DAUS"/>
        <s v="Avaliação de resultados de lactose obtidos em laboratório"/>
        <s v="Revisão da informação nutricional do produto"/>
        <s v="Avaliação das primeiras propostas para determinação da composição do produto"/>
        <s v="Avaliação dos resultados laboratorias para vitaminas obtidos em teste piloto"/>
        <s v="Elaboração de comparativo entre os resultados dos últimos 3 testes piloto do produto Trophic Soya 1.5 Fiber, para estabelecer influência do pH dos resultados"/>
        <s v="Aplicação de critérios de seleção, para qualificação de fornecedor de aroma para o produto"/>
        <s v="Avaliação da concentração de iodo no produto Trophic Soya 1.5, quando utilizado pré mix com concentração de 0,895 mcg/100g"/>
        <s v="Aumento na quantidade de prémix utilizado na formulação e avaliação do atendimento ao target nutricional do produto"/>
        <s v="Avaliação da estrutura da etiqueta de nacionalização do produto Prosource"/>
        <s v="Aplicação de testes sensoriais para avaliação de novas propostas de aroma para o produto."/>
        <s v="Aplicação de critérios de arredondamento para apresentação dos resultados obtidos no estudo de estabilidade com duraçãod e 12 meses para produto HH"/>
        <s v="Aplicação de critérios de aceitação para cadastro do rótulo do produto licenciado"/>
        <s v="Pesquisa em literatura sobre análise de cistina e cisteína para avaliação de resultados analíticos"/>
        <s v="Apontamento de características do produto, para que o pedido de compra de Prosource possa ser emitida"/>
        <s v="Avaliação de resultados obtidos para produto obtido no teste DAUS e elaboração de comparativo para determinalção de decaimento."/>
        <s v="Aplicação de pré-mix de minerais em formulação teórica, para atendimento do target nutricional do produto."/>
        <s v="Curso embalagens flexíveis + apresentação projeto"/>
        <s v="Validação nova envasadora Embrapa"/>
        <s v="Elaboração Business Case sorvete"/>
        <s v="Pesquisa para criação novo projeto"/>
        <s v="Validação lotes de MP teste Embrapa"/>
        <s v="Estudo novos ativos para implantação na fábrica"/>
        <s v="Triagem amostras teste piloto + avaliação formulação UTI + análise pH amostra UTI"/>
        <s v="Pesquisa básica de nova MP junto a fornecedores"/>
        <s v="Atualização relatório teste Embrapa com resultados das amostras (avaliação resultados análises realizadas)"/>
        <s v="Testes para avaliação de nova MP"/>
        <s v="Testes aplicados para novo pouch"/>
        <s v="Desenvolvimento de estratégias para a implantação da nova linha de produção"/>
        <s v="Definição de estratégias para testes de avaliação do novo pouch junto a fornecedor"/>
        <s v="Aplicação de cálculo de custos para levantamento de produto"/>
        <s v="Avaliação contrato de prestação de serviços Embrapa + trâmites internos"/>
        <s v="Envio de amostras para análise externa"/>
        <s v="Validação de resultados do teste Embrapa +  envio amostras pouch para análise pelo fornecedor"/>
        <s v="Envio de amostras para análise externa + testes aplicados para novo pouch"/>
        <s v="Trâmites fiscais RDV teste Embrapa"/>
        <s v="Avaliação sistema fechamento pouch"/>
        <s v="Pesquisa básica percentual perdas para fabricação do produto"/>
        <s v="Levantamento das etapas do projeto para aplicação prática"/>
        <s v="Acompanhamento e validação novo copacker + aplicação testes novo pouch"/>
        <s v="Solicitação homologação novas MPs"/>
        <s v="Planejamento teste novo pouch"/>
        <s v="Estudo novo display-caixa"/>
        <s v="Alinhamento técnico sistema fechamento do pouch + avaliação consumo novas MP's"/>
        <s v="Consolidação dos testes - Latco"/>
        <s v="Pesquisa básica novos ativos para implantação da nova linha de produção"/>
        <s v="Alinhamento técnico no Centro de Pesquisas em Reologia e Fluidos Não-Newtonianos (CRNN - UTFPR)"/>
        <s v="Testes aplicados para novo pouch + avaliação custos para novo Estudo de Estabilidade"/>
        <s v="Pesquisa básica de nova MP junto a fornecedores + Pesquisa básica resultados aminograma e vitaminas para registro nova fórmula"/>
        <s v="Elaboração Business Case rev.2 - avaliação novos ativos"/>
        <s v="Estudo nova caixa-display"/>
        <s v="Avaliação estrutura fórmula - novo aroma"/>
        <s v="Testes aplicados para novo pouch + alinhamento técnico estratégias nova fórmula NHcF"/>
        <s v="Trâmites fiscais RDV teste IFF"/>
        <s v="Pesquisa básica de nova MP junto a fornecedores + avaliação nova fórmula redução açúcar Trophic Infant"/>
        <s v="Elaboração Business Case rev.2 - avaliação novos ativos + gastos mkt"/>
        <s v="Avaliação resultados análises realizadas + atualização relatório"/>
        <s v="Teste de bancada com pouch para validação régua de administração"/>
        <s v="Estudo concorrentes - ingredientes formulação Prodiet"/>
        <s v="Elaboração Business Case rev.2 - gastos mkt + forecast Comercial"/>
        <s v="Trâmites fiscais - contrato Embrapa"/>
        <s v="Apresentação Business Case sorvete"/>
        <s v="Atualização Business Case sorvete (pesquisa custo) + Atualização relatório com resultados análises externas"/>
        <s v="Teste de bancada com novo premixes vit/min padrão pediátrico"/>
        <s v="Simulação de custos"/>
        <s v="Elaboração relatório novos premixes vit/min padrão pediátrico"/>
        <s v="Consolidação informações Business Case"/>
        <s v="Elaboração relatório teste validação régua adminstração"/>
        <s v="Atualização relatório teste validação régua adminstração + alinhamento técnico arte final"/>
        <s v="Atualização relatório sorvete"/>
        <s v="Elaboração treinamento para Produção"/>
        <s v="Teste de bancada nova PIS e novo OC"/>
        <s v="Estudo prováveis gastos para testes industriais Latco"/>
        <s v="Elaboração relatório nova PIS"/>
        <s v="Apresentação Kick-off novo projeto"/>
        <s v="Estudo pouch Prodiet + elaboração spec Prodiet"/>
        <s v="Estudo proteínas x interações"/>
        <s v="Estudo pouch Prodiet + elaboração spec Prodiet + avaliação arte final - régua administração"/>
        <s v="Teste de bancada com sachê para amostra"/>
        <s v="Compartilhamento resultado TB sachê para amostra"/>
        <s v="Testes aplicados + melhorias próximo teste piloto"/>
        <s v="Pesquisa junto a fornecedor para avaliação nova fórmula - redução açúcar Trophic Infant"/>
        <s v="Estudo planejamento testes de bancada"/>
        <s v="Estudo novo adaptador de garrafa"/>
        <s v="Alinhamento técnico envio amostras análise externa - Estudo de Estabilidade"/>
        <s v="Solicitação códigos para imput formulações"/>
        <s v="Pesquisa junto a fornecedor para nova PIS"/>
        <s v="Atualização relatório - novo adaptador de garrafa"/>
        <s v="Validação instruções de preparo novo copacker"/>
        <s v="Pesquisa junto a fornecedor - novas MP's"/>
        <s v="Verificação cadastros Immax 52g"/>
        <s v="Testes aplicados novo adaptador garrafa de água"/>
        <s v="Atualização spec pouch - inclusão bico Enplus"/>
        <s v="Testes de bancada novo CasCa e OC"/>
        <s v="Conferência pesagens MP's para teste Tetra Pak"/>
        <s v="Elaboração relatório novo OC"/>
        <s v="Trâmites fiscais - constrato Embrapa"/>
        <s v="Atualização spec pouch - FT fornecedor com medidas Prodiet"/>
        <s v="Trâmites fiscais - teste Tetra Pak"/>
        <s v="Pesquisa junto a fornecedor - estabilidade proteínas"/>
        <s v="Testes aplicados nova PIS - planejamento TP/TI"/>
        <s v="Elaboração relatório novo CasCa"/>
        <s v="Estudo novo TCM"/>
        <s v="Avaliação testes aplicados novo OC"/>
        <s v="Innovation Day junto a fornecedor"/>
        <s v="Atualização Business Case - preenchimento pelas demais áreas"/>
        <s v="Validação resultados 1o semestre para apresentar à área"/>
        <s v="Discussão técnica e alinhamento - resultados 1o semestre"/>
        <s v="Trâmites fiscais contrato Embrapa"/>
        <s v="Avaliação FT pouch e atualização spec Prodiet"/>
        <s v="Alinhamento técnico próximos passos formulação NHcF"/>
        <s v="Apresentação Ganepão 2023"/>
        <s v="Consolidação dos testes e planejamento TI - Latco"/>
        <s v="Pesquisa básica - elaboração de relatório com síntese de resultados/evidências para elaboração de novo produto"/>
        <s v="Pesquisa clínica - elaboração de projeto de pesquisa clínica"/>
        <s v="Pesquisa básica - elaboração de projeto para novo produto (briefing, levantamento de editais, cronograma)"/>
        <s v="Pesquisa clínica - elaboração de material para divulgação de resultados  em evento científico"/>
        <s v="Pesquisa clínica - elaboração de material para divulgação de resultados  em evento científico em conjunto com o pesquisador parceiro"/>
        <s v="Pesquisa básica - Revisão de projeto para novo produto (briefing, levantamento de editais, cronograma) em conjunto com diretoria técnica"/>
        <s v="Pesquisa clínica - elaboração e revisão de material para divulgação de resultados  em evento científico, em conjunto com o pesquisador parceiro"/>
        <s v="Pesquisa clínica - Revisão de material para divulgação de resultados  em evento científico, em conjunto com o pesquisador parceiro e diretoria técnica"/>
        <s v="Pesquisa básica - Revisão da literatura sobre aplicação clínica de nutriente para elaboração de novo produto"/>
        <s v="Pesquisa clínica - Revisão de projeto após considerações do comitê de ética em pesquisa"/>
        <s v="Pesquisa clínica - Gravação de material para divulgação de resultados  em evento científico (Simpósio Acerto), em conjunto com o pesquisador parceiro"/>
        <s v="Pesquisa clínica - Revisão/edição de projeto após considerações do comitê de ética em pesquisa"/>
        <s v="Pesquisa clínica -Ajuste de projeto em resposta ao Comitê de ética e pesquisa"/>
        <s v="Pesquisa básica - elaboração de síntese sobre nova fórmula"/>
        <s v="Pesquisa básica  - elaboração de síntese sobre melhoria de produto"/>
        <s v="Pesquisa clínica - eleboração de projeto de pesquisa em cicatrização"/>
        <s v="Avaliação de parâmetros analíticos para determinação de Vitamina B1 em aroma utilizado na formulação."/>
        <s v="Pesquisa clínica - Eleboração de projeto de pesquisa em Parkinson e fibose cística em parceria com a Universidade Federal do Pará"/>
        <s v="Pesquisa básica  - elaboração de síntese sobre desenvolvimento de produto"/>
        <s v="Pesquisa clínica - Eleboração de projeto de pesquisa em pediatria em parceria com o Hospital Pequeno Príncipe"/>
        <s v="Pesquisa clínica -Ajuste de relato de caso para submissão em congresso"/>
        <s v="Acompanhamento do teste piloto."/>
        <s v="Conferência de NF de cobrança e envio para análise."/>
        <s v="Seleção de análises para obtenção dos resultados para avaliação da composição do produto após realização de teste piloto."/>
        <s v="Organização das orientações e documentos necessários para envio do produto para análise em laboratório externo."/>
        <s v="Seleção de análise para verificar a presença de vitamina B1 no aroma."/>
        <s v="Seleção de análises para avaliação da composição do produto após 12 meses de estudo de estabilidade."/>
        <s v="Seleção de análises para avaliação do comportamento de vitaminas marcadoras durante estudo de estabilidade."/>
        <s v="Organização das orientações e documentos necessários para envio do produto para análise em laboratório externo. E preparo do produto para envio."/>
        <s v="Avaliação dos resultados das análises realizadas para avaliar a composição do produto após realização de teste piloto."/>
        <s v="Seleção de análises para obtenção dos resultados para avaliação da composição do produto após realização de teste piloto e início do estudo de estabilidade."/>
        <s v="Seleção de análises laboratoriais para avaliar a composição do produto após teste piloto."/>
        <s v="Seleção de análises laboratoriais para avaliar a possibilidade de extender a shelf life do produto."/>
        <s v="Preencimento da Especificação Técnica provisória e envio para avaliação técnica."/>
        <s v="Análise dos resultados de lactose e cálculo por 100 Kcal."/>
        <s v="Pesquisa na literatura científica sobre o comportamento dos nutrientes observado na última análise realizada no Trophic Soya 1.5 Fiber"/>
        <s v="Preenchimento do EE do retort HH com resultados para T12 e organização dos laudos/dados."/>
        <s v="Conferência do resultado de análise de nutrientes do produto processado em nova planta."/>
        <s v="Elaboração de respostas às exigências da agencia reguladora sobre o resgistro do Diamax IG RTH"/>
        <s v="Preenchimento do EE do Trophic Soya 1.5 (SFDK) e organização dos laudos/dados."/>
        <s v="Separação e conferência de matéria-prima para formulação."/>
        <s v="Acompanhamento teste de envase."/>
        <s v="Avaliação dos nutrientes para determinação de informação nutricional."/>
        <s v="Preenchimento do Estudo de Estabilidade do Energyzip Lac e organização dos laudos/dados."/>
        <s v="Realizado ajuste e correção dos limites regulatórios na planilha de estudo de estabilidade do Energyzip Lac."/>
        <s v="Preenchimento do Estudo de Estabilidade e organização dos laudos/dados."/>
        <s v="Elaboração do relatório de extensão de shelf life do trophic soya 1.5."/>
        <s v="Preenchimento do EE do retort HH/HN/HNcF com resultados para T12 e organização dos laudos/dados."/>
        <s v="Realizado alinhamento das últimas exigências para registro do NHcF."/>
        <s v="Analise dos resultados do EE dos retorts e composição da IN dos produtos."/>
        <s v="Análise dos dados de PL do Trophic Soya Pó com redução de gordura."/>
        <s v="Apresentação dos dados de T0 do Suslac e definição da IN."/>
        <s v="Análise de dados e elaboração do relatório de Estudo de Estabilidade do Retort HH."/>
        <s v="Conferência de laudos, pesquisa e elaboração de declação para exigência de agência reguladora do processo de registro do NHcF."/>
        <s v="Análise de dados e elaboração do relatório de Estudo de Estabilidade do Retort HN."/>
        <s v="Análise de dados e elaboração do relatório de Estudo de Estabilidade do Retort HN e HNcF."/>
        <s v="Análise de dados e elaboração do relatório de Estudo de Estabilidade do Retort HNcF."/>
        <s v="Análise de dados e elaboração do relatório de Estudo de Estabilidade do Retort HH e HNcF."/>
        <s v="Etiquetagem/Separação das amostras para Estudo Clínico e EE."/>
        <s v="Separação e prepardo de amostras para envio para análises externas."/>
        <s v="Análise de resultado teor vitamina B1 em aroma reformulado e aplicação teórica no produto"/>
        <s v="Preparo de amostra e envio laboratório externo para análise lactose"/>
        <s v="Teste para de volume de água para diluição diferentes densidades calóricas"/>
        <s v="Teste de análise fisico quimicas (aspecto pó, sensorial, administração por sonda) para estudo composição informação nutricional"/>
        <s v="Degustação base encaminhada IFF para aplicação aroma"/>
        <s v="Teste de reaplicação e degustação aroma reformulado - redução de dose"/>
        <s v="Elaboração especificaçõ Dióxido de Silício"/>
        <s v="Avaliação ficha técnica Cenoura fornedor Sansiril"/>
        <s v="Teste para análise do aspecto do produto e degustação com aplicação novo fornecedor Colina"/>
        <s v="Relatório de aplicação novo fornecedor Colina"/>
        <s v="Elaboração Controle de Mudanças"/>
        <s v="Preparo de amostra e envio com aplicação/reformulação aroma para degustação Coordenadora"/>
        <s v="Envio de nova base do produto para aplicação e sugestão aroma IFF"/>
        <s v="Aplicação de cálculo e estudo de custo formulação com aroma chocolate belga"/>
        <s v="Cadastro novo aroma belga no sistema"/>
        <s v="Teste de degustação com diretoria - reformulação aroma"/>
        <s v="Teste avaliação fórmula com feijão (aspesto, solubilidade, admnistração sonda, sabor)"/>
        <s v="Teste de dosagem Dióxido de Silício fornecedor Nicrom em mistura com óleo líquido"/>
        <s v="Desenvolvimento da especificação técnica do novo aroma chocolate belga"/>
        <s v="Desenvolvimento da fórmula no sistema"/>
        <s v="Alinhamento técnico para buscar solução para composição de perfil lipidico"/>
        <s v="Desenvolvimento do projeto em Business Case"/>
        <s v="Pesquisa básica de matéria prima junto a fornecedor"/>
        <s v="Desenvolvimento da especificação técnica e informação nutricional"/>
        <s v="Aplicação de calculo de custo atualizado para produto final"/>
        <s v="ajustes projeto cep"/>
        <s v="início pesquisa após aprovação cep"/>
        <s v="Pesquisa básica: aula Dr Marcelo Valente"/>
        <s v="pesquisa básica para projeto proteína líquida medtrition"/>
        <s v="Aplicação de critério de seleção para avaliação da vialibilidade da fórmula"/>
        <s v="Avaliação de parâmetros essenciais para qualidade das matérias-primas utilizadas no produto"/>
        <s v="Avaliação de métodos de análise de triptofano, para avaliação de aminograma dos produtos que contenham soja na formulação"/>
        <s v="Determinação de melhorias de processamento UHT, para homogeneidade entre copackers"/>
        <s v="Elaboração de análise de atendimento nutricional do produto, como parte de exigência para registro do produto"/>
        <s v="Avaliação de resutaltados analíticos para estudo de estensão de prazo de validade do produto, de 9 para 12 meses"/>
        <s v="Atualização de dados para sequencia do processo de importação do produto Prosource"/>
        <s v="Definição de tendêcnia de comportamento para pefil lipidico e avaliação de resultados"/>
        <s v="Definição de qual aroma será utilizado no produto sabor baunilha."/>
        <s v="Elaboração de resposta a exigência da Anvisa, para registro do produto NHcF"/>
        <s v="Discussão técnica para avaliação do risco de alteração da informação nutricional para Vitamina B1"/>
        <s v="Avaliação de resultados analíticos para Energyzip Vitalc (Sustenlac suplemeto alimentar)"/>
        <s v="Avaliação de estabilizantes em visita a feira FISA"/>
        <s v="Avaliação de resultados analíticos e elaboração de tendência de comportamento para previsão de resultados em 12 meses"/>
        <s v="Avaliação de resultados analíticos para 12 meses de estudo, para dietas HH, HN e HNcF"/>
        <s v="Avaliação de tendência de comportamento para 12 meses de estudo de estabilidade, para dietas HH, HN e HNcF"/>
        <s v="Aplicação de critérios de seleção para composição de fibras do produto"/>
        <s v="Modificação da quantidade de pré-mix de minerais aplicado a formulação e elaboração de critérios de aceitação para avaliação do atendimento ao target nutricional"/>
        <s v="Aplicação de critérios de aceitação para elaboração de especificação de matérias-primas utilizadas na formulação"/>
        <s v="Elaboração de Informação nutricional para dietas HH, HN e HNcF, com base nos resultados analíticos de estudo de estabildiade"/>
        <s v="Avaliação limite de aceitação para especificação da Vitamina B12"/>
        <s v="Discussão técnica sobre atendimento nutricional do produto e definição de informação nutricional, junto a diretoria técnica."/>
        <s v="Aplicação de tedência de comportamento do sabor baunilha, para definição da informação nutricional dos produtos morango e chocolate"/>
        <s v="Avaliação de resultados de teste de bancada para definição de fórmulas possíveis"/>
        <s v="Avaliação de requisitos para nova fábrica de líquidos, com entendimento de premissas equipamentos e processo"/>
        <s v="Treinamento de colaboradora para elaboração de especificação técnica após finalização de estudo de estabilidade"/>
        <s v="Alinhamento técnico - nova fábrica de líquidos - premissas equipamentos e processo"/>
        <s v="Avaliação do resultado de reanálise da vitamina K"/>
        <s v="Definição  de informação nutriocional do produto, com base em tendência de comportamento"/>
        <s v="Aplicação de critérios de aceitação para elaboração de especificação de pré mix utilizadas na formulação"/>
        <s v="Verificação custos para nova fábrica líquidos"/>
        <s v="Estudo estabilidade proteínas em emulsões"/>
        <s v="Validação Business Case sorvete"/>
        <s v="Atualiazação spec pouch + testes caixa de expedição"/>
        <s v="Realização análises FQ dietas HH, HN, HNcF"/>
        <s v="Atualização arquivos com resultados análises FQ + planejamento teste piloto Embrapa + envio pouches teste migração"/>
        <s v="Testes caixa de expedição"/>
        <s v="Alinhamento teste piloto Embrapa"/>
        <s v="Estudo estabilidade proteínas em emulsões + contato fornecedores"/>
        <s v="Alinhamento técnico estrutura pouch + laudo de migração"/>
        <s v="Alinhamento teste piloto Embrapa - instalação high shear"/>
        <s v="Alinhamento técnico instalação envasadora e teste piloto pouch"/>
        <s v="Contato fornecedor - entendimento estabilidade proteína"/>
        <s v="Alinhamento teste piloto Embrapa - instalação high shear + laudo migração pouch"/>
        <s v="Atualização Business Case sorvete"/>
        <s v="Atualização e validação formulação sorvete"/>
        <s v="Contato fornecedor - entendimento estabilidade proteína + desenvolvimento da 1a formulação"/>
        <s v="Alinhamento técnico cronograma projeto"/>
        <s v="Desenvolvimento fórmulas iniciais para TB"/>
        <s v="Contato fornecedor - nova proteína"/>
        <s v="Contato fornecedor - entendimento composição nova MP"/>
        <s v="Estudo formulação e MP's"/>
        <s v="Entendimento análise sensorial concorrentes e novas aplicações + estudo nova formulação"/>
        <s v="Avaliação custos novas MP's"/>
        <s v="Trâmites fiscais - teste Latco"/>
        <s v="Desenvolvimento fórmula inicial"/>
        <s v="Planejamento TB"/>
        <s v="Atualização custo formulação + apresentação banca Business Case"/>
        <s v="Atualização cronograma projeto + alinhamento instalação envasadora para TP"/>
        <s v="Bancada formulações iniciais + avaliação resultados"/>
        <s v="Planejamento teste piloto - disponibilidade de MP's"/>
        <s v="Avaliação resultados TB + planejamento novas formulações"/>
        <s v="Elaboração specs Prodiet novas MP's"/>
        <s v="Estudo novo WPH sem lactose + contato fornecedores"/>
        <s v="Estudo novos sachês amostras"/>
        <s v="Elaboração formulações"/>
        <s v="Ajustes formulação UTI - baixa viscosidade"/>
        <s v="Planejamento teste piloto Embrapa - uso high shear"/>
        <s v="Planejamento teste piloto Embrapa - simulações + instalação high-shear"/>
        <s v="Trâmites logísticos teste Embrapa"/>
        <s v="Planejamento teste piloto Embrapa - simulações + pesagem MP's"/>
        <s v="Avaliação resultados T12 dietas HH/HN/HNcF"/>
        <s v="Elaboração relatório testes de bancada"/>
        <s v="Alinhamento técnico resultados testes bancada para piloto"/>
        <s v="Ajustes formulações com aminoácidos"/>
        <s v="Elaboração specs Prodiet novas MP's + planejamento teste piloto 20kg"/>
        <s v="Planejamento teste piloto Embrapa - simulações + pesagem MP's + ajustes sistema"/>
        <s v="Alinhamento técnico - teste piloto"/>
        <s v="Ajuste cronograma teste industrial Latco"/>
        <s v="Publicação especificações novas MP's"/>
        <s v="Estudo enzima em rotulagem + WPH sem lactose"/>
        <s v="Planejamento teste piloto Embrapa -  pesagem MP's + envio materiais"/>
        <s v="Planejamento teste piloto Embrapa -  pesagem MP's + envio materiais / teste industrial Latco"/>
        <s v="Alinhamento técnico nova envasadora para fábrica Prodiet"/>
        <s v="Double check MP's envio Embrapa + fracionamento aditivos"/>
        <s v="Estudo WPH sem lactose + contato fornecedores"/>
        <s v="Planejamento teste piloto Embrapa -  envio materiais / revisão simulações"/>
        <s v="Planejamento teste piloto Embrapa -  receitas a serem testadas + deslocamento RJ"/>
        <s v="Teste piloto Embrapa - UTI"/>
        <s v="Teste piloto Embrapa - receitas validadas em TB"/>
        <s v="Elaboração relatório teste piloto Embrapa"/>
        <s v="Contato fornecedor novo WPI"/>
        <s v="Preenchimento das ET's dos Retorts HH, HN e HNcF."/>
        <s v="Aplicação de testes sensorias para o produto com aroma reformulado"/>
        <s v="Avaliação da manutenção da informação nutricional do produto Baunilha nos sabores chocolate e morango"/>
        <s v="Avaliação de documento de fibra de batata para aplicação no produto"/>
        <s v="Desenvolvimento de estratégia para inclusão de produto no sistema Protheus"/>
        <s v="Aplicação de critérios de aceitação para utilização de óleo de girassol nos produtos e contato com fornecedor do óleo"/>
        <s v="Elaboração de comparativo entre diferentes fórmulas do produto Diamax IG RTH para registro do produto"/>
        <s v="Elaboração de resposta de exigência Anvisa para registro do produto Diamax IG RTH"/>
        <s v="Aplicação de critérios de aceitação para especificação técnica do produtos sabor baunilha e chocolate"/>
        <s v="Condução de teste piloto em planta piloto para avaliação do pH do produto, após alteração da composição de fibras"/>
        <s v="Avaliação de fontes de nutrientes em pré mix de minerais que podem estar contribuindo para aumento de pH no produto acabado"/>
        <s v="Avaliação de ações necessárias para continuidade dos testes de desenvolvimento do produto Trophic Soya 1.5 Fiber"/>
        <s v="Separação de amostras para envio análises de EE"/>
        <s v="Pesquisa por novos fornecedores de matéria prima"/>
        <s v="Elaboração de estudo de protocolo retomada de projeto com PUCPR"/>
        <s v="Elaboração da informação nutricional com leite"/>
        <s v="Execução das análises fisico quimicas no produto com 12 meses de validade, par comporvação da validade"/>
        <s v="Alinhamento técnico sobre protocolo do projeto com PUCPR"/>
        <s v="Participação em evento de fornecedor de aroma nobre Inovação"/>
        <s v="Execução da análise para determinação do valor de osmolalidade"/>
        <s v="Levantamento de análises e testes para elaboração de budget"/>
        <s v="Organização das análises laboratóriais e preparo do envio das amostras."/>
        <s v="Separação e preparo de amostras para envio para análises externas."/>
        <s v="Conferência de laudos/parâmetros/monografia para peticionamento do HNcF."/>
        <s v="Análise de dados e elaboração do relatório de Estudo de Estabilidade e do relatório de administração do Retort HNcF."/>
        <s v="Preenchimento do Estudo de Estabilidade do Diamax IN e organização dos laudos/dados."/>
        <s v="Pesquisa na literatura científica sobre o comportamento dos nutrientes observados durante o EE do HH."/>
        <s v="Pesquisa na literatura e análise de CoAs de fonte de nutrientes. Criação da base de dados com as características dos minerais/vitaminas."/>
        <s v="Planejamento de TI Latco"/>
        <s v="Viabilizando proteinas com fornecedor Vogler"/>
        <s v="Análise para viabilzar projeto in house"/>
        <s v="Estudo de distribuição e penetraçào de calor"/>
        <s v="Planejamento de TP"/>
        <s v="Estudo de distribuição e penetração de calor"/>
        <s v="Atualizações"/>
        <s v="Análise para viabilzar MP"/>
        <s v="BC versão embalagem lata 140g"/>
        <s v="Planejamento teste industrial Latco"/>
        <s v="Treinamento para o projeto de proteína líquida"/>
        <s v="Deslocamento teste proteína líquida"/>
        <s v="TB para avaliação de MP (proteína) alternativa"/>
        <s v="Elaboração Instruções de Fabricação teste Latco + planejamento teste industrial Latco"/>
        <s v="Alinhamento técnico validação térmica da autoclave"/>
        <s v="Verificação de matérias-primas para o teste retort Latco"/>
        <s v="Inserção Centric NHcF com ajuste de miexes"/>
        <s v="Planejamento teste Latco - chegada pouches / bandejas autoclave"/>
        <s v="Inserção Centric fórmula NHcF com ajuste mixes"/>
        <s v="Estudo de formulação de proteína líquida"/>
        <s v="Atualização de cronograma + planejamento de testes"/>
        <s v="Estudos de relatórios anteriores do processo retort"/>
        <s v="Estudo dos relatórios dos testes retorts anteriores"/>
        <s v="Discussão técnica e alinhamento - resultados 2° semestre"/>
        <s v="Double check MP's envio Latco"/>
        <s v="Contato fornecedor - novas embalagens retort"/>
        <s v="Contato fornecedor - entedimento da estabilidade de proteína"/>
        <s v="Trâmites fiscais - NF's teste industrial Latco"/>
        <s v="Atualização cronograma teste industrial Latco"/>
        <s v="Pesquisa básica para desenvolvimento de protocolo de estudo clinico"/>
        <s v="congresso ESPEN - atualizações paciente UTI, Oncologia, Pesquisa clínica e estudos de casos"/>
        <s v="Pesquisa básica para elaboração de material cientifico"/>
        <s v="Elaboração relatório sobre teste de envase na máquina envasadora"/>
        <s v="Produção de amostra de bancada para envio para análise externa"/>
        <s v="Degustação de produto para avaliação de sabor propoposta aroma baunilha IFF"/>
        <s v="Alinhamento status projetos entre P&amp;D e AR"/>
        <s v="Elaboração do relatório com resultados testes com óleo liquido e dióxido de silício"/>
        <s v="Contato fornecedores feedback testes MPs e homologação"/>
        <s v="Elaboração apresentação resultados do último quadrimestre de 2023"/>
        <s v="Teste de bancada com aplicação de WPC substituindo Caseinato para degustação e avaliação de sabor"/>
        <s v="Teste de bancada com aplicação de MPC substituindo Caseinato para degustação e avaliação de sabor"/>
        <s v="Alinhamento budget 2024"/>
        <s v="Cálculo de custo da formulação substituindo Caseinato por WPC e MPC"/>
        <s v="Atualização da conclusão no relatório de teste de óleo liquido com dióxido"/>
        <s v="Análise de aspecto, sabor, odor, administração em sonda e osmolalidade da amostra com validade de 18 meses envasada em sachê a vácuo"/>
        <s v="Replicação da alteração de fórmula no software após teste de bancada para definiação da dose de aditivos"/>
        <s v="Alinhamento de contrato teste/consultoria Alvaro PUCPR"/>
        <s v="Alinhamento atividades e prazos com outros setores"/>
        <s v="Compilado dos itens discutidos entre alinhamento das áreas"/>
        <s v="Elaboração relatório com testes de aplicação e degustação do WPC e MPC como substituição do caseinato"/>
        <s v="Alinhamento status do projeto e elaboração da AF com Marketing"/>
        <s v="Desenvolvimento de novo produto - avaliação de viabilidade"/>
        <s v="Alinhamento de resultados de pesquisa clínica"/>
        <s v="Desenvolvimento de materiais para comunicação sobre novo produto"/>
        <s v="Avaliação de especificação técnica para HH, HN e HNcF"/>
        <s v="Definição e estratétigia para execução de teste piloto"/>
        <s v="Revisão de Informação nutricional de fibras, frente a requisitos legais."/>
        <s v="Elaboração de cronograma para participação de P&amp;D na instalação de autoclave industrial"/>
        <s v="Aplicação de critérios de aceitação, para eleger formulação que irá para teste piloto e início de estudo de estabilidade"/>
        <s v="Aplicação de critérios de aceitação para especificação de qualidade dos aromas utilizados no produto."/>
        <s v="Avaliação sensorial para produto sabor morango, com diferentes propostas de aromas."/>
        <s v="Avaliação sensorial para produto com pH corrigido com ácido cítrico"/>
        <s v="Elaboração de estratégia para execução de teste piloto."/>
        <s v="Aplicação de critérios de aceitação em relatório de estudo de estabilidade da dieta HNcF"/>
        <s v="Pesquisa para determinação de requisitos de matérias primas, para prospecção de fornecedores"/>
        <s v="Avaliação de fórmulas Centric premix minerais, para verificação de atendimento ao target nutricional"/>
        <s v="Aplicação de norma de amostragem, para determinação de número de amostras significativas para análise de defeito no hanger"/>
        <s v="Elaboração de relatório final de estudo de estabilidade para confirmação do prazo de validade do produto"/>
        <s v="Elaboração de documento descritivo das características dos produto"/>
        <s v="Aplicação de análise sensorial para avaliação da reformulação do produto."/>
        <s v="Aplicação de critérios de aceitação para testes realizados com pré mix de minerais reformulado"/>
        <s v="Avaliação da viabilidade de realização de testes de bancadas na Embrapa"/>
        <s v="Elaboração de estratégia para cadastro de produto, afim de eliminar duplicidade"/>
        <s v="Elaboração de racional para determinação do motivo para decaimento de vitamina C na dieta UTI"/>
        <s v="Elaboração de estratégia para inicio de estudo de avaliação de manutenção da cor, para produto sabor morango"/>
        <s v="Benchmarking em fornecedor de pré mix para estabelecer necessidades para o projeto"/>
        <s v="Aplicação de critérios de seleção, junto a fornecedor de estabilizantes, para melhora de fórmula do produto"/>
        <s v="Aplicação de critérios de seleção, junto a laboratório analítico para avaliação da continuidade das análises de T12"/>
        <s v="Avaliação crítica de pontos levantados em benchmarking, e discussão com gerência e diretoria quais serão os pontos de controle"/>
        <s v="Aplicação de critérios de aceitação para definição de periodicidade de análise de matérias primas"/>
        <s v="Reunião de followup de projeto"/>
        <s v="Discussão de risco da nova apresentação comercial do UHT com adaptador RTH"/>
        <s v="Elaboração de apresentação para equipe comercial"/>
        <s v="Planejamento de testes em co-packer Latco"/>
        <s v="Revisão de apresentação para equipe comercial"/>
        <s v="Visita in loco ao fornecedor NeoBrasil"/>
        <s v="Apresentação do produto reformulado na Conveção Comercial"/>
        <s v="Reunião com fornecedor Cargill"/>
        <s v="Visita in loco ao fornecedor Eurofins"/>
        <s v="Planejamento teste piloto Prodiet"/>
        <s v="Atualização cronograma + planejamento testes bancada nova proteína"/>
        <s v="Planejamento feira CPHI Barcelona"/>
        <s v="Avaliação resultados testes de bancada + planejamento testes bancada"/>
        <s v="Apresentação higlights evento Degusta Duas Rodas"/>
        <s v="Estudo matriz com dados dieta NHcF + planejamento teste industrial Latco"/>
        <s v="Avaliação novas MP's para teste piloto"/>
        <s v="Verificação novas MP's para teste bancada"/>
        <s v="Atualização cronograma + planejamento testes"/>
        <s v="Planejamento feira CPHI Barcelona + contato fornecedores"/>
        <s v="Estudo matriz com dados dieta NHcF"/>
        <s v="Alinhamento técnico teste piloto Prodiet"/>
        <s v="Deslocamento CPHI Barcelona"/>
        <s v="Evento CPHI Barcelona - prospecção novos fornecedores"/>
        <s v="Compilação dados CPHI Barcelona + contato fornecedores + planejamento teste industrial Latco"/>
        <s v="Alinhamento técnico validação térmica autoclave"/>
        <s v="Ajuste fórmulas Centric premix minerais + apresentação CPHI Barcelona"/>
        <s v="Alinhamento técnico fórmulas Centric + teste industrial Latco"/>
        <s v="Contato fornecedores CPHI Barcelona"/>
        <s v="Entendimento formula avaliada pelo Centífíco"/>
        <s v="Estudo consumo novas MP's"/>
        <s v="Atualização pastas sistema"/>
        <s v="Avaliação WPH baixa lactose"/>
        <s v="Atualização matriz dieta HN"/>
        <s v="Planejamento TP Prodiet"/>
        <s v="Planejamento teste Latco - chegada pouches / bandejas autoclave / pesagem MP's"/>
        <s v="Ativação novas estruturas"/>
        <s v="Estudo previsão budget 2024"/>
        <s v="Deslocamento teste Latco"/>
        <s v="Avaliação documentos pouch"/>
        <s v="Organização e avaliação MP's retort laboratório"/>
        <s v="TP Prodiet avaliação dimensional embalagem + Avaliação dos resultados + Atualização relatório"/>
        <s v="TP novo adaptador e hanger + avaliação resultados"/>
        <s v="Criação estrutura NHcF"/>
        <s v="Alinhamento e avaliação resultados TP novo adaptador/hanger"/>
        <s v="Planejamento teste Ltaco + Atualização e treinamento cronogramas"/>
        <s v="Atualização relatório + cronograma"/>
        <s v="Alinhamento técnico teste Latco"/>
        <s v="Atualização cronogramas"/>
        <s v="Pesquisa científica para conteúdo científico do produto"/>
        <s v="Pesquisa científica para desenvolvimento do produto"/>
        <s v="Pesquisa básica - análise de desfechos e resumo científico."/>
        <s v="Desenvolvimento de conteúdo científico para submissão da pesquisa"/>
        <s v="Pesquisa básica para desenvolvimento de protocolo e prospecção"/>
        <s v="Pesquisa científica para desenvolvimento de conteúdo científico"/>
        <s v="Pesquisa básica para desenvolvimento de protocolo de estudo."/>
        <s v="Pesquisa básica para desenvolvimento de conteúdo científico"/>
        <s v="BRASPEN - pesquisa elaboração poster apresentação estudos de caso"/>
        <s v="Congresso BRASPEN - - atualizações paciente UTI, Oncologia, Pesquisa clínica e estudos de casos"/>
        <s v="Pesquisa básica para desenvolvimento do produto"/>
        <s v="Pesquisa básica para desenvolvimento de respaldo científico"/>
        <s v="Pesquisa básica para elaboração de protocolo de estudo"/>
        <s v="Braspen - material atualização paciente UTI, Oncologia, Pesquisa clínica e estudos de casos"/>
        <s v="Pesquisa básica para desenvolvimento de pesquisa de aplicação, desenho de protocolo"/>
        <s v="Pesquisa básica para desenvolvimento de novo produto e apresentação"/>
        <s v="Pesquisa clínica - alinhamento de pesquisa e desfecho de prospecção"/>
        <s v="Pesquisa básica de MP para desenvolvimento do produto"/>
        <s v="Pesquisa básica - análise de desfechos"/>
        <s v="Pesquisa básica para avaliação de MP para desenvolvimento do produto"/>
      </sharedItems>
    </cacheField>
    <cacheField name="Revisão McBenner" numFmtId="0">
      <sharedItems containsString="0" containsBlank="1">
        <m/>
      </sharedItems>
    </cacheField>
    <cacheField name="Projeto" numFmtId="0">
      <sharedItems>
        <s v="2018 - Retort"/>
        <s v="2021 - Marca própria"/>
        <s v="2022 - Peptimax Júnior"/>
        <s v="2019 - Cicatrização"/>
        <s v="2021 - Pesquisa Clínica - Diamax IG"/>
        <s v="2022 - Tetra Pak SF"/>
        <s v="2021 - Diamax pó"/>
        <s v="2019 - Artesanal"/>
        <s v="2021 - Sachê a vácuo"/>
        <s v="2022 - Spray dryer"/>
        <s v="2021 - Energyzip Pó"/>
        <s v="2021 - Pesquisa Clínica - Hdmax"/>
        <s v="2023 - PESQUISA CLÍNICA - IMMAX"/>
        <s v="2021 - Estudo de Caso"/>
        <s v="2021 - Pesquisa Clínica - Instanth Neo"/>
        <s v="2023 - PROTEÍNA LÍQUIDA"/>
        <s v="2023 – SUSTENLAC"/>
        <s v="2021 - Energyzip Sênior"/>
        <s v="2020 - Linha Trophic Soya Pó"/>
        <s v="2021 - Energyzip 25%"/>
        <s v="2023 - PESQUISA CLÍNICA - CARBOCH"/>
        <s v="2023 - PESQUISA CLÍNICA - CICATRIZAÇÃO"/>
        <s v="2023 - PESQUISA APLICADA - ARTESANAL"/>
        <s v="2023 - PESQUISA CLÍNICA - PEPTIMAX"/>
        <s v="2018 - Linha Trophic Soya Líquido"/>
        <s v="2021 - Pesquisa Aplicada - Resultados P&amp;D"/>
        <s v="2022 - Sobremesa"/>
        <s v="2018 - Trophic Júnior 1.5 Líq"/>
        <s v="2022 - Projeto Pesquisa Básica"/>
        <s v="2023 - PESQUISA ÍNDICE GLICÊMICO - DIAMAX IN / SF UTI"/>
        <s v="2023 - PROJETOS PREMIX IN HOUSE"/>
        <s v="2023 - MIXME MS+PIRAMAL"/>
        <s v="2023 - PEPTIMAX IBD"/>
        <s v="2023 - PROTEINPT WHEY LATA"/>
      </sharedItems>
    </cacheField>
    <cacheField name="Custo" numFmtId="165">
      <sharedItems containsSemiMixedTypes="0" containsString="0" containsNumber="1">
        <n v="0.0"/>
        <n v="299.77"/>
        <n v="149.88"/>
        <n v="224.82"/>
        <n v="387.93"/>
        <n v="193.97"/>
        <n v="286.73"/>
        <n v="88.68"/>
        <n v="44.34"/>
        <n v="57.38"/>
        <n v="84.82"/>
        <n v="127.23"/>
        <n v="42.41"/>
        <n v="63.62"/>
        <n v="19.74"/>
        <n v="39.47"/>
        <n v="197.37"/>
        <n v="25.54"/>
        <n v="51.08"/>
        <n v="332.04"/>
        <n v="102.17"/>
        <n v="510.83"/>
        <n v="37.76"/>
        <n v="28.32"/>
        <n v="56.64"/>
        <n v="245.42"/>
        <n v="177.35"/>
        <n v="221.69"/>
        <n v="354.7"/>
        <n v="133.01"/>
        <n v="266.03"/>
        <n v="110.85"/>
        <n v="199.52"/>
        <n v="138.85"/>
        <n v="69.42"/>
        <n v="208.27"/>
        <n v="277.69"/>
        <n v="179.68"/>
        <n v="132.81"/>
        <n v="199.21"/>
        <n v="205.0"/>
        <n v="82.0"/>
        <n v="287.01"/>
        <n v="123.0"/>
        <n v="410.01"/>
        <n v="164.0"/>
        <n v="328.01"/>
        <n v="369.01"/>
        <n v="41.0"/>
        <n v="246.01"/>
        <n v="371.42"/>
        <n v="106.12"/>
        <n v="159.18"/>
        <n v="212.24"/>
        <n v="53.06"/>
        <n v="265.3"/>
        <n v="530.6"/>
        <n v="344.89"/>
        <n v="35.37"/>
        <n v="318.36"/>
        <n v="229.93"/>
        <n v="79.59"/>
        <n v="424.48"/>
        <n v="185.71"/>
        <n v="141.49"/>
        <n v="178.57"/>
        <n v="267.85"/>
        <n v="89.28"/>
        <n v="231.08"/>
        <n v="115.54"/>
        <n v="462.17"/>
        <n v="170.8"/>
        <n v="341.6"/>
        <n v="85.4"/>
        <n v="175.17"/>
        <n v="87.59"/>
        <n v="116.78"/>
        <n v="58.39"/>
        <n v="43.79"/>
        <n v="233.56"/>
        <n v="145.98"/>
        <n v="277.35"/>
        <n v="218.96"/>
        <n v="248.16"/>
        <n v="335.74"/>
        <n v="131.38"/>
        <n v="204.37"/>
        <n v="29.2"/>
        <n v="245.58"/>
        <n v="226.69"/>
        <n v="151.13"/>
        <n v="75.56"/>
        <n v="302.25"/>
        <n v="188.91"/>
        <n v="321.15"/>
        <n v="358.93"/>
        <n v="113.35"/>
        <n v="340.04"/>
        <n v="264.47"/>
        <n v="283.36"/>
        <n v="207.8"/>
        <n v="195.48"/>
        <n v="55.85"/>
        <n v="83.78"/>
        <n v="167.55"/>
        <n v="41.89"/>
        <n v="97.74"/>
        <n v="139.63"/>
        <n v="111.7"/>
        <n v="153.59"/>
        <n v="223.41"/>
        <n v="544.55"/>
        <n v="279.26"/>
        <n v="98.63"/>
        <n v="65.75"/>
        <n v="123.29"/>
        <n v="32.88"/>
        <n v="115.07"/>
        <n v="63.82"/>
        <n v="510.56"/>
        <n v="85.09"/>
        <n v="47.17"/>
        <n v="31.45"/>
        <n v="78.62"/>
        <n v="62.89"/>
        <n v="76.6"/>
        <n v="28.73"/>
        <n v="114.9"/>
        <n v="19.15"/>
        <n v="63.83"/>
        <n v="24.78"/>
        <n v="74.35"/>
        <n v="123.91"/>
        <n v="198.26"/>
        <n v="99.13"/>
        <n v="49.57"/>
        <n v="148.7"/>
        <n v="36.64"/>
        <n v="73.27"/>
        <n v="18.32"/>
        <n v="54.95"/>
        <n v="91.59"/>
        <n v="184.30813162615743"/>
        <n v="368.61626325231487"/>
        <n v="150.79756223958333"/>
        <n v="301.59512447916666"/>
        <n v="330.174832390873"/>
        <n v="165.0874161954365"/>
        <n v="81.78269288194443"/>
        <n v="54.52179525462962"/>
        <n v="109.04359050925925"/>
        <n v="190.8262833912037"/>
        <n v="93.23231496212122"/>
        <n v="186.46462992424244"/>
        <n v="116.54039370265153"/>
        <n v="139.84847244318183"/>
        <n v="195.34389801587304"/>
        <n v="97.67194900793652"/>
        <n v="244.1798725198413"/>
        <n v="463.94175778769846"/>
        <n v="146.50792351190478"/>
        <n v="48.539940335648154"/>
        <n v="97.07988067129631"/>
        <n v="194.15976134259262"/>
        <n v="72.80991050347222"/>
        <n v="169.88979117476856"/>
        <n v="62.25243153409092"/>
        <n v="20.75081051136364"/>
        <n v="41.50162102272728"/>
        <n v="83.00324204545456"/>
        <n v="46.510406101190476"/>
        <n v="232.5520305059524"/>
        <n v="139.53121830357142"/>
        <n v="69.76560915178571"/>
        <n v="23.255203050595238"/>
        <n v="186.0416244047619"/>
        <n v="341.4710625"/>
        <n v="170.73553125"/>
        <n v="1707.3553125"/>
        <n v="426.838828125"/>
        <n v="682.942125"/>
        <n v="291.9578085227273"/>
        <n v="145.97890426136365"/>
        <n v="72.98945213068183"/>
        <n v="218.96835639204548"/>
        <n v="152.93028065476193"/>
        <n v="229.3954209821429"/>
        <n v="305.86056130952386"/>
        <n v="611.7211226190477"/>
        <n v="389.9001827777778"/>
        <n v="278.9803031944445"/>
        <n v="151.25438125000002"/>
        <n v="252.09063541666671"/>
        <n v="277.29969895833335"/>
        <n v="201.67250833333333"/>
        <n v="302.50876250000005"/>
        <n v="352.9268895833334"/>
        <n v="100.83625416666666"/>
        <n v="50.41812708333333"/>
        <n v="504.18127083333343"/>
        <n v="453.76314375000004"/>
        <n v="403.34501666666665"/>
        <n v="93.39953701467805"/>
        <n v="86.2149572443182"/>
        <n v="57.47663816287879"/>
        <n v="64.66121793323865"/>
        <n v="43.1074786221591"/>
        <n v="172.4299144886364"/>
        <n v="344.8598289772728"/>
        <n v="258.6448717329546"/>
        <n v="215.5373931107955"/>
        <n v="129.3224358664773"/>
        <n v="100.58411678503789"/>
        <n v="334.08360277777786"/>
        <n v="286.3573738095239"/>
        <n v="381.8098317460318"/>
        <n v="453.39917519841276"/>
        <n v="190.9049158730159"/>
        <n v="906.7983503968255"/>
        <n v="95.45245793650795"/>
        <n v="325.50199407894735"/>
        <n v="54.25033234649122"/>
        <n v="474.47512893518524"/>
        <n v="1546.134471875"/>
        <n v="466.2945232638889"/>
        <n v="294.50180416666666"/>
        <n v="196.33453611111108"/>
        <n v="147.25090208333333"/>
        <n v="245.4181701388889"/>
        <n v="98.16726805555554"/>
        <n v="574.4098861111112"/>
        <n v="71.8012357638889"/>
        <n v="143.6024715277778"/>
        <n v="107.70185364583335"/>
        <n v="376.95648776041674"/>
        <n v="161.55278046875003"/>
        <n v="179.50308940972224"/>
        <n v="197.45339835069447"/>
        <n v="53.850926822916676"/>
        <n v="215.4037072916667"/>
        <n v="89.75154470486112"/>
        <n v="359.0061788194445"/>
        <n v="269.2546341145834"/>
        <n v="61.39004739583334"/>
        <n v="92.08507109375002"/>
        <n v="214.86516588541673"/>
        <n v="138.12760664062503"/>
        <n v="153.47511848958337"/>
        <n v="122.78009479166668"/>
        <n v="322.29774882812507"/>
        <n v="107.43258294270836"/>
        <n v="46.04253554687501"/>
        <n v="184.17014218750003"/>
        <n v="30.69502369791667"/>
        <n v="128.62676597222224"/>
        <n v="160.78345746527782"/>
        <n v="64.31338298611112"/>
        <n v="96.47007447916668"/>
        <n v="337.64526067708334"/>
        <n v="241.17518619791673"/>
        <n v="48.23503723958334"/>
        <n v="94.19582488425927"/>
        <n v="47.09791244212963"/>
        <n v="117.7447811053241"/>
        <n v="141.2937373263889"/>
        <n v="164.84269354745373"/>
        <n v="70.64686866319445"/>
        <n v="100.67172419507577"/>
        <n v="80.53737935606061"/>
        <n v="60.403034517045455"/>
        <n v="120.80606903409091"/>
        <n v="40.268689678030306"/>
        <n v="50.335862097537884"/>
        <n v="60.266134895833346"/>
        <n v="80.3548465277778"/>
        <n v="25.445701400462973"/>
        <n v="70.31049071180557"/>
        <n v="40.1774232638889"/>
        <n v="20.08871163194445"/>
        <n v="33.48118605324075"/>
        <n v="120.53226979166669"/>
        <n v="23.436830237268524"/>
        <n v="13.392474421296297"/>
        <n v="36.6837342844203"/>
        <n v="30.569778570350245"/>
        <n v="11.00512028532609"/>
        <n v="18.34186714221015"/>
        <n v="15.284889285175122"/>
        <n v="29.95838299894324"/>
        <n v="110.05120285326089"/>
        <n v="33.626756427385274"/>
        <n v="21.398844999245174"/>
        <n v="91.70933571105074"/>
        <n v="12.2279114281401"/>
        <n v="27.512800713315222"/>
        <n v="88.81325142543861"/>
        <n v="66.60993856907896"/>
        <n v="44.406625712719304"/>
        <n v="111.01656428179827"/>
        <n v="133.21987713815793"/>
        <n v="47.83326825396826"/>
        <n v="71.74990238095239"/>
        <n v="119.58317063492065"/>
        <n v="23.91663412698413"/>
        <n v="95.66653650793651"/>
        <n v="239.1663412698413"/>
        <n v="131.02156086956523"/>
        <n v="43.67385362318841"/>
        <n v="152.85848768115946"/>
        <n v="87.34770724637681"/>
        <n v="21.836926811594203"/>
        <n v="105.73669824561404"/>
        <n v="157.27988849206352"/>
        <n v="235.9198327380953"/>
        <n v="314.55977698412704"/>
        <n v="89.6309838768116"/>
        <n v="134.4464758152174"/>
        <n v="224.077459692029"/>
        <n v="268.8929516304348"/>
        <n v="313.7084435688406"/>
        <n v="179.2619677536232"/>
        <n v="806.6788548913045"/>
        <n v="246.4852056612319"/>
        <n v="115.7495201388889"/>
        <n v="165.35645734126985"/>
        <n v="99.2138744047619"/>
        <n v="347.24856041666663"/>
        <n v="248.03468601190477"/>
        <n v="198.4277488095238"/>
        <n v="82.67822867063492"/>
        <n v="66.14258293650794"/>
        <n v="264.57033174603174"/>
        <n v="281.10597748015874"/>
        <n v="132.28516587301587"/>
        <n v="231.4990402777778"/>
        <n v="181.8921030753968"/>
        <n v="214.96339454365076"/>
        <n v="226.46645244565218"/>
        <n v="90.58658097826087"/>
        <n v="588.8127763586956"/>
        <n v="105.68434447463768"/>
        <n v="120.78210797101448"/>
        <n v="60.39105398550724"/>
        <n v="181.17316195652174"/>
        <n v="347.2485604166667"/>
        <n v="286.85750643115944"/>
        <n v="166.07539846014492"/>
        <n v="75.48881748188407"/>
        <n v="182.76240021929823"/>
        <n v="73.10496008771929"/>
        <n v="420.353520504386"/>
        <n v="109.65744013157894"/>
        <n v="657.9446407894736"/>
        <n v="712.773360855263"/>
        <n v="889.4436810672513"/>
        <n v="347.2485604166666"/>
        <n v="146.20992017543858"/>
        <n v="162.75099703947367"/>
        <n v="217.00132938596488"/>
        <n v="434.00265877192976"/>
        <n v="949.3808160635965"/>
        <n v="379.75232642543864"/>
        <n v="39.65126184210527"/>
        <n v="79.30252368421054"/>
        <n v="185.0392219298246"/>
        <n v="52.86834912280702"/>
        <n v="50.22177907986112"/>
        <n v="66.9623721064815"/>
        <n v="83.70296513310186"/>
        <n v="90.39920234375002"/>
        <n v="204.30557359307358"/>
        <n v="102.15278679653679"/>
        <n v="63.26843819444444"/>
        <n v="31.63421909722222"/>
        <n v="316.3421909722222"/>
        <n v="442.8790673611111"/>
        <n v="189.8053145833333"/>
        <n v="94.90265729166666"/>
        <n v="33.21593005208334"/>
        <n v="99.64779015625001"/>
        <n v="166.0796502604167"/>
        <n v="199.29558031250002"/>
        <n v="132.86372020833335"/>
        <n v="66.43186010416667"/>
        <n v="47.45132864583333"/>
        <n v="161.17440446428574"/>
        <n v="268.62400744047625"/>
        <n v="214.89920595238098"/>
        <n v="107.44960297619049"/>
        <n v="537.2480148809525"/>
        <n v="169.23312468750004"/>
        <n v="225.64416625"/>
        <n v="112.822083125"/>
        <n v="282.05520781250004"/>
        <n v="338.4662493750001"/>
        <n v="191.33307301587303"/>
        <n v="200.89979662698408"/>
        <n v="105.47239322916667"/>
        <n v="210.94478645833334"/>
        <n v="158.20858984375002"/>
        <n v="52.736196614583335"/>
        <n v="150.6748474702381"/>
        <n v="100.44989831349204"/>
        <n v="251.12474578373013"/>
        <n v="309.22689437500003"/>
        <n v="412.30252583333333"/>
        <n v="206.15126291666667"/>
        <n v="798.8361438020834"/>
        <n v="212.38787541666667"/>
        <n v="202.2741670634921"/>
        <n v="809.0966682539683"/>
        <n v="314.1772689484127"/>
        <n v="297.6416232142857"/>
        <n v="33.07129146825397"/>
        <n v="330.7129146825397"/>
        <n v="208.34913625000002"/>
        <n v="173.62428020833335"/>
        <n v="138.89942416666668"/>
        <n v="104.17456812500001"/>
        <n v="69.44971208333334"/>
        <n v="34.72485604166667"/>
        <n v="901.6887618819445"/>
        <n v="833.3965450000001"/>
        <n v="312.523704375"/>
        <n v="125.41488779761906"/>
        <n v="41.804962599206355"/>
        <n v="83.60992519841271"/>
        <n v="209.0248129960318"/>
        <n v="167.21985039682542"/>
        <n v="48.772456365740744"/>
        <n v="62.70744389880953"/>
        <n v="397.1471446924604"/>
        <n v="175.5808429166667"/>
        <n v="219.47605364583342"/>
        <n v="43.89521072916668"/>
        <n v="65.84281609375002"/>
        <n v="131.68563218750003"/>
        <n v="87.79042145833336"/>
        <n v="351.1616858333334"/>
        <n v="263.37126437500007"/>
        <n v="250.82977559523812"/>
      </sharedItems>
    </cacheField>
    <cacheField name="Atividade incentiv." numFmtId="0">
      <sharedItems>
        <b v="0"/>
        <b v="1"/>
      </sharedItems>
    </cacheField>
    <cacheField name="Projeto incentiv." numFmtId="0">
      <sharedItems>
        <b v="1"/>
        <b v="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1:L135" sheet="TERCEIROS"/>
  </cacheSource>
  <cacheFields>
    <cacheField name="Projeto" numFmtId="0">
      <sharedItems>
        <s v="INOV00013|INOV00001"/>
        <s v="INOV00001"/>
        <s v="INOV00016"/>
        <s v="INOV00024"/>
        <s v="INOV00006"/>
        <s v="INOV00011"/>
        <s v="INOV00023"/>
        <s v="INOV00034"/>
        <s v="INOV00016|INOV00013"/>
        <s v="INOV00012|INOV00025"/>
        <s v="INOV00013"/>
        <s v="INOV00022"/>
        <s v="INOV00032"/>
        <s v="INOV00038"/>
        <s v="INOV00014|INOV00016"/>
        <s v="INOV00029"/>
        <s v="INOV00014"/>
        <s v="INOV00001|INOV00021"/>
        <s v="INOV00031"/>
        <s v="INOV00014|INOV00016|INOV00010|INOV00001"/>
        <s v="INOV00019"/>
        <s v="INOV00019|INOV00010"/>
        <s v="INOV00016|INOV00040"/>
        <s v="INOV00025"/>
        <s v="INOV00031|INOV00010"/>
        <s v="INOV00017"/>
        <s v="INOV00040|INOV00017"/>
        <s v="INOV00001|INOV00041"/>
        <s v="INOV00010"/>
        <s v="INOV00001|INOV00031"/>
        <s v="INOV00028"/>
        <s v="INOV00037"/>
        <s v="INOV00039"/>
      </sharedItems>
    </cacheField>
    <cacheField name="Etapa" numFmtId="0">
      <sharedItems containsString="0" containsBlank="1">
        <m/>
      </sharedItems>
    </cacheField>
    <cacheField name="Fornecedor" numFmtId="0">
      <sharedItems>
        <s v="Eurofins do Brasil Análise de Alimentos Ltda."/>
        <s v="J&amp;J Serviços de Entregas Ltda - ME"/>
        <s v="Fundação de Apoio à Universidade de São Paulo"/>
        <s v="ZAY SERVIÇOS DE ANÁLISES QUÍMICAS LTDA"/>
        <s v="CELL TARGET EVENTOS E CURSOS LTDA"/>
        <s v="FoodTech Consultoria Ltda."/>
        <s v="DPR Turismo Ltda"/>
        <s v="Fundação de apoio à Pesquisa"/>
        <s v="PRODIET NUTRICAO CLINICA LTDA"/>
        <s v="Studio Madcreative Design Ltda - ME"/>
        <s v="Fundação de desenv. da pesquisa do agronegócio - FUNDEPAG"/>
        <s v="AZUL LINHAS AEREAS BRASILEIRAS S.A."/>
        <s v="GOL Linhas Aéreas S.A"/>
        <s v="Trip Travel"/>
        <s v="American Airlines"/>
        <s v="CAD - CLINICA DE ANESTESIOLOGIA E DOR LTDA"/>
        <s v="TAM Linhas Aéreas S.A."/>
        <s v="Tourhouse"/>
        <s v="LSD Serviços de Tradução LTDA"/>
        <s v="Labor Três Laboratórios e Consultoria Técnica Ltda."/>
        <s v="Fundação Arthur Bernardes"/>
        <s v="MCI Suisse SA, Rue du Pré-Bouvier 9, 1242 Satigny, Switzerland - ESPEN"/>
        <s v="Cell Target Eventos e Cursos Ltda."/>
        <s v="DEUTSCHE LUFTHANSA AG"/>
        <s v="TUV SUD SFDK Laboratório de Análise de Produto Ltda"/>
        <s v="BQ PLUS MEDICAL CO LTD"/>
        <s v="Clinica Valente de Geriatria"/>
        <s v="BRASPEN"/>
        <s v="Tetra Pak LTDA"/>
        <s v="LOCALIZA RENT A CAR S/A"/>
        <s v="Barra Bonita Shopping Empreendimentos e Participações LTDA"/>
        <s v="LABORATORIO PADRAO SA"/>
      </sharedItems>
    </cacheField>
    <cacheField name="CNPJ" numFmtId="0">
      <sharedItems containsBlank="1">
        <s v="04.329.668/0001-38"/>
        <s v="20.618.029/0001-49"/>
        <s v="68.314.830/0001-27"/>
        <s v="09.241.991/0001-79"/>
        <s v="02.980.901/0001-12"/>
        <s v="26.785.411/0001-23"/>
        <s v="73.506.453/0001−68"/>
        <s v="00.799.205/0001-89"/>
        <s v="08.183.359/0003-15"/>
        <s v="11.115.312/0001-67"/>
        <s v="50.276.237/0001-78"/>
        <s v="09.296.295/0001-60"/>
        <s v="07.575.651/0001-59"/>
        <s v="NA"/>
        <s v="08.183.359/0001-53"/>
        <s v="03.289.084/0001-13"/>
        <s v="02.012.862/0001-60"/>
        <m/>
        <s v="43.503.492/0001-40"/>
        <s v="02.021.076/0001-29"/>
        <s v="20.320.503/0001-51"/>
        <e v="#N/A"/>
        <s v="02.908.901/0001-12"/>
        <s v="44.442.510/0001-94"/>
        <s v="42.567.032/0001-13"/>
        <s v="61.528.030/0001-60"/>
        <s v="16.670.085/0166-63"/>
        <s v="00.821.438/0002-11"/>
        <s v="01.588.888/0032-94"/>
      </sharedItems>
    </cacheField>
    <cacheField name="Notafiscal">
      <sharedItems containsMixedTypes="1" containsNumber="1" containsInteger="1">
        <n v="207509.0"/>
        <n v="37177.0"/>
        <n v="55390.0"/>
        <n v="2470.0"/>
        <n v="6435.0"/>
        <n v="528.0"/>
        <n v="49409.0"/>
        <n v="67637.0"/>
        <n v="104162.0"/>
        <n v="68015.0"/>
        <n v="209456.0"/>
        <n v="209531.0"/>
        <n v="68049.0"/>
        <n v="68075.0"/>
        <n v="210288.0"/>
        <n v="2474.0"/>
        <n v="141637.0"/>
        <n v="141631.0"/>
        <n v="141728.0"/>
        <n v="68381.0"/>
        <n v="55924.0"/>
        <s v="NA"/>
        <n v="141897.0"/>
        <n v="211793.0"/>
        <n v="68670.0"/>
        <n v="105669.0"/>
        <n v="142037.0"/>
        <n v="213093.0"/>
        <n v="6455.0"/>
        <n v="18652.0"/>
        <n v="56414.0"/>
        <n v="69465.0"/>
        <n v="20813.0"/>
        <n v="55.0"/>
        <n v="47926.0"/>
        <n v="69780.0"/>
        <n v="70142.0"/>
        <n v="215431.0"/>
        <n v="216050.0"/>
        <n v="71112.0"/>
        <n v="216113.0"/>
        <n v="2.02300000000865E14"/>
        <n v="144059.0"/>
        <n v="72672.0"/>
        <n v="144129.0"/>
        <n v="216954.0"/>
        <n v="108117.0"/>
        <n v="109739.0"/>
        <n v="72713.0"/>
        <n v="71196.0"/>
        <n v="71795.0"/>
        <n v="144374.0"/>
        <n v="6505.0"/>
        <n v="2.02300000001049E14"/>
        <n v="73540.0"/>
        <n v="218402.0"/>
        <n v="218964.0"/>
        <n v="71198.0"/>
        <n v="111704.0"/>
        <n v="74249.0"/>
        <n v="220123.0"/>
        <n v="71507.0"/>
        <n v="220725.0"/>
        <n v="145463.0"/>
        <n v="71814.0"/>
        <n v="222181.0"/>
        <n v="128664.0"/>
        <s v="BQ20231084-F"/>
        <n v="146010.0"/>
        <n v="1.0146009E7"/>
        <n v="223120.0"/>
        <n v="128847.0"/>
        <n v="504.0"/>
        <n v="72337.0"/>
        <n v="146593.0"/>
        <n v="224769.0"/>
        <n v="26035.0"/>
        <s v="AASDU - 1134842"/>
        <n v="226937.0"/>
        <n v="1228560.0"/>
        <n v="122855.0"/>
        <n v="73382.0"/>
        <n v="73486.0"/>
        <n v="73485.0"/>
        <n v="228636.0"/>
        <n v="73825.0"/>
        <n v="229019.0"/>
        <n v="148131.0"/>
        <n v="148405.0"/>
        <n v="74060.0"/>
        <n v="231646.0"/>
        <n v="149031.0"/>
        <n v="232091.0"/>
        <n v="58941.0"/>
        <n v="27612.0"/>
        <n v="27615.0"/>
        <n v="74614.0"/>
        <n v="233530.0"/>
        <n v="78616.0"/>
        <n v="133123.0"/>
        <n v="80029.0"/>
        <n v="80030.0"/>
        <n v="81401.0"/>
        <n v="23141.0"/>
        <n v="80077.0"/>
        <n v="59793.0"/>
        <n v="1820653.0"/>
        <n v="78716.0"/>
        <n v="79608.0"/>
      </sharedItems>
    </cacheField>
    <cacheField name="Valor" numFmtId="165">
      <sharedItems containsSemiMixedTypes="0" containsString="0" containsNumber="1">
        <n v="25978.28"/>
        <n v="285.7"/>
        <n v="259.0"/>
        <n v="820.0"/>
        <n v="723.0"/>
        <n v="3748.94"/>
        <n v="734.0"/>
        <n v="63.15"/>
        <n v="1476.0"/>
        <n v="756.0"/>
        <n v="8298.09"/>
        <n v="1140.48"/>
        <n v="364.4"/>
        <n v="197.02"/>
        <n v="12717.91"/>
        <n v="16200.0"/>
        <n v="852.0"/>
        <n v="2556.0"/>
        <n v="797.0"/>
        <n v="89.8"/>
        <n v="280.0"/>
        <n v="1499.57"/>
        <n v="871.11"/>
        <n v="730.0"/>
        <n v="488.68"/>
        <n v="112.0"/>
        <n v="918.0"/>
        <n v="39861.58"/>
        <n v="1736.92"/>
        <n v="2024.13"/>
        <n v="333.75"/>
        <n v="4003.57"/>
        <n v="800.0"/>
        <n v="208.35"/>
        <n v="332.75"/>
        <n v="560.0"/>
        <n v="120.92"/>
        <n v="766.22"/>
        <n v="751.32"/>
        <n v="471.68"/>
        <n v="73.0"/>
        <n v="170.42"/>
        <n v="314.64"/>
        <n v="151.89"/>
        <n v="9745.8"/>
        <n v="4029.64"/>
        <n v="336.0"/>
        <n v="1634.26"/>
        <n v="9600.0"/>
        <n v="185.0"/>
        <n v="10353.16"/>
        <n v="952.0"/>
        <n v="196.0"/>
        <n v="2099.32"/>
        <n v="1704.0"/>
        <n v="745.45"/>
        <n v="1910.31"/>
        <n v="10664.98"/>
        <n v="29104.5"/>
        <n v="139.51"/>
        <n v="348.0"/>
        <n v="9542.22"/>
        <n v="63.89"/>
        <n v="3939.77"/>
        <n v="111.37"/>
        <n v="533.82"/>
        <n v="5156.64"/>
        <n v="1594.57"/>
        <n v="24820.0"/>
        <n v="42767.13"/>
        <n v="10602.79"/>
        <n v="3196.59"/>
        <n v="790.0"/>
        <n v="29.95"/>
        <n v="12862.36"/>
        <n v="20814.27"/>
        <n v="511.26"/>
        <n v="9960.63"/>
        <n v="1065.75"/>
        <n v="67.7"/>
        <n v="76.23"/>
        <n v="46.72"/>
        <n v="47.3"/>
        <n v="10022.49"/>
        <n v="59.93"/>
        <n v="16323.97"/>
        <n v="1628.0"/>
        <n v="47.31"/>
        <n v="1132.88"/>
        <n v="3408.0"/>
        <n v="4933.77"/>
        <n v="36000.0"/>
        <n v="25148.69"/>
        <n v="47.43"/>
        <n v="8217.84"/>
        <n v="4536.0"/>
        <n v="601.61"/>
        <n v="1055.0"/>
        <n v="972.0"/>
        <n v="434.0"/>
        <n v="5.0"/>
        <n v="120.0"/>
        <n v="13000.0"/>
        <n v="18.0"/>
        <n v="2058.0"/>
      </sharedItems>
    </cacheField>
    <cacheField name="Data" numFmtId="168">
      <sharedItems containsSemiMixedTypes="0" containsDate="1" containsString="0">
        <d v="2023-01-02T00:00:00Z"/>
        <d v="2023-01-03T00:00:00Z"/>
        <d v="2023-01-04T00:00:00Z"/>
        <d v="2023-01-10T00:00:00Z"/>
        <d v="2023-01-16T00:00:00Z"/>
        <d v="2023-01-17T00:00:00Z"/>
        <d v="2023-01-20T00:00:00Z"/>
        <d v="2023-01-19T00:00:00Z"/>
        <d v="2023-01-30T00:00:00Z"/>
        <d v="2023-02-01T00:00:00Z"/>
        <d v="2023-02-03T00:00:00Z"/>
        <d v="2023-02-02T00:00:00Z"/>
        <d v="2023-02-13T00:00:00Z"/>
        <d v="2023-02-09T00:00:00Z"/>
        <d v="2023-02-14T00:00:00Z"/>
        <d v="2023-02-16T00:00:00Z"/>
        <d v="2023-02-17T00:00:00Z"/>
        <d v="2023-02-28T00:00:00Z"/>
        <d v="2023-03-01T00:00:00Z"/>
        <d v="2023-03-02T00:00:00Z"/>
        <d v="2023-02-06T00:00:00Z"/>
        <d v="2023-03-03T00:00:00Z"/>
        <d v="2023-03-20T00:00:00Z"/>
        <d v="2023-03-17T00:00:00Z"/>
        <d v="2023-02-15T00:00:00Z"/>
        <d v="2023-03-27T00:00:00Z"/>
        <d v="2023-03-31T00:00:00Z"/>
        <d v="2023-04-03T00:00:00Z"/>
        <d v="2023-04-04T00:00:00Z"/>
        <d v="2023-04-06T00:00:00Z"/>
        <d v="2023-04-12T00:00:00Z"/>
        <d v="2023-04-18T00:00:00Z"/>
        <d v="2023-05-03T00:00:00Z"/>
        <d v="2023-04-20T00:00:00Z"/>
        <d v="2023-04-05T00:00:00Z"/>
        <d v="2023-05-12T00:00:00Z"/>
        <d v="2023-05-16T00:00:00Z"/>
        <d v="2023-05-04T00:00:00Z"/>
        <d v="2023-05-30T00:00:00Z"/>
        <d v="2023-05-15T00:00:00Z"/>
        <d v="2023-04-10T00:00:00Z"/>
        <d v="2023-06-01T00:00:00Z"/>
        <d v="2023-05-24T00:00:00Z"/>
        <d v="2023-06-02T00:00:00Z"/>
        <d v="2023-06-05T00:00:00Z"/>
        <d v="2023-06-06T00:00:00Z"/>
        <d v="2023-06-13T00:00:00Z"/>
        <d v="2023-06-19T00:00:00Z"/>
        <d v="2023-06-27T00:00:00Z"/>
        <d v="2023-07-01T00:00:00Z"/>
        <d v="2023-07-04T00:00:00Z"/>
        <d v="2023-07-06T00:00:00Z"/>
        <d v="2023-07-11T00:00:00Z"/>
        <d v="2023-07-18T00:00:00Z"/>
        <d v="2023-07-25T00:00:00Z"/>
        <d v="2023-07-28T00:00:00Z"/>
        <d v="2023-07-27T00:00:00Z"/>
        <d v="2023-08-04T00:00:00Z"/>
        <d v="2023-08-10T00:00:00Z"/>
        <d v="2023-08-08T00:00:00Z"/>
        <d v="2023-07-10T00:00:00Z"/>
        <d v="2023-08-16T00:00:00Z"/>
        <d v="2023-09-01T00:00:00Z"/>
        <d v="2023-09-14T00:00:00Z"/>
        <d v="2023-09-27T00:00:00Z"/>
        <d v="2023-10-01T00:00:00Z"/>
        <d v="2023-10-03T00:00:00Z"/>
        <d v="2023-10-16T00:00:00Z"/>
        <d v="2023-10-19T00:00:00Z"/>
        <d v="2023-10-18T00:00:00Z"/>
        <d v="2023-10-25T00:00:00Z"/>
        <d v="2023-11-01T00:00:00Z"/>
        <d v="2023-11-09T00:00:00Z"/>
        <d v="2023-11-16T00:00:00Z"/>
        <d v="2023-12-01T00:00:00Z"/>
        <d v="2023-12-07T00:00:00Z"/>
        <d v="2023-12-15T00:00:00Z"/>
        <d v="2023-12-19T00:00:00Z"/>
        <d v="2023-12-28T00:00:00Z"/>
        <d v="2023-10-11T00:00:00Z"/>
        <d v="2023-11-20T00:00:00Z"/>
        <d v="2023-12-26T00:00:00Z"/>
        <d v="2023-11-21T00:00:00Z"/>
        <d v="2023-12-14T00:00:00Z"/>
        <d v="2023-11-17T00:00:00Z"/>
        <d v="2023-10-13T00:00:00Z"/>
        <d v="2023-11-07T00:00:00Z"/>
      </sharedItems>
    </cacheField>
    <cacheField name="Descrição da Atividade" numFmtId="0">
      <sharedItems>
        <s v="Análise de vitaminas, minerais e macronutrientes (Trophic Basic Enteral a vácuo - T6A / T12LD NHcF)"/>
        <s v="Envio de amostra para análise"/>
        <s v="Análise de DP – Avaliação de pressão de homogeneização."/>
        <s v="Aluguel de espaço em câmara climática, para estudo acelerado das dietas retort HH, HN e HNcF V04 e V05 + sachê a vácuo"/>
        <s v="Inscrição em congresso para profissional autor de relato de caso"/>
        <s v="Curso FoodTech - Inovação de Alimentos"/>
        <s v="Aluguel de veículo visita DSM Suíça"/>
        <s v="Envio de amostra para análise (PL - T16LD)"/>
        <s v="Apoio à pesquisa clinica"/>
        <s v="Doação de Produtos para Estudo de Caso"/>
        <s v="Análise de vitaminas marcadoras para T6LD das dietas HH, HN e HNcF"/>
        <s v="Análise de vitaminas C e B1 - teste Daus"/>
        <s v="Envio de amostra de bobina para teste Científico"/>
        <s v="Envio para análise de PL para T9 (Trophic Soya 1.5) e reanálise do T6A e T6LD (Trophic Basic Enteral vácuo)"/>
        <s v="Análise de vitaminas, minerais e macronutrientes para T9LD"/>
        <s v="Serviços de marketing - Desenvolvimento de rotulagem, naming, estudos de concorrentes / Ajuste de rotulagem"/>
        <s v="Análise de perfil lipídico - T9"/>
        <s v="Análise de perfil lipídico - T6A das dietas HH, HN e HNcF"/>
        <s v="Análise de perfil lipídico - T6A"/>
        <s v="Envio de amostra para análise de DP"/>
        <s v="Aéreo teste Embrapa/RJ - Lizianne"/>
        <s v="Aéreo teste Embrapa/RJ - Juliana"/>
        <s v="Análise de DHA, para amostra com produção Prodiet"/>
        <s v="Análise de macronutrientes para teste piloto realizado na Doremus"/>
        <s v="Doação de amostra para pesquisador"/>
        <s v="Análise de perfil lipídico para T6A"/>
        <s v="Análise de vitaminas, minerais e macronutrientes para T6A das dietas HH, HN e HNcF"/>
        <s v="Aéreo ASPEN (retorno)"/>
        <s v="Aéreo ASPEN (ida)"/>
        <s v="Hospedagem Las vegas (1 noite adiantamento)"/>
        <s v="Inscrição no congresso ASPEN"/>
        <s v="RDV teste Embrapa/RJ"/>
        <s v="RDV teste Embrapa/RJ - Everton"/>
        <s v="Publicação em evento científico"/>
        <s v="Aéreo teste IFF/SP - Lorini"/>
        <s v="Envio de MP para teste Embrapa/RJ"/>
        <s v="Assist Card - seguro 19-26/04"/>
        <s v="Tradução de resumo para congresso"/>
        <s v="Análise de esterilidade comercial - T0 UTI"/>
        <s v="Envio de amostra para análise de EC e PL"/>
        <s v="RDV teste IFF - Cotia/SP - Juliana"/>
        <s v="Envio de amostra para análise de PL"/>
        <s v="Análise de marcadores para T9LD das dietas HH, HN e HNcF"/>
        <s v="Análise de marcadores para T6LD das dietas Diamax IG RTH e Trophic Soya RTH"/>
        <s v="Análise de Vitamina C e ácido pantotênico no retort UTI – teste março/2023 / Análise de zinco e proteína para amostra de teste de bancada do projeto sobremesa"/>
        <s v="1a/2 parcela contrato Embrapa FUNARBE de R$19.200,00 (contrato 004/23)"/>
        <s v="Análise de perfil lipídico"/>
        <s v="Doação de produtos para realização de série de casos"/>
        <s v="Análise de perfil lipídico - T12LD"/>
        <s v="Análise de vit C e Cu de teste realizado na IFF, para avaliação de agente protetor da vitamina C (Trophic Soya 1.5 Fiber) / Análise de vit C de teste realizado na IFF, para avaliação de agente protetor da vitamina C (Energyzip 25%) / Análise para homologa"/>
        <s v="Doação de Produtos para Estudo de Caso - Jenifer Cardoso"/>
        <s v="Doação de Produtos para Estudo de Caso - Juliana Pastore"/>
        <s v="Inscrição em congresso ESPEN"/>
        <s v="Inscrição em congresso para apresentação de resultados de estudo de caso/divulgação científica"/>
        <s v="2a/2 parcela contrato Embrapa FUNARBE de R$19.200,00 (contrato 004/23)"/>
        <s v="Aéreo teste Tetra Pak Monte Mor/SP - Rafael"/>
        <s v="Análise de vitaminas, minerais e macronutrientes para T12"/>
        <s v="Análise de vitaminas, minerais e macronutrientes para T0 do Energyzip Pó Morango / Análise para verificar a presença de Vitamina B1 no Aroma de Leite Condensado"/>
        <s v="Análise de vitaminas para o Trophic Soya 1.5 Fiber após teste industrial"/>
        <s v="Passagem aérea para teste P&amp;D - Latco"/>
        <s v="Análise de marcadores para o Trophic Soya RTH e Diamax RTH - T9LD"/>
        <s v="Análise de iodo  - T12"/>
        <s v="Molde (ativo) para injeção de uma peça plástica"/>
        <s v="Análise de macronutrientes, minerais e vitaminas para HH, HN e HNcF - T12"/>
        <s v="Análise de vitaminas e minerais do Trophic Soya 1.5 T12, visando a extensão de shelf life"/>
        <s v="Consultoria científica - envelhecimento e massa muscular"/>
        <s v="inscrição BRASPEN pesquisadora Gesika - projeto relato de caso"/>
        <s v="Análise de Vitaminas, Minerais e Macronutrientes do Energyzip Suslac (T0) / Análise de lactose para a linha Soya pó"/>
        <s v="Teste industrial do Trophic Soya 1.5 Fiber na Tetra Pak."/>
        <s v="Aluguel de carro para o teste piloto na EMBRAPA/RJ"/>
        <s v="Análise de lactose, glúten e aminograma."/>
        <s v="Hospedagem durante teste piloto na EMBRAPA/RJ"/>
        <s v="Análise de Macronutrientes, minerais e vitaminas DiamaxIN (T12) e NEO (T0)"/>
        <s v="Envio de amostra para análise (tamanho de termopar)"/>
        <s v="Análise de Macronutrientes, minerais e vitaminas"/>
        <s v="Análise de vitaminas."/>
        <s v="Análise de distribuição de partículas em Trophic Soya produzido na DAUS"/>
        <s v="testes pilotos realizados na TetraPak, para matrização de novas fórmulas."/>
        <s v="Doação de Produto Immax para Pesquisa Clinica"/>
        <s v="Análise de Vitamina C (T0)"/>
        <s v="Doação de Produto Immax/Peptimax para Estudo de Caso"/>
        <s v="Doação de Produto Peptimax/Instanth Neo para Estudo de caso"/>
        <s v="Doação de Produto Immax para Estudo de Caso"/>
        <s v="Doação de Produto Retort UTI para Pesquisa Clinica"/>
        <s v="Doação de Produto DiamaxIN para Pesquisa Clinica"/>
        <s v="Pagamento Fundação da PC FoRC"/>
        <s v="Pagamento de exames laboratoriais"/>
        <s v="Doação de Produto Peptimax/Enterfiber para Estudo de caso"/>
        <s v="Doação de Produto Trophic Infant para Estudo de caso"/>
      </sharedItems>
    </cacheField>
    <cacheField name="Objetivo do gasto e eventual info de rateio" numFmtId="0">
      <sharedItems containsString="0" containsBlank="1">
        <m/>
      </sharedItems>
    </cacheField>
    <cacheField name="Incentivado?" numFmtId="0">
      <sharedItems>
        <b v="1"/>
        <b v="0"/>
      </sharedItems>
    </cacheField>
    <cacheField name="Valor incentivado" numFmtId="165">
      <sharedItems containsSemiMixedTypes="0" containsString="0" containsNumber="1">
        <n v="25978.28"/>
        <n v="285.7"/>
        <n v="259.0"/>
        <n v="820.0"/>
        <n v="723.0"/>
        <n v="0.0"/>
        <n v="734.0"/>
        <n v="1476.0"/>
        <n v="8298.09"/>
        <n v="1140.48"/>
        <n v="197.02"/>
        <n v="12717.91"/>
        <n v="852.0"/>
        <n v="2556.0"/>
        <n v="797.0"/>
        <n v="89.8"/>
        <n v="280.0"/>
        <n v="730.0"/>
        <n v="918.0"/>
        <n v="39861.58"/>
        <n v="333.75"/>
        <n v="4003.57"/>
        <n v="800.0"/>
        <n v="332.75"/>
        <n v="560.0"/>
        <n v="44.96"/>
        <n v="254.1"/>
        <n v="107.69"/>
        <n v="314.64"/>
        <n v="44.55"/>
        <n v="9745.8"/>
        <n v="4029.64"/>
        <n v="1634.26"/>
        <n v="9600.0"/>
        <n v="6398.36"/>
        <n v="10664.98"/>
        <n v="29104.5"/>
        <n v="4771.11"/>
        <n v="63.89"/>
        <n v="3939.77"/>
        <n v="55.685"/>
        <n v="5156.64"/>
        <n v="1594.57"/>
        <n v="38811.17"/>
        <n v="9622.03"/>
        <n v="3196.59"/>
        <n v="29.95"/>
        <n v="6431.18"/>
        <n v="20814.27"/>
        <n v="511.26"/>
        <n v="9960.63"/>
        <n v="1065.75"/>
        <n v="10022.49"/>
        <n v="16323.97"/>
        <n v="1628.0"/>
        <n v="1132.88"/>
        <n v="3408.0"/>
        <n v="4933.77"/>
        <n v="8217.84"/>
        <n v="601.61"/>
        <n v="13000.0"/>
        <n v="18.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Tabela dinâmica 1" cacheId="0" dataCaption="" compact="0" compactData="0">
  <location ref="A5:D25" firstHeaderRow="0" firstDataRow="3" firstDataCol="0" rowPageCount="3" colPageCount="1"/>
  <pivotFields>
    <pivotField name="Projeto 1" axis="axisPage" compact="0" outline="0" multipleItemSelectionAllowed="1" showAll="0">
      <items>
        <item h="1" x="0"/>
        <item h="1" x="1"/>
        <item h="1" x="2"/>
        <item h="1" x="3"/>
        <item h="1" x="4"/>
        <item h="1" x="5"/>
        <item h="1" x="6"/>
        <item h="1" x="7"/>
        <item h="1" x="8"/>
        <item h="1" x="9"/>
        <item h="1" x="10"/>
        <item h="1" x="11"/>
        <item h="1" x="12"/>
        <item h="1" x="13"/>
        <item h="1" x="14"/>
        <item h="1" x="15"/>
        <item h="1" x="16"/>
        <item x="17"/>
        <item h="1" x="18"/>
        <item h="1" x="19"/>
        <item h="1" x="20"/>
        <item h="1" x="21"/>
        <item h="1" x="22"/>
        <item h="1" x="23"/>
        <item h="1" x="24"/>
        <item h="1" x="25"/>
        <item h="1" x="26"/>
        <item h="1" x="27"/>
        <item h="1" x="28"/>
        <item h="1" x="29"/>
        <item h="1" x="30"/>
        <item h="1" x="31"/>
        <item h="1" x="32"/>
        <item h="1" x="33"/>
        <item t="default"/>
      </items>
    </pivotField>
    <pivotField name="Etap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Colaborador" axis="axisRow" compact="0" outline="0" multipleItemSelectionAllowed="1" showAll="0" sortType="ascending">
      <items>
        <item x="11"/>
        <item x="1"/>
        <item x="10"/>
        <item x="0"/>
        <item x="2"/>
        <item x="3"/>
        <item x="4"/>
        <item x="5"/>
        <item x="7"/>
        <item x="6"/>
        <item x="8"/>
        <item x="12"/>
        <item x="9"/>
        <item t="default"/>
      </items>
    </pivotField>
    <pivotField name="Data" compact="0" numFmtId="17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t="default"/>
      </items>
    </pivotField>
    <pivotField name="Tempo(h)" dataField="1" compact="0" numFmtId="4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Classificação PRODIET" compact="0" outline="0" multipleItemSelectionAllowed="1" showAll="0">
      <items>
        <item x="0"/>
        <item x="1"/>
        <item x="2"/>
        <item x="3"/>
        <item t="default"/>
      </items>
    </pivotField>
    <pivotField name="Classificação MCBENNER" compact="0" outline="0" multipleItemSelectionAllowed="1" showAll="0">
      <items>
        <item x="0"/>
        <item x="1"/>
        <item x="2"/>
        <item x="3"/>
        <item t="default"/>
      </items>
    </pivotField>
    <pivotField name=" " compact="0" outline="0" multipleItemSelectionAllowed="1" showAll="0">
      <items>
        <item x="0"/>
        <item x="1"/>
        <item t="default"/>
      </items>
    </pivotField>
    <pivotField name="Descrição da atividade e observações" axis="axisRow" compact="0" outline="0" multipleItemSelectionAllowed="1" showAll="0" sortType="ascending">
      <items>
        <item x="191"/>
        <item x="149"/>
        <item x="49"/>
        <item x="794"/>
        <item x="699"/>
        <item x="111"/>
        <item x="814"/>
        <item x="940"/>
        <item x="270"/>
        <item x="269"/>
        <item x="1087"/>
        <item x="928"/>
        <item x="283"/>
        <item x="936"/>
        <item x="858"/>
        <item x="361"/>
        <item x="394"/>
        <item x="396"/>
        <item x="393"/>
        <item x="75"/>
        <item x="1029"/>
        <item x="1023"/>
        <item x="240"/>
        <item x="451"/>
        <item x="0"/>
        <item x="1028"/>
        <item x="459"/>
        <item x="101"/>
        <item x="100"/>
        <item x="1034"/>
        <item x="230"/>
        <item x="227"/>
        <item x="384"/>
        <item x="377"/>
        <item x="454"/>
        <item x="385"/>
        <item x="1105"/>
        <item x="456"/>
        <item x="455"/>
        <item x="494"/>
        <item x="55"/>
        <item x="466"/>
        <item x="268"/>
        <item x="228"/>
        <item x="17"/>
        <item x="222"/>
        <item x="492"/>
        <item x="94"/>
        <item x="1032"/>
        <item x="1017"/>
        <item x="482"/>
        <item x="888"/>
        <item x="939"/>
        <item x="909"/>
        <item x="744"/>
        <item x="901"/>
        <item x="1088"/>
        <item x="903"/>
        <item x="706"/>
        <item x="945"/>
        <item x="853"/>
        <item x="770"/>
        <item x="935"/>
        <item x="703"/>
        <item x="971"/>
        <item x="335"/>
        <item x="1108"/>
        <item x="1082"/>
        <item x="1086"/>
        <item x="996"/>
        <item x="899"/>
        <item x="902"/>
        <item x="905"/>
        <item x="280"/>
        <item x="452"/>
        <item x="465"/>
        <item x="74"/>
        <item x="70"/>
        <item x="176"/>
        <item x="574"/>
        <item x="1026"/>
        <item x="830"/>
        <item x="825"/>
        <item x="828"/>
        <item x="827"/>
        <item x="829"/>
        <item x="978"/>
        <item x="833"/>
        <item x="15"/>
        <item x="823"/>
        <item x="807"/>
        <item x="822"/>
        <item x="118"/>
        <item x="390"/>
        <item x="989"/>
        <item x="984"/>
        <item x="467"/>
        <item x="407"/>
        <item x="1"/>
        <item x="5"/>
        <item x="358"/>
        <item x="372"/>
        <item x="383"/>
        <item x="380"/>
        <item x="378"/>
        <item x="652"/>
        <item x="1051"/>
        <item x="366"/>
        <item x="381"/>
        <item x="368"/>
        <item x="857"/>
        <item x="690"/>
        <item x="846"/>
        <item x="514"/>
        <item x="527"/>
        <item x="538"/>
        <item x="522"/>
        <item x="532"/>
        <item x="386"/>
        <item x="645"/>
        <item x="862"/>
        <item x="565"/>
        <item x="618"/>
        <item x="642"/>
        <item x="640"/>
        <item x="1045"/>
        <item x="567"/>
        <item x="672"/>
        <item x="1061"/>
        <item x="629"/>
        <item x="880"/>
        <item x="891"/>
        <item x="1041"/>
        <item x="962"/>
        <item x="578"/>
        <item x="579"/>
        <item x="623"/>
        <item x="1052"/>
        <item x="959"/>
        <item x="612"/>
        <item x="1040"/>
        <item x="671"/>
        <item x="878"/>
        <item x="1058"/>
        <item x="1059"/>
        <item x="606"/>
        <item x="666"/>
        <item x="635"/>
        <item x="632"/>
        <item x="1048"/>
        <item x="676"/>
        <item x="375"/>
        <item x="884"/>
        <item x="656"/>
        <item x="568"/>
        <item x="607"/>
        <item x="670"/>
        <item x="955"/>
        <item x="95"/>
        <item x="525"/>
        <item x="496"/>
        <item x="594"/>
        <item x="72"/>
        <item x="73"/>
        <item x="674"/>
        <item x="91"/>
        <item x="90"/>
        <item x="89"/>
        <item x="503"/>
        <item x="721"/>
        <item x="502"/>
        <item x="242"/>
        <item x="272"/>
        <item x="253"/>
        <item x="243"/>
        <item x="267"/>
        <item x="229"/>
        <item x="226"/>
        <item x="462"/>
        <item x="1068"/>
        <item x="824"/>
        <item x="142"/>
        <item x="141"/>
        <item x="463"/>
        <item x="771"/>
        <item x="1075"/>
        <item x="58"/>
        <item x="734"/>
        <item x="529"/>
        <item x="233"/>
        <item x="265"/>
        <item x="78"/>
        <item x="77"/>
        <item x="516"/>
        <item x="53"/>
        <item x="37"/>
        <item x="303"/>
        <item x="363"/>
        <item x="220"/>
        <item x="539"/>
        <item x="534"/>
        <item x="1097"/>
        <item x="895"/>
        <item x="897"/>
        <item x="765"/>
        <item x="906"/>
        <item x="722"/>
        <item x="294"/>
        <item x="1079"/>
        <item x="1072"/>
        <item x="920"/>
        <item x="1010"/>
        <item x="1109"/>
        <item x="919"/>
        <item x="1025"/>
        <item x="1002"/>
        <item x="868"/>
        <item x="130"/>
        <item x="628"/>
        <item x="619"/>
        <item x="376"/>
        <item x="148"/>
        <item x="173"/>
        <item x="907"/>
        <item x="1094"/>
        <item x="1092"/>
        <item x="747"/>
        <item x="1107"/>
        <item x="729"/>
        <item x="685"/>
        <item x="728"/>
        <item x="757"/>
        <item x="752"/>
        <item x="988"/>
        <item x="279"/>
        <item x="298"/>
        <item x="553"/>
        <item x="668"/>
        <item x="254"/>
        <item x="246"/>
        <item x="563"/>
        <item x="691"/>
        <item x="1060"/>
        <item x="915"/>
        <item x="572"/>
        <item x="569"/>
        <item x="667"/>
        <item x="562"/>
        <item x="669"/>
        <item x="169"/>
        <item x="956"/>
        <item x="1053"/>
        <item x="147"/>
        <item x="663"/>
        <item x="647"/>
        <item x="651"/>
        <item x="965"/>
        <item x="92"/>
        <item x="245"/>
        <item x="231"/>
        <item x="560"/>
        <item x="461"/>
        <item x="388"/>
        <item x="97"/>
        <item x="397"/>
        <item x="81"/>
        <item x="82"/>
        <item x="235"/>
        <item x="195"/>
        <item x="957"/>
        <item x="172"/>
        <item x="1036"/>
        <item x="874"/>
        <item x="205"/>
        <item x="208"/>
        <item x="964"/>
        <item x="400"/>
        <item x="1047"/>
        <item x="247"/>
        <item x="185"/>
        <item x="161"/>
        <item x="159"/>
        <item x="209"/>
        <item x="152"/>
        <item x="575"/>
        <item x="864"/>
        <item x="199"/>
        <item x="789"/>
        <item x="863"/>
        <item x="196"/>
        <item x="136"/>
        <item x="206"/>
        <item x="886"/>
        <item x="615"/>
        <item x="627"/>
        <item x="605"/>
        <item x="588"/>
        <item x="875"/>
        <item x="654"/>
        <item x="602"/>
        <item x="601"/>
        <item x="600"/>
        <item x="876"/>
        <item x="873"/>
        <item x="614"/>
        <item x="608"/>
        <item x="661"/>
        <item x="164"/>
        <item x="885"/>
        <item x="232"/>
        <item x="617"/>
        <item x="610"/>
        <item x="213"/>
        <item x="611"/>
        <item x="216"/>
        <item x="214"/>
        <item x="675"/>
        <item x="129"/>
        <item x="154"/>
        <item x="555"/>
        <item x="867"/>
        <item x="93"/>
        <item x="62"/>
        <item x="237"/>
        <item x="877"/>
        <item x="198"/>
        <item x="203"/>
        <item x="200"/>
        <item x="201"/>
        <item x="202"/>
        <item x="401"/>
        <item x="591"/>
        <item x="402"/>
        <item x="649"/>
        <item x="583"/>
        <item x="613"/>
        <item x="889"/>
        <item x="178"/>
        <item x="1100"/>
        <item x="815"/>
        <item x="802"/>
        <item x="177"/>
        <item x="183"/>
        <item x="664"/>
        <item x="212"/>
        <item x="36"/>
        <item x="711"/>
        <item x="840"/>
        <item x="769"/>
        <item x="69"/>
        <item x="34"/>
        <item x="66"/>
        <item x="882"/>
        <item x="1077"/>
        <item x="276"/>
        <item x="341"/>
        <item x="338"/>
        <item x="351"/>
        <item x="38"/>
        <item x="295"/>
        <item x="716"/>
        <item x="309"/>
        <item x="933"/>
        <item x="923"/>
        <item x="1074"/>
        <item x="556"/>
        <item x="113"/>
        <item x="1043"/>
        <item x="1042"/>
        <item x="696"/>
        <item x="763"/>
        <item x="1093"/>
        <item x="636"/>
        <item x="263"/>
        <item x="271"/>
        <item x="273"/>
        <item x="921"/>
        <item x="356"/>
        <item x="391"/>
        <item x="395"/>
        <item x="990"/>
        <item x="223"/>
        <item x="1057"/>
        <item x="1123"/>
        <item x="1118"/>
        <item x="266"/>
        <item x="20"/>
        <item x="45"/>
        <item x="847"/>
        <item x="50"/>
        <item x="573"/>
        <item x="43"/>
        <item x="1024"/>
        <item x="60"/>
        <item x="143"/>
        <item x="343"/>
        <item x="257"/>
        <item x="739"/>
        <item x="1085"/>
        <item x="1030"/>
        <item x="4"/>
        <item x="624"/>
        <item x="963"/>
        <item x="826"/>
        <item x="977"/>
        <item x="151"/>
        <item x="133"/>
        <item x="561"/>
        <item x="795"/>
        <item x="580"/>
        <item x="639"/>
        <item x="585"/>
        <item x="810"/>
        <item x="157"/>
        <item x="754"/>
        <item x="616"/>
        <item x="549"/>
        <item x="1119"/>
        <item x="1012"/>
        <item x="476"/>
        <item x="10"/>
        <item x="704"/>
        <item x="772"/>
        <item x="726"/>
        <item x="14"/>
        <item x="2"/>
        <item x="317"/>
        <item x="145"/>
        <item x="197"/>
        <item x="158"/>
        <item x="134"/>
        <item x="1008"/>
        <item x="912"/>
        <item x="904"/>
        <item x="908"/>
        <item x="911"/>
        <item x="1007"/>
        <item x="326"/>
        <item x="953"/>
        <item x="328"/>
        <item x="333"/>
        <item x="327"/>
        <item x="302"/>
        <item x="337"/>
        <item x="1089"/>
        <item x="1019"/>
        <item x="313"/>
        <item x="316"/>
        <item x="256"/>
        <item x="353"/>
        <item x="96"/>
        <item x="1104"/>
        <item x="339"/>
        <item x="677"/>
        <item x="344"/>
        <item x="890"/>
        <item x="71"/>
        <item x="689"/>
        <item x="41"/>
        <item x="453"/>
        <item x="870"/>
        <item x="869"/>
        <item x="16"/>
        <item x="12"/>
        <item x="1037"/>
        <item x="292"/>
        <item x="457"/>
        <item x="11"/>
        <item x="837"/>
        <item x="1016"/>
        <item x="7"/>
        <item x="443"/>
        <item x="440"/>
        <item x="851"/>
        <item x="856"/>
        <item x="852"/>
        <item x="354"/>
        <item x="528"/>
        <item x="1113"/>
        <item x="958"/>
        <item x="688"/>
        <item x="650"/>
        <item x="1035"/>
        <item x="1033"/>
        <item x="98"/>
        <item x="99"/>
        <item x="102"/>
        <item x="488"/>
        <item x="399"/>
        <item x="596"/>
        <item x="854"/>
        <item x="917"/>
        <item x="910"/>
        <item x="521"/>
        <item x="448"/>
        <item x="450"/>
        <item x="660"/>
        <item x="1083"/>
        <item x="658"/>
        <item x="348"/>
        <item x="1099"/>
        <item x="993"/>
        <item x="865"/>
        <item x="564"/>
        <item x="460"/>
        <item x="211"/>
        <item x="163"/>
        <item x="54"/>
        <item x="224"/>
        <item x="510"/>
        <item x="8"/>
        <item x="1063"/>
        <item x="21"/>
        <item x="68"/>
        <item x="56"/>
        <item x="52"/>
        <item x="48"/>
        <item x="551"/>
        <item x="132"/>
        <item x="144"/>
        <item x="160"/>
        <item x="59"/>
        <item x="84"/>
        <item x="767"/>
        <item x="1005"/>
        <item x="325"/>
        <item x="872"/>
        <item x="883"/>
        <item x="193"/>
        <item x="156"/>
        <item x="194"/>
        <item x="219"/>
        <item x="221"/>
        <item x="946"/>
        <item x="1006"/>
        <item x="581"/>
        <item x="557"/>
        <item x="88"/>
        <item x="544"/>
        <item x="508"/>
        <item x="76"/>
        <item x="1020"/>
        <item x="709"/>
        <item x="715"/>
        <item x="719"/>
        <item x="679"/>
        <item x="843"/>
        <item x="65"/>
        <item x="634"/>
        <item x="969"/>
        <item x="866"/>
        <item x="1064"/>
        <item x="166"/>
        <item x="217"/>
        <item x="960"/>
        <item x="665"/>
        <item x="1039"/>
        <item x="1050"/>
        <item x="620"/>
        <item x="657"/>
        <item x="621"/>
        <item x="1054"/>
        <item x="653"/>
        <item x="1044"/>
        <item x="1056"/>
        <item x="515"/>
        <item x="968"/>
        <item x="622"/>
        <item x="566"/>
        <item x="207"/>
        <item x="179"/>
        <item x="138"/>
        <item x="881"/>
        <item x="131"/>
        <item x="1055"/>
        <item x="633"/>
        <item x="1049"/>
        <item x="576"/>
        <item x="587"/>
        <item x="871"/>
        <item x="961"/>
        <item x="811"/>
        <item x="139"/>
        <item x="137"/>
        <item x="175"/>
        <item x="655"/>
        <item x="481"/>
        <item x="1018"/>
        <item x="819"/>
        <item x="321"/>
        <item x="839"/>
        <item x="285"/>
        <item x="284"/>
        <item x="927"/>
        <item x="995"/>
        <item x="1031"/>
        <item x="733"/>
        <item x="761"/>
        <item x="755"/>
        <item x="725"/>
        <item x="1014"/>
        <item x="346"/>
        <item x="497"/>
        <item x="952"/>
        <item x="727"/>
        <item x="934"/>
        <item x="924"/>
        <item x="937"/>
        <item x="730"/>
        <item x="262"/>
        <item x="192"/>
        <item x="342"/>
        <item x="914"/>
        <item x="1090"/>
        <item x="61"/>
        <item x="80"/>
        <item x="79"/>
        <item x="86"/>
        <item x="85"/>
        <item x="278"/>
        <item x="357"/>
        <item x="692"/>
        <item x="694"/>
        <item x="362"/>
        <item x="153"/>
        <item x="165"/>
        <item x="162"/>
        <item x="189"/>
        <item x="845"/>
        <item x="299"/>
        <item x="300"/>
        <item x="336"/>
        <item x="347"/>
        <item x="29"/>
        <item x="718"/>
        <item x="1091"/>
        <item x="519"/>
        <item x="105"/>
        <item x="104"/>
        <item x="985"/>
        <item x="987"/>
        <item x="1001"/>
        <item x="3"/>
        <item x="599"/>
        <item x="1004"/>
        <item x="6"/>
        <item x="942"/>
        <item x="893"/>
        <item x="900"/>
        <item x="913"/>
        <item x="289"/>
        <item x="290"/>
        <item x="1081"/>
        <item x="1076"/>
        <item x="710"/>
        <item x="301"/>
        <item x="311"/>
        <item x="308"/>
        <item x="307"/>
        <item x="743"/>
        <item x="702"/>
        <item x="762"/>
        <item x="925"/>
        <item x="682"/>
        <item x="926"/>
        <item x="595"/>
        <item x="742"/>
        <item x="735"/>
        <item x="737"/>
        <item x="1098"/>
        <item x="322"/>
        <item x="736"/>
        <item x="732"/>
        <item x="947"/>
        <item x="597"/>
        <item x="1003"/>
        <item x="831"/>
        <item x="1084"/>
        <item x="973"/>
        <item x="970"/>
        <item x="332"/>
        <item x="319"/>
        <item x="312"/>
        <item x="310"/>
        <item x="9"/>
        <item x="504"/>
        <item x="168"/>
        <item x="150"/>
        <item x="171"/>
        <item x="204"/>
        <item x="39"/>
        <item x="259"/>
        <item x="170"/>
        <item x="548"/>
        <item x="641"/>
        <item x="859"/>
        <item x="764"/>
        <item x="42"/>
        <item x="1000"/>
        <item x="998"/>
        <item x="291"/>
        <item x="297"/>
        <item x="329"/>
        <item x="40"/>
        <item x="630"/>
        <item x="558"/>
        <item x="698"/>
        <item x="974"/>
        <item x="182"/>
        <item x="184"/>
        <item x="180"/>
        <item x="181"/>
        <item x="644"/>
        <item x="631"/>
        <item x="286"/>
        <item x="51"/>
        <item x="879"/>
        <item x="135"/>
        <item x="264"/>
        <item x="975"/>
        <item x="797"/>
        <item x="801"/>
        <item x="155"/>
        <item x="1101"/>
        <item x="258"/>
        <item x="972"/>
        <item x="255"/>
        <item x="261"/>
        <item x="318"/>
        <item x="791"/>
        <item x="787"/>
        <item x="424"/>
        <item x="438"/>
        <item x="435"/>
        <item x="1128"/>
        <item x="1112"/>
        <item x="413"/>
        <item x="436"/>
        <item x="418"/>
        <item x="414"/>
        <item x="425"/>
        <item x="423"/>
        <item x="419"/>
        <item x="415"/>
        <item x="417"/>
        <item x="405"/>
        <item x="404"/>
        <item x="444"/>
        <item x="446"/>
        <item x="775"/>
        <item x="773"/>
        <item x="421"/>
        <item x="786"/>
        <item x="403"/>
        <item x="442"/>
        <item x="420"/>
        <item x="432"/>
        <item x="781"/>
        <item x="468"/>
        <item x="778"/>
        <item x="422"/>
        <item x="547"/>
        <item x="119"/>
        <item x="855"/>
        <item x="477"/>
        <item x="533"/>
        <item x="1127"/>
        <item x="684"/>
        <item x="714"/>
        <item x="708"/>
        <item x="108"/>
        <item x="107"/>
        <item x="115"/>
        <item x="122"/>
        <item x="121"/>
        <item x="125"/>
        <item x="552"/>
        <item x="112"/>
        <item x="705"/>
        <item x="106"/>
        <item x="33"/>
        <item x="1129"/>
        <item x="28"/>
        <item x="1117"/>
        <item x="24"/>
        <item x="1125"/>
        <item x="1124"/>
        <item x="1011"/>
        <item x="25"/>
        <item x="1116"/>
        <item x="473"/>
        <item x="23"/>
        <item x="32"/>
        <item x="472"/>
        <item x="1114"/>
        <item x="1121"/>
        <item x="470"/>
        <item x="1120"/>
        <item x="1013"/>
        <item x="30"/>
        <item x="1122"/>
        <item x="31"/>
        <item x="27"/>
        <item x="26"/>
        <item x="861"/>
        <item x="697"/>
        <item x="550"/>
        <item x="114"/>
        <item x="117"/>
        <item x="110"/>
        <item x="128"/>
        <item x="123"/>
        <item x="127"/>
        <item x="475"/>
        <item x="116"/>
        <item x="120"/>
        <item x="124"/>
        <item x="860"/>
        <item x="140"/>
        <item x="190"/>
        <item x="637"/>
        <item x="1110"/>
        <item x="1115"/>
        <item x="1111"/>
        <item x="577"/>
        <item x="1126"/>
        <item x="437"/>
        <item x="441"/>
        <item x="430"/>
        <item x="449"/>
        <item x="431"/>
        <item x="445"/>
        <item x="474"/>
        <item x="406"/>
        <item x="412"/>
        <item x="126"/>
        <item x="411"/>
        <item x="410"/>
        <item x="447"/>
        <item x="439"/>
        <item x="776"/>
        <item x="777"/>
        <item x="426"/>
        <item x="774"/>
        <item x="779"/>
        <item x="788"/>
        <item x="790"/>
        <item x="792"/>
        <item x="783"/>
        <item x="408"/>
        <item x="428"/>
        <item x="434"/>
        <item x="409"/>
        <item x="469"/>
        <item x="780"/>
        <item x="782"/>
        <item x="433"/>
        <item x="427"/>
        <item x="429"/>
        <item x="784"/>
        <item x="785"/>
        <item x="793"/>
        <item x="416"/>
        <item x="251"/>
        <item x="248"/>
        <item x="673"/>
        <item x="759"/>
        <item x="749"/>
        <item x="741"/>
        <item x="746"/>
        <item x="808"/>
        <item x="980"/>
        <item x="981"/>
        <item x="589"/>
        <item x="604"/>
        <item x="680"/>
        <item x="590"/>
        <item x="584"/>
        <item x="582"/>
        <item x="598"/>
        <item x="603"/>
        <item x="1046"/>
        <item x="638"/>
        <item x="520"/>
        <item x="967"/>
        <item x="306"/>
        <item x="320"/>
        <item x="609"/>
        <item x="559"/>
        <item x="1065"/>
        <item x="982"/>
        <item x="986"/>
        <item x="1073"/>
        <item x="1080"/>
        <item x="277"/>
        <item x="918"/>
        <item x="324"/>
        <item x="287"/>
        <item x="288"/>
        <item x="330"/>
        <item x="281"/>
        <item x="331"/>
        <item x="991"/>
        <item x="999"/>
        <item x="1096"/>
        <item x="1106"/>
        <item x="701"/>
        <item x="922"/>
        <item x="948"/>
        <item x="943"/>
        <item x="944"/>
        <item x="949"/>
        <item x="930"/>
        <item x="932"/>
        <item x="938"/>
        <item x="929"/>
        <item x="1071"/>
        <item x="1095"/>
        <item x="507"/>
        <item x="954"/>
        <item x="809"/>
        <item x="820"/>
        <item x="812"/>
        <item x="979"/>
        <item x="816"/>
        <item x="818"/>
        <item x="64"/>
        <item x="806"/>
        <item x="541"/>
        <item x="844"/>
        <item x="834"/>
        <item x="355"/>
        <item x="67"/>
        <item x="83"/>
        <item x="659"/>
        <item x="1015"/>
        <item x="215"/>
        <item x="471"/>
        <item x="103"/>
        <item x="546"/>
        <item x="109"/>
        <item x="941"/>
        <item x="896"/>
        <item x="315"/>
        <item x="293"/>
        <item x="646"/>
        <item x="817"/>
        <item x="821"/>
        <item x="187"/>
        <item x="186"/>
        <item x="188"/>
        <item x="174"/>
        <item x="13"/>
        <item x="464"/>
        <item x="526"/>
        <item x="398"/>
        <item x="842"/>
        <item x="359"/>
        <item x="493"/>
        <item x="387"/>
        <item x="360"/>
        <item x="537"/>
        <item x="352"/>
        <item x="1027"/>
        <item x="35"/>
        <item x="18"/>
        <item x="19"/>
        <item x="350"/>
        <item x="1069"/>
        <item x="238"/>
        <item x="379"/>
        <item x="365"/>
        <item x="367"/>
        <item x="392"/>
        <item x="1062"/>
        <item x="234"/>
        <item x="369"/>
        <item x="250"/>
        <item x="662"/>
        <item x="1066"/>
        <item x="167"/>
        <item x="146"/>
        <item x="1038"/>
        <item x="210"/>
        <item x="458"/>
        <item x="22"/>
        <item x="798"/>
        <item x="804"/>
        <item x="805"/>
        <item x="554"/>
        <item x="571"/>
        <item x="586"/>
        <item x="799"/>
        <item x="593"/>
        <item x="570"/>
        <item x="800"/>
        <item x="648"/>
        <item x="803"/>
        <item x="796"/>
        <item x="625"/>
        <item x="626"/>
        <item x="225"/>
        <item x="966"/>
        <item x="813"/>
        <item x="832"/>
        <item x="976"/>
        <item x="46"/>
        <item x="340"/>
        <item x="724"/>
        <item x="218"/>
        <item x="44"/>
        <item x="296"/>
        <item x="334"/>
        <item x="745"/>
        <item x="700"/>
        <item x="244"/>
        <item x="260"/>
        <item x="994"/>
        <item x="345"/>
        <item x="849"/>
        <item x="87"/>
        <item x="836"/>
        <item x="479"/>
        <item x="480"/>
        <item x="47"/>
        <item x="1022"/>
        <item x="1021"/>
        <item x="723"/>
        <item x="717"/>
        <item x="738"/>
        <item x="731"/>
        <item x="848"/>
        <item x="524"/>
        <item x="545"/>
        <item x="540"/>
        <item x="535"/>
        <item x="543"/>
        <item x="850"/>
        <item x="531"/>
        <item x="838"/>
        <item x="530"/>
        <item x="518"/>
        <item x="841"/>
        <item x="483"/>
        <item x="511"/>
        <item x="512"/>
        <item x="487"/>
        <item x="536"/>
        <item x="490"/>
        <item x="484"/>
        <item x="835"/>
        <item x="236"/>
        <item x="517"/>
        <item x="57"/>
        <item x="349"/>
        <item x="951"/>
        <item x="950"/>
        <item x="592"/>
        <item x="63"/>
        <item x="513"/>
        <item x="523"/>
        <item x="373"/>
        <item x="740"/>
        <item x="760"/>
        <item x="751"/>
        <item x="687"/>
        <item x="712"/>
        <item x="707"/>
        <item x="898"/>
        <item x="364"/>
        <item x="371"/>
        <item x="389"/>
        <item x="753"/>
        <item x="370"/>
        <item x="686"/>
        <item x="505"/>
        <item x="486"/>
        <item x="485"/>
        <item x="501"/>
        <item x="500"/>
        <item x="499"/>
        <item x="478"/>
        <item x="495"/>
        <item x="489"/>
        <item x="491"/>
        <item x="506"/>
        <item x="1103"/>
        <item x="1102"/>
        <item x="756"/>
        <item x="720"/>
        <item x="275"/>
        <item x="1009"/>
        <item x="916"/>
        <item x="758"/>
        <item x="768"/>
        <item x="695"/>
        <item x="713"/>
        <item x="323"/>
        <item x="931"/>
        <item x="239"/>
        <item x="249"/>
        <item x="887"/>
        <item x="252"/>
        <item x="643"/>
        <item x="992"/>
        <item x="509"/>
        <item x="683"/>
        <item x="305"/>
        <item x="894"/>
        <item x="693"/>
        <item x="748"/>
        <item x="681"/>
        <item x="678"/>
        <item x="766"/>
        <item x="750"/>
        <item x="892"/>
        <item x="997"/>
        <item x="282"/>
        <item x="314"/>
        <item x="274"/>
        <item x="1078"/>
        <item x="304"/>
        <item x="983"/>
        <item x="241"/>
        <item x="1070"/>
        <item x="1067"/>
        <item x="374"/>
        <item x="382"/>
        <item x="498"/>
        <item x="542"/>
        <item t="default"/>
      </items>
    </pivotField>
    <pivotField name="Revisão McBenner" compact="0" outline="0" multipleItemSelectionAllowed="1" showAll="0">
      <items>
        <item x="0"/>
        <item t="default"/>
      </items>
    </pivotField>
    <pivotField name="Proje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Custo"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t="default"/>
      </items>
    </pivotField>
    <pivotField name="Atividade incentiv." axis="axisPage" compact="0" outline="0" multipleItemSelectionAllowed="1" showAll="0">
      <items>
        <item h="1" x="0"/>
        <item x="1"/>
        <item t="default"/>
      </items>
    </pivotField>
    <pivotField name="Projeto incentiv." axis="axisPage" compact="0" outline="0" multipleItemSelectionAllowed="1" showAll="0">
      <items>
        <item x="0"/>
        <item h="1" x="1"/>
        <item t="default"/>
      </items>
    </pivotField>
  </pivotFields>
  <rowFields>
    <field x="2"/>
    <field x="8"/>
  </rowFields>
  <colFields>
    <field x="-2"/>
  </colFields>
  <pageFields>
    <pageField fld="12"/>
    <pageField fld="13"/>
    <pageField fld="0"/>
  </pageFields>
  <dataFields>
    <dataField name="SUM of Tempo(h)" fld="4" baseField="0"/>
    <dataField name="SUM of Custo" fld="11" baseField="0"/>
  </dataFields>
</pivotTableDefinition>
</file>

<file path=xl/pivotTables/pivotTable2.xml><?xml version="1.0" encoding="utf-8"?>
<pivotTableDefinition xmlns="http://schemas.openxmlformats.org/spreadsheetml/2006/main" name="Tabela dinâmica 2" cacheId="1" dataCaption="" compact="0" compactData="0">
  <location ref="A4:D58" firstHeaderRow="0" firstDataRow="3" firstDataCol="0" rowPageCount="2" colPageCount="1"/>
  <pivotFields>
    <pivotField name="Projeto" axis="axisPage" compact="0" outline="0" multipleItemSelectionAllowed="1" showAll="0">
      <items>
        <item x="0"/>
        <item x="1"/>
        <item h="1" x="2"/>
        <item h="1" x="3"/>
        <item h="1" x="4"/>
        <item h="1" x="5"/>
        <item h="1" x="6"/>
        <item h="1" x="7"/>
        <item h="1" x="8"/>
        <item h="1" x="9"/>
        <item h="1" x="10"/>
        <item h="1" x="11"/>
        <item h="1" x="12"/>
        <item h="1" x="13"/>
        <item h="1" x="14"/>
        <item h="1" x="15"/>
        <item h="1" x="16"/>
        <item x="17"/>
        <item h="1" x="18"/>
        <item h="1" x="19"/>
        <item h="1" x="20"/>
        <item h="1" x="21"/>
        <item h="1" x="22"/>
        <item h="1" x="23"/>
        <item h="1" x="24"/>
        <item h="1" x="25"/>
        <item h="1" x="26"/>
        <item x="27"/>
        <item h="1" x="28"/>
        <item x="29"/>
        <item h="1" x="30"/>
        <item h="1" x="31"/>
        <item h="1" x="32"/>
        <item t="default"/>
      </items>
    </pivotField>
    <pivotField name="Etapa" compact="0" outline="0" multipleItemSelectionAllowed="1" showAll="0">
      <items>
        <item x="0"/>
        <item t="default"/>
      </items>
    </pivotField>
    <pivotField name="Fornecedor" axis="axisRow" compact="0" outline="0" multipleItemSelectionAllowed="1" showAll="0" sortType="ascending">
      <items>
        <item x="14"/>
        <item x="11"/>
        <item x="30"/>
        <item x="25"/>
        <item x="27"/>
        <item x="15"/>
        <item x="4"/>
        <item x="22"/>
        <item x="26"/>
        <item x="23"/>
        <item x="6"/>
        <item x="0"/>
        <item x="5"/>
        <item x="20"/>
        <item x="7"/>
        <item x="2"/>
        <item x="10"/>
        <item x="12"/>
        <item x="1"/>
        <item x="19"/>
        <item x="31"/>
        <item x="29"/>
        <item x="18"/>
        <item x="21"/>
        <item x="8"/>
        <item x="9"/>
        <item x="16"/>
        <item x="28"/>
        <item x="17"/>
        <item x="13"/>
        <item x="24"/>
        <item x="3"/>
        <item t="default"/>
      </items>
    </pivotField>
    <pivotField name="CNPJ" axis="axisRow" compact="0" outline="0" multipleItemSelectionAllowed="1" showAll="0" sortType="ascending">
      <items>
        <item x="17"/>
        <item x="7"/>
        <item x="27"/>
        <item x="28"/>
        <item x="16"/>
        <item x="19"/>
        <item x="22"/>
        <item x="4"/>
        <item x="15"/>
        <item x="0"/>
        <item x="12"/>
        <item x="14"/>
        <item x="8"/>
        <item x="3"/>
        <item x="11"/>
        <item x="9"/>
        <item x="26"/>
        <item x="20"/>
        <item x="1"/>
        <item x="5"/>
        <item x="24"/>
        <item x="18"/>
        <item x="23"/>
        <item x="10"/>
        <item x="25"/>
        <item x="2"/>
        <item x="6"/>
        <item x="13"/>
        <item x="21"/>
        <item t="default"/>
      </items>
    </pivotField>
    <pivotField name="Notafisc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Valor"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t="default"/>
      </items>
    </pivotField>
    <pivotField name="Data" compact="0" numFmtId="168"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name="Descrição da Atividade" axis="axisRow" compact="0" outline="0" multipleItemSelectionAllowed="1" showAll="0" sortType="ascending">
      <items>
        <item x="45"/>
        <item x="54"/>
        <item x="28"/>
        <item x="27"/>
        <item x="21"/>
        <item x="20"/>
        <item x="34"/>
        <item x="55"/>
        <item x="69"/>
        <item x="3"/>
        <item x="6"/>
        <item x="22"/>
        <item x="76"/>
        <item x="2"/>
        <item x="38"/>
        <item x="61"/>
        <item x="70"/>
        <item x="23"/>
        <item x="74"/>
        <item x="72"/>
        <item x="63"/>
        <item x="60"/>
        <item x="43"/>
        <item x="42"/>
        <item x="46"/>
        <item x="48"/>
        <item x="18"/>
        <item x="17"/>
        <item x="16"/>
        <item x="25"/>
        <item x="49"/>
        <item x="79"/>
        <item x="44"/>
        <item x="11"/>
        <item x="64"/>
        <item x="10"/>
        <item x="58"/>
        <item x="0"/>
        <item x="67"/>
        <item x="57"/>
        <item x="56"/>
        <item x="26"/>
        <item x="14"/>
        <item x="75"/>
        <item x="8"/>
        <item x="36"/>
        <item x="65"/>
        <item x="5"/>
        <item x="24"/>
        <item x="84"/>
        <item x="82"/>
        <item x="78"/>
        <item x="80"/>
        <item x="87"/>
        <item x="81"/>
        <item x="83"/>
        <item x="88"/>
        <item x="9"/>
        <item x="50"/>
        <item x="51"/>
        <item x="47"/>
        <item x="12"/>
        <item x="1"/>
        <item x="7"/>
        <item x="73"/>
        <item x="19"/>
        <item x="39"/>
        <item x="41"/>
        <item x="35"/>
        <item x="13"/>
        <item x="71"/>
        <item x="29"/>
        <item x="66"/>
        <item x="52"/>
        <item x="53"/>
        <item x="4"/>
        <item x="30"/>
        <item x="62"/>
        <item x="86"/>
        <item x="85"/>
        <item x="59"/>
        <item x="33"/>
        <item x="31"/>
        <item x="32"/>
        <item x="40"/>
        <item x="15"/>
        <item x="68"/>
        <item x="77"/>
        <item x="37"/>
        <item t="default"/>
      </items>
    </pivotField>
    <pivotField name="Objetivo do gasto e eventual info de rateio" compact="0" outline="0" multipleItemSelectionAllowed="1" showAll="0">
      <items>
        <item x="0"/>
        <item t="default"/>
      </items>
    </pivotField>
    <pivotField name="Incentivado?" axis="axisPage" compact="0" outline="0" multipleItemSelectionAllowed="1" showAll="0">
      <items>
        <item x="0"/>
        <item h="1" x="1"/>
        <item t="default"/>
      </items>
    </pivotField>
    <pivotField name="Valor incentivado"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s>
  <rowFields>
    <field x="2"/>
    <field x="3"/>
    <field x="7"/>
  </rowFields>
  <pageFields>
    <pageField fld="9"/>
    <pageField fld="0"/>
  </pageFields>
  <dataFields>
    <dataField name="SUM of Valor incentivado" fld="10"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6.xml"/><Relationship Id="rId3" Type="http://schemas.openxmlformats.org/officeDocument/2006/relationships/vmlDrawing" Target="../drawings/vmlDrawing1.v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0.xml"/><Relationship Id="rId3" Type="http://schemas.openxmlformats.org/officeDocument/2006/relationships/vmlDrawing" Target="../drawings/vmlDrawing2.vml"/></Relationships>
</file>

<file path=xl/worksheets/_rels/sheet3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fitToPage="1"/>
  </sheetPr>
  <sheetViews>
    <sheetView showGridLines="0" workbookViewId="0"/>
  </sheetViews>
  <sheetFormatPr customHeight="1" defaultColWidth="12.63" defaultRowHeight="15.75"/>
  <cols>
    <col customWidth="1" min="1" max="1" width="38.0"/>
    <col customWidth="1" min="2" max="7" width="12.63"/>
  </cols>
  <sheetData>
    <row r="1" ht="11.25" customHeight="1">
      <c r="A1" s="1"/>
      <c r="B1" s="2"/>
      <c r="C1" s="2"/>
      <c r="D1" s="2"/>
      <c r="E1" s="2"/>
      <c r="F1" s="2"/>
      <c r="G1" s="2"/>
    </row>
    <row r="2" ht="16.5" customHeight="1">
      <c r="A2" s="3" t="s">
        <v>0</v>
      </c>
      <c r="B2" s="4"/>
      <c r="C2" s="4"/>
      <c r="D2" s="4"/>
      <c r="E2" s="4"/>
      <c r="F2" s="4"/>
      <c r="G2" s="4"/>
    </row>
    <row r="3" ht="18.75" customHeight="1">
      <c r="A3" s="5" t="s">
        <v>1</v>
      </c>
      <c r="B3" s="4"/>
      <c r="C3" s="4"/>
      <c r="D3" s="4"/>
      <c r="E3" s="4"/>
      <c r="F3" s="4"/>
      <c r="G3" s="4"/>
    </row>
    <row r="4" ht="11.25" customHeight="1">
      <c r="A4" s="6"/>
      <c r="B4" s="6"/>
      <c r="C4" s="6"/>
      <c r="D4" s="6"/>
      <c r="E4" s="6"/>
      <c r="F4" s="6"/>
      <c r="G4" s="7" t="s">
        <v>2</v>
      </c>
    </row>
    <row r="5" ht="18.75" customHeight="1">
      <c r="A5" s="8" t="s">
        <v>3</v>
      </c>
      <c r="B5" s="8"/>
      <c r="C5" s="9"/>
      <c r="D5" s="8"/>
      <c r="E5" s="10" t="s">
        <v>4</v>
      </c>
      <c r="F5" s="6"/>
      <c r="G5" s="11">
        <f>TODAY()</f>
        <v>46168</v>
      </c>
    </row>
    <row r="6" ht="18.75" customHeight="1">
      <c r="A6" s="12" t="s">
        <v>5</v>
      </c>
      <c r="B6" s="13"/>
      <c r="C6" s="13"/>
      <c r="D6" s="13"/>
      <c r="E6" s="13"/>
      <c r="F6" s="6"/>
      <c r="G6" s="6"/>
    </row>
    <row r="7" ht="18.75" customHeight="1">
      <c r="A7" s="6"/>
      <c r="B7" s="6"/>
      <c r="C7" s="6"/>
      <c r="D7" s="6"/>
      <c r="E7" s="6"/>
      <c r="F7" s="6"/>
      <c r="G7" s="6"/>
    </row>
    <row r="8">
      <c r="A8" s="14" t="s">
        <v>6</v>
      </c>
      <c r="B8" s="15" t="s">
        <v>7</v>
      </c>
      <c r="C8" s="15" t="s">
        <v>8</v>
      </c>
      <c r="D8" s="15" t="s">
        <v>9</v>
      </c>
      <c r="E8" s="15" t="s">
        <v>10</v>
      </c>
      <c r="F8" s="16"/>
      <c r="G8" s="17" t="s">
        <v>11</v>
      </c>
    </row>
    <row r="9">
      <c r="A9" s="6" t="s">
        <v>12</v>
      </c>
      <c r="B9" s="18" t="s">
        <v>13</v>
      </c>
      <c r="C9" s="18" t="s">
        <v>13</v>
      </c>
      <c r="D9" s="18" t="s">
        <v>13</v>
      </c>
      <c r="E9" s="19" t="s">
        <v>13</v>
      </c>
      <c r="F9" s="20"/>
      <c r="G9" s="21">
        <f t="shared" ref="G9:G13" si="1">sum(B9:E9)</f>
        <v>0</v>
      </c>
    </row>
    <row r="10">
      <c r="A10" s="6" t="s">
        <v>14</v>
      </c>
      <c r="B10" s="18">
        <f>IFERROR(__xludf.DUMMYFUNCTION("iferror(sum(filter(TERCEIROS!$L12:$L66,month(TERCEIROS!$H12:$H66)&gt;=1,month(TERCEIROS!$H12:$H66)&lt;=3)),0)"),105659.93000000001)</f>
        <v>105659.93</v>
      </c>
      <c r="C10" s="18">
        <f>IFERROR(__xludf.DUMMYFUNCTION("iferror(sum(filter(TERCEIROS!$L12:$L66,month(TERCEIROS!$H12:$H66)&gt;=4,month(TERCEIROS!$H12:$H66)&lt;=6)),0)"),89153.48)</f>
        <v>89153.48</v>
      </c>
      <c r="D10" s="18">
        <f>IFERROR(__xludf.DUMMYFUNCTION("iferror(sum(filter(TERCEIROS!$L12:$L66,month(TERCEIROS!$H12:$H66)&gt;=7,month(TERCEIROS!$H12:$H66)&lt;=9)),0)"),109284.745)</f>
        <v>109284.745</v>
      </c>
      <c r="E10" s="18">
        <f>IFERROR(__xludf.DUMMYFUNCTION("iferror(sum(filter(TERCEIROS!$L12:$L66,month(TERCEIROS!$H12:$H66)&gt;=10,month(TERCEIROS!$H12:$H66)&lt;=12)),0)"),62550.06)</f>
        <v>62550.06</v>
      </c>
      <c r="F10" s="20"/>
      <c r="G10" s="21">
        <f t="shared" si="1"/>
        <v>366648.215</v>
      </c>
    </row>
    <row r="11">
      <c r="A11" s="6" t="s">
        <v>15</v>
      </c>
      <c r="B11" s="18">
        <f>IFERROR(__xludf.DUMMYFUNCTION("iferror(sum(filter(TIMESHEET!$N$12:$N66,TIMESHEET!$Q$12:$Q66=""Parcial"",month(TIMESHEET!$F$12:$F66)&gt;=1,month(TIMESHEET!$F$12:$F66)&lt;=3)),0)"),55379.129999999925)</f>
        <v>55379.13</v>
      </c>
      <c r="C11" s="18">
        <f>IFERROR(__xludf.DUMMYFUNCTION("iferror(sum(filter(TIMESHEET!$N$12:$N66,TIMESHEET!$Q$12:$Q66=""Parcial"",month(TIMESHEET!$F$12:$F66)&gt;=4,month(TIMESHEET!$F$12:$F66)&lt;=6)),0)"),62396.73584798719)</f>
        <v>62396.73585</v>
      </c>
      <c r="D11" s="18">
        <f>IFERROR(__xludf.DUMMYFUNCTION("iferror(sum(filter(TIMESHEET!$N$12:$N66,TIMESHEET!$Q$12:$Q66=""Parcial"",month(TIMESHEET!$F$12:$F66)&gt;=7,month(TIMESHEET!$F$12:$F66)&lt;=9)),0)"),36288.97724144722)</f>
        <v>36288.97724</v>
      </c>
      <c r="E11" s="18">
        <f>IFERROR(__xludf.DUMMYFUNCTION("iferror(sum(filter(TIMESHEET!$N$12:$N66,TIMESHEET!$Q$12:$Q66=""Parcial"",month(TIMESHEET!$F$12:$F66)&gt;=10,month(TIMESHEET!$F$12:$F66)&lt;=12)),0)"),52844.009887970664)</f>
        <v>52844.00989</v>
      </c>
      <c r="F11" s="20"/>
      <c r="G11" s="21">
        <f t="shared" si="1"/>
        <v>206908.853</v>
      </c>
    </row>
    <row r="12">
      <c r="A12" s="6" t="s">
        <v>16</v>
      </c>
      <c r="B12" s="18">
        <f>IFERROR(__xludf.DUMMYFUNCTION("iferror(sum(filter(TIMESHEET!$N$12:$N66,TIMESHEET!$Q$12:$Q66=""Exclusivo"",month(TIMESHEET!$F$12:$F66)&gt;=1,month(TIMESHEET!$F$12:$F66)&lt;=3)),0)"),0.0)</f>
        <v>0</v>
      </c>
      <c r="C12" s="18">
        <f>IFERROR(__xludf.DUMMYFUNCTION("iferror(sum(filter(TIMESHEET!$N$12:$N66,TIMESHEET!$Q$12:$Q66=""Exclusivo"",month(TIMESHEET!$F$12:$F66)&gt;=4,month(TIMESHEET!$F$12:$F66)&lt;=6)),0)"),0.0)</f>
        <v>0</v>
      </c>
      <c r="D12" s="18">
        <f>IFERROR(__xludf.DUMMYFUNCTION("iferror(sum(filter(TIMESHEET!$N$12:$N66,TIMESHEET!$Q$12:$Q66=""Exclusivo"",month(TIMESHEET!$F$12:$F66)&gt;=7,month(TIMESHEET!$F$12:$F66)&lt;=9)),0)"),0.0)</f>
        <v>0</v>
      </c>
      <c r="E12" s="18">
        <f>IFERROR(__xludf.DUMMYFUNCTION("iferror(sum(filter(TIMESHEET!$N$12:$N66,TIMESHEET!$Q$12:$Q66=""Exclusivo"",month(TIMESHEET!$F$12:$F66)&gt;=10,month(TIMESHEET!$F$12:$F66)&lt;=12)),0)"),0.0)</f>
        <v>0</v>
      </c>
      <c r="F12" s="20"/>
      <c r="G12" s="21">
        <f t="shared" si="1"/>
        <v>0</v>
      </c>
    </row>
    <row r="13">
      <c r="A13" s="22" t="s">
        <v>17</v>
      </c>
      <c r="B13" s="23">
        <f t="shared" ref="B13:E13" si="2">sum(B10:B12)</f>
        <v>161039.06</v>
      </c>
      <c r="C13" s="23">
        <f t="shared" si="2"/>
        <v>151550.2158</v>
      </c>
      <c r="D13" s="23">
        <f t="shared" si="2"/>
        <v>145573.7222</v>
      </c>
      <c r="E13" s="23">
        <f t="shared" si="2"/>
        <v>115394.0699</v>
      </c>
      <c r="F13" s="24"/>
      <c r="G13" s="25">
        <f t="shared" si="1"/>
        <v>573557.068</v>
      </c>
    </row>
    <row r="14">
      <c r="A14" s="26" t="s">
        <v>18</v>
      </c>
      <c r="B14" s="27">
        <v>0.6</v>
      </c>
      <c r="C14" s="27">
        <v>0.6</v>
      </c>
      <c r="D14" s="27">
        <v>0.6</v>
      </c>
      <c r="E14" s="27">
        <v>0.6</v>
      </c>
      <c r="F14" s="28"/>
      <c r="G14" s="29">
        <v>0.6</v>
      </c>
    </row>
    <row r="15">
      <c r="A15" s="6" t="s">
        <v>19</v>
      </c>
      <c r="B15" s="18">
        <f t="shared" ref="B15:E15" si="3">B13*B14</f>
        <v>96623.436</v>
      </c>
      <c r="C15" s="18">
        <f t="shared" si="3"/>
        <v>90930.12951</v>
      </c>
      <c r="D15" s="18">
        <f t="shared" si="3"/>
        <v>87344.23334</v>
      </c>
      <c r="E15" s="18">
        <f t="shared" si="3"/>
        <v>69236.44193</v>
      </c>
      <c r="F15" s="20"/>
      <c r="G15" s="21">
        <f>sum(B15:E15)</f>
        <v>344134.2408</v>
      </c>
    </row>
    <row r="16">
      <c r="A16" s="6"/>
      <c r="B16" s="18"/>
      <c r="C16" s="18"/>
      <c r="D16" s="18"/>
      <c r="E16" s="18"/>
      <c r="F16" s="20"/>
      <c r="G16" s="21"/>
    </row>
    <row r="17">
      <c r="A17" s="30" t="s">
        <v>20</v>
      </c>
      <c r="B17" s="23">
        <f t="shared" ref="B17:E17" si="4">B15*34%</f>
        <v>32851.96824</v>
      </c>
      <c r="C17" s="23">
        <f t="shared" si="4"/>
        <v>30916.24403</v>
      </c>
      <c r="D17" s="23">
        <f t="shared" si="4"/>
        <v>29697.03934</v>
      </c>
      <c r="E17" s="23">
        <f t="shared" si="4"/>
        <v>23540.39026</v>
      </c>
      <c r="F17" s="24"/>
      <c r="G17" s="25">
        <f t="shared" ref="G17:G18" si="6">sum(B17:E17)</f>
        <v>117005.6419</v>
      </c>
    </row>
    <row r="18" ht="18.75" customHeight="1">
      <c r="A18" s="31" t="s">
        <v>21</v>
      </c>
      <c r="B18" s="32">
        <f t="shared" ref="B18:E18" si="5">B17*0.1</f>
        <v>3285.196824</v>
      </c>
      <c r="C18" s="32">
        <f t="shared" si="5"/>
        <v>3091.624403</v>
      </c>
      <c r="D18" s="32">
        <f t="shared" si="5"/>
        <v>2969.703934</v>
      </c>
      <c r="E18" s="32">
        <f t="shared" si="5"/>
        <v>2354.039026</v>
      </c>
      <c r="F18" s="6"/>
      <c r="G18" s="32">
        <f t="shared" si="6"/>
        <v>11700.56419</v>
      </c>
    </row>
    <row r="19" ht="10.5" customHeight="1">
      <c r="A19" s="33"/>
      <c r="B19" s="34"/>
      <c r="C19" s="6"/>
      <c r="D19" s="6"/>
      <c r="E19" s="6"/>
      <c r="F19" s="6"/>
      <c r="G19" s="6"/>
    </row>
    <row r="20">
      <c r="A20" s="35" t="s">
        <v>22</v>
      </c>
      <c r="B20" s="36"/>
      <c r="C20" s="6"/>
      <c r="D20" s="6"/>
      <c r="E20" s="6"/>
      <c r="F20" s="6"/>
      <c r="G20" s="6"/>
    </row>
    <row r="21" ht="18.75" customHeight="1">
      <c r="A21" s="37" t="s">
        <v>23</v>
      </c>
      <c r="B21" s="6"/>
      <c r="C21" s="6"/>
      <c r="D21" s="6"/>
      <c r="E21" s="6"/>
      <c r="F21" s="6"/>
      <c r="G21" s="6"/>
    </row>
    <row r="22" ht="18.75" customHeight="1">
      <c r="A22" s="37" t="s">
        <v>24</v>
      </c>
      <c r="B22" s="6"/>
      <c r="C22" s="6"/>
      <c r="D22" s="6"/>
      <c r="E22" s="6"/>
      <c r="F22" s="6"/>
      <c r="G22" s="6"/>
    </row>
    <row r="23" ht="18.75" customHeight="1">
      <c r="A23" s="37" t="s">
        <v>25</v>
      </c>
      <c r="B23" s="6"/>
      <c r="C23" s="6"/>
      <c r="D23" s="6"/>
      <c r="E23" s="6"/>
      <c r="F23" s="6"/>
      <c r="G23" s="6"/>
    </row>
    <row r="24" ht="16.5" customHeight="1">
      <c r="A24" s="37" t="s">
        <v>26</v>
      </c>
      <c r="B24" s="38"/>
      <c r="C24" s="6"/>
      <c r="D24" s="6"/>
      <c r="E24" s="6"/>
      <c r="F24" s="6"/>
      <c r="G24" s="6"/>
    </row>
    <row r="25" ht="16.5" customHeight="1">
      <c r="A25" s="37" t="s">
        <v>27</v>
      </c>
      <c r="B25" s="6"/>
      <c r="C25" s="6"/>
      <c r="D25" s="6"/>
      <c r="E25" s="6"/>
      <c r="F25" s="6"/>
      <c r="G25" s="6"/>
    </row>
    <row r="26" ht="16.5" customHeight="1">
      <c r="A26" s="39" t="s">
        <v>28</v>
      </c>
      <c r="B26" s="4"/>
      <c r="C26" s="6"/>
      <c r="D26" s="6"/>
      <c r="E26" s="6"/>
      <c r="F26" s="6"/>
      <c r="G26" s="6"/>
    </row>
    <row r="27" ht="16.5" customHeight="1">
      <c r="A27" s="40" t="s">
        <v>29</v>
      </c>
      <c r="B27" s="4"/>
      <c r="C27" s="4"/>
      <c r="D27" s="4"/>
      <c r="E27" s="4"/>
      <c r="F27" s="4"/>
      <c r="G27" s="4"/>
    </row>
    <row r="28" ht="15.75" customHeight="1">
      <c r="A28" s="37" t="s">
        <v>27</v>
      </c>
      <c r="B28" s="4"/>
      <c r="C28" s="4"/>
      <c r="D28" s="4"/>
      <c r="E28" s="4"/>
      <c r="F28" s="4"/>
      <c r="G28" s="4"/>
    </row>
    <row r="29" ht="15.75" customHeight="1">
      <c r="A29" s="4"/>
      <c r="B29" s="4"/>
      <c r="C29" s="4"/>
      <c r="D29" s="4"/>
      <c r="E29" s="4"/>
      <c r="F29" s="4"/>
      <c r="G29" s="4"/>
    </row>
    <row r="30" ht="15.0" customHeight="1">
      <c r="A30" s="41" t="s">
        <v>30</v>
      </c>
      <c r="B30" s="6"/>
      <c r="C30" s="6"/>
      <c r="D30" s="6"/>
      <c r="E30" s="33"/>
      <c r="F30" s="42"/>
      <c r="G30" s="6"/>
    </row>
    <row r="31" ht="16.5" customHeight="1">
      <c r="A31" s="37" t="s">
        <v>31</v>
      </c>
      <c r="B31" s="43" t="s">
        <v>32</v>
      </c>
      <c r="E31" s="44" t="s">
        <v>33</v>
      </c>
    </row>
    <row r="32" ht="16.5" customHeight="1">
      <c r="A32" s="45"/>
      <c r="B32" s="45" t="s">
        <v>34</v>
      </c>
      <c r="C32" s="45" t="s">
        <v>35</v>
      </c>
      <c r="D32" s="45" t="s">
        <v>36</v>
      </c>
      <c r="E32" s="45" t="s">
        <v>34</v>
      </c>
      <c r="F32" s="45" t="s">
        <v>35</v>
      </c>
      <c r="G32" s="45" t="s">
        <v>36</v>
      </c>
    </row>
    <row r="33" ht="16.5" hidden="1" customHeight="1">
      <c r="A33" s="46" t="s">
        <v>37</v>
      </c>
      <c r="B33" s="47">
        <f>IFERROR(__xludf.DUMMYFUNCTION("COUNTA(IFERROR(FILTER(PESSOAL!$F$13:$F$23,PESSOAL!$F$13:$F$23 = $A33,PESSOAL!$V$13:$V$23 = ""Parcial"",PESSOAL!$W$13:$W$23 = TRUE),))"),0.0)</f>
        <v>0</v>
      </c>
      <c r="C33" s="48">
        <f>IFERROR(__xludf.DUMMYFUNCTION("SUM(IFERROR(FILTER(PESSOAL!$U$35:$U$45,PESSOAL!$F$35:$F$45 = $A33,PESSOAL!$E$35:$E$45 = ""Parcial""),0))"),0.0)</f>
        <v>0</v>
      </c>
      <c r="D33" s="48">
        <f>IFERROR(__xludf.DUMMYFUNCTION("SUM(IFERROR(FILTER(PESSOAL!$T$13:$T$23,PESSOAL!$F$13:$F$23 = $A33,PESSOAL!$V$13:$V$23 = ""Parcial""),0))*24"),0.0)</f>
        <v>0</v>
      </c>
      <c r="E33" s="47">
        <f>IFERROR(__xludf.DUMMYFUNCTION("COUNTA(IFERROR(FILTER(PESSOAL!$E$6:$E$19,PESSOAL!$E$6:$E$19 = $A33,PESSOAL!$U$6:$U$19 = ""Exclusivo"",PESSOAL!$U$28:$U$39 = TRUE),))"),0.0)</f>
        <v>0</v>
      </c>
      <c r="F33" s="48">
        <f>IFERROR(__xludf.DUMMYFUNCTION("SUM(IFERROR(FILTER(PESSOAL!$U$35:$U$44,PESSOAL!$F$35:$F$44 = $A33,PESSOAL!$E$35:$E$44 = ""Exclusivo);0))"")))"),0.0)</f>
        <v>0</v>
      </c>
      <c r="G33" s="48">
        <f>IFERROR(__xludf.DUMMYFUNCTION("SUM(IFERROR(FILTER(PESSOAL!$T$13:$T$23,PESSOAL!$F$13:$F$23 = $A33,PESSOAL!$V$13:$V$23 = ""Exclusivo""),0))*24"),0.0)</f>
        <v>0</v>
      </c>
    </row>
    <row r="34" ht="16.5" hidden="1" customHeight="1">
      <c r="A34" s="49" t="s">
        <v>38</v>
      </c>
      <c r="B34" s="47">
        <f>IFERROR(__xludf.DUMMYFUNCTION("COUNTA(IFERROR(FILTER(PESSOAL!$F$13:$F$23,PESSOAL!$F$13:$F$23 = $A34,PESSOAL!$V$13:$V$23 = ""Parcial"",PESSOAL!$W$13:$W$23 = TRUE),))"),0.0)</f>
        <v>0</v>
      </c>
      <c r="C34" s="48">
        <f>IFERROR(__xludf.DUMMYFUNCTION("SUM(IFERROR(FILTER(PESSOAL!$U$35:$U$45,PESSOAL!$F$35:$F$45 = $A34,PESSOAL!$E$35:$E$45 = ""Parcial""),0))"),0.0)</f>
        <v>0</v>
      </c>
      <c r="D34" s="48">
        <f>IFERROR(__xludf.DUMMYFUNCTION("SUM(IFERROR(FILTER(PESSOAL!$T$13:$T$23,PESSOAL!$F$13:$F$23 = $A34,PESSOAL!$V$13:$V$23 = ""Parcial""),0))*24"),0.0)</f>
        <v>0</v>
      </c>
      <c r="E34" s="47">
        <f>IFERROR(__xludf.DUMMYFUNCTION("COUNTA(IFERROR(FILTER(PESSOAL!$E$6:$E$19,PESSOAL!$E$6:$E$19 = $A34,PESSOAL!$U$6:$U$19 = ""Exclusivo"",PESSOAL!$U$28:$U$39 = TRUE),))"),0.0)</f>
        <v>0</v>
      </c>
      <c r="F34" s="48">
        <f>IFERROR(__xludf.DUMMYFUNCTION("SUM(IFERROR(FILTER(PESSOAL!$U$35:$U$44,PESSOAL!$F$35:$F$44 = $A34,PESSOAL!$E$35:$E$44 = ""Exclusivo);0))"")))"),0.0)</f>
        <v>0</v>
      </c>
      <c r="G34" s="48">
        <f>IFERROR(__xludf.DUMMYFUNCTION("SUM(IFERROR(FILTER(PESSOAL!$T$13:$T$23,PESSOAL!$F$13:$F$23 = $A34,PESSOAL!$V$13:$V$23 = ""Exclusivo""),0))*24"),0.0)</f>
        <v>0</v>
      </c>
    </row>
    <row r="35" ht="16.5" customHeight="1">
      <c r="A35" s="46" t="s">
        <v>39</v>
      </c>
      <c r="B35" s="47">
        <f>IFERROR(__xludf.DUMMYFUNCTION("COUNTA(IFERROR(FILTER(PESSOAL!$F$13:$F$23,PESSOAL!$F$13:$F$23 = $A35,PESSOAL!$V$13:$V$23 = ""Parcial"",PESSOAL!$W$13:$W$23 = TRUE),))"),4.0)</f>
        <v>4</v>
      </c>
      <c r="C35" s="48">
        <f>IFERROR(__xludf.DUMMYFUNCTION("SUM(IFERROR(FILTER(PESSOAL!$U$35:$U$45,PESSOAL!$F$35:$F$45 = $A35,PESSOAL!$E$35:$E$45 = ""Parcial""),0))"),75955.78293522184)</f>
        <v>75955.78294</v>
      </c>
      <c r="D35" s="48">
        <f>IFERROR(__xludf.DUMMYFUNCTION("SUM(IFERROR(FILTER(PESSOAL!$T$13:$T$23,PESSOAL!$F$13:$F$23 = $A35,PESSOAL!$V$13:$V$23 = ""Parcial""),0))*24"),1302.5666666666668)</f>
        <v>1302.566667</v>
      </c>
      <c r="E35" s="47">
        <f>IFERROR(__xludf.DUMMYFUNCTION("COUNTA(IFERROR(FILTER(PESSOAL!$E$6:$E$19,PESSOAL!$E$6:$E$19 = $A35,PESSOAL!$U$6:$U$19 = ""Exclusivo"",PESSOAL!$U$28:$U$39 = TRUE),))"),0.0)</f>
        <v>0</v>
      </c>
      <c r="F35" s="48">
        <f>IFERROR(__xludf.DUMMYFUNCTION("SUM(IFERROR(FILTER(PESSOAL!$U$35:$U$44,PESSOAL!$F$35:$F$44 = $A35,PESSOAL!$E$35:$E$44 = ""Exclusivo);0))"")))"),0.0)</f>
        <v>0</v>
      </c>
      <c r="G35" s="48">
        <f>IFERROR(__xludf.DUMMYFUNCTION("SUM(IFERROR(FILTER(PESSOAL!$T$13:$T$23,PESSOAL!$F$13:$F$23 = $A35,PESSOAL!$V$13:$V$23 = ""Exclusivo""),0))*24"),0.0)</f>
        <v>0</v>
      </c>
    </row>
    <row r="36" ht="16.5" customHeight="1">
      <c r="A36" s="49" t="s">
        <v>40</v>
      </c>
      <c r="B36" s="47">
        <f>IFERROR(__xludf.DUMMYFUNCTION("COUNTA(IFERROR(FILTER(PESSOAL!$F$13:$F$23,PESSOAL!$F$13:$F$23 = $A36,PESSOAL!$V$13:$V$23 = ""Parcial"",PESSOAL!$W$13:$W$23 = TRUE),))"),3.0)</f>
        <v>3</v>
      </c>
      <c r="C36" s="48">
        <f>IFERROR(__xludf.DUMMYFUNCTION("SUM(IFERROR(FILTER(PESSOAL!$U$35:$U$45,PESSOAL!$F$35:$F$45 = $A36,PESSOAL!$E$35:$E$45 = ""Parcial""),0))"),23118.883308544828)</f>
        <v>23118.88331</v>
      </c>
      <c r="D36" s="48">
        <f>IFERROR(__xludf.DUMMYFUNCTION("SUM(IFERROR(FILTER(PESSOAL!$T$13:$T$23,PESSOAL!$F$13:$F$23 = $A36,PESSOAL!$V$13:$V$23 = ""Parcial""),0))*24"),271.74999999999994)</f>
        <v>271.75</v>
      </c>
      <c r="E36" s="47">
        <f>IFERROR(__xludf.DUMMYFUNCTION("COUNTA(IFERROR(FILTER(PESSOAL!$E$6:$E$19,PESSOAL!$E$6:$E$19 = $A36,PESSOAL!$U$6:$U$19 = ""Exclusivo"",PESSOAL!$U$28:$U$39 = TRUE),))"),0.0)</f>
        <v>0</v>
      </c>
      <c r="F36" s="48">
        <f>IFERROR(__xludf.DUMMYFUNCTION("SUM(IFERROR(FILTER(PESSOAL!$U$35:$U$44,PESSOAL!$F$35:$F$44 = $A36,PESSOAL!$E$35:$E$44 = ""Exclusivo);0))"")))"),0.0)</f>
        <v>0</v>
      </c>
      <c r="G36" s="48">
        <f>IFERROR(__xludf.DUMMYFUNCTION("SUM(IFERROR(FILTER(PESSOAL!$T$13:$T$23,PESSOAL!$F$13:$F$23 = $A36,PESSOAL!$V$13:$V$23 = ""Exclusivo""),0))*24"),0.0)</f>
        <v>0</v>
      </c>
    </row>
    <row r="37" ht="16.5" customHeight="1">
      <c r="A37" s="50" t="s">
        <v>41</v>
      </c>
      <c r="B37" s="47">
        <f>IFERROR(__xludf.DUMMYFUNCTION("COUNTA(IFERROR(FILTER(PESSOAL!$F$13:$F$23,PESSOAL!$F$13:$F$23 = $A37,PESSOAL!$V$13:$V$23 = ""Parcial"",PESSOAL!$W$13:$W$23 = TRUE),))"),4.0)</f>
        <v>4</v>
      </c>
      <c r="C37" s="48">
        <f>IFERROR(__xludf.DUMMYFUNCTION("SUM(IFERROR(FILTER(PESSOAL!$U$35:$U$45,PESSOAL!$F$35:$F$45 = $A37,PESSOAL!$E$35:$E$45 = ""Parcial""),0))"),100109.26978075242)</f>
        <v>100109.2698</v>
      </c>
      <c r="D37" s="48">
        <f>IFERROR(__xludf.DUMMYFUNCTION("SUM(IFERROR(FILTER(PESSOAL!$T$13:$T$23,PESSOAL!$F$13:$F$23 = $A37,PESSOAL!$V$13:$V$23 = ""Parcial""),0))*24"),1500.050000000001)</f>
        <v>1500.05</v>
      </c>
      <c r="E37" s="47">
        <f>IFERROR(__xludf.DUMMYFUNCTION("COUNTA(IFERROR(FILTER(PESSOAL!$E$6:$E$19,PESSOAL!$E$6:$E$19 = $A37,PESSOAL!$U$6:$U$19 = ""Exclusivo"",PESSOAL!$U$28:$U$39 = TRUE),))"),0.0)</f>
        <v>0</v>
      </c>
      <c r="F37" s="48">
        <f>IFERROR(__xludf.DUMMYFUNCTION("SUM(IFERROR(FILTER(PESSOAL!$U$35:$U$44,PESSOAL!$F$35:$F$44 = $A37,PESSOAL!$E$35:$E$44 = ""Exclusivo);0))"")))"),0.0)</f>
        <v>0</v>
      </c>
      <c r="G37" s="48">
        <f>IFERROR(__xludf.DUMMYFUNCTION("SUM(IFERROR(FILTER(PESSOAL!$T$13:$T$23,PESSOAL!$F$13:$F$23 = $A37,PESSOAL!$V$13:$V$23 = ""Exclusivo""),0))*24"),0.0)</f>
        <v>0</v>
      </c>
    </row>
    <row r="38" ht="16.5" customHeight="1">
      <c r="A38" s="50" t="s">
        <v>42</v>
      </c>
      <c r="B38" s="47">
        <f>IFERROR(__xludf.DUMMYFUNCTION("COUNTA(IFERROR(FILTER(PESSOAL!$F$13:$F$23,PESSOAL!$F$13:$F$23 = $A38,PESSOAL!$V$13:$V$23 = ""Parcial"",PESSOAL!$W$13:$W$23 = TRUE),))"),0.0)</f>
        <v>0</v>
      </c>
      <c r="C38" s="48">
        <f>IFERROR(__xludf.DUMMYFUNCTION("SUM(IFERROR(FILTER(PESSOAL!$U$35:$U$45,PESSOAL!$F$35:$F$45 = $A38,PESSOAL!$E$35:$E$45 = ""Parcial""),0))"),0.0)</f>
        <v>0</v>
      </c>
      <c r="D38" s="48">
        <f>IFERROR(__xludf.DUMMYFUNCTION("SUM(IFERROR(FILTER(PESSOAL!$T$13:$T$23,PESSOAL!$F$13:$F$23 = $A38,PESSOAL!$V$13:$V$23 = ""Parcial""),0))*24"),0.0)</f>
        <v>0</v>
      </c>
      <c r="E38" s="47">
        <f>IFERROR(__xludf.DUMMYFUNCTION("COUNTA(IFERROR(FILTER(PESSOAL!$E$6:$E$19,PESSOAL!$E$6:$E$19 = $A38,PESSOAL!$U$6:$U$19 = ""Exclusivo"",PESSOAL!$U$28:$U$39 = TRUE),))"),0.0)</f>
        <v>0</v>
      </c>
      <c r="F38" s="48">
        <f>IFERROR(__xludf.DUMMYFUNCTION("SUM(IFERROR(FILTER(PESSOAL!$U$35:$U$44,PESSOAL!$F$35:$F$44 = $A38,PESSOAL!$E$35:$E$44 = ""Exclusivo);0))"")))"),0.0)</f>
        <v>0</v>
      </c>
      <c r="G38" s="48">
        <f>IFERROR(__xludf.DUMMYFUNCTION("SUM(IFERROR(FILTER(PESSOAL!$T$13:$T$23,PESSOAL!$F$13:$F$23 = $A38,PESSOAL!$V$13:$V$23 = ""Exclusivo""),0))*24"),0.0)</f>
        <v>0</v>
      </c>
    </row>
    <row r="39" ht="16.5" customHeight="1">
      <c r="A39" s="51"/>
      <c r="B39" s="52">
        <f t="shared" ref="B39:G39" si="7">SUM(B33:B38)</f>
        <v>11</v>
      </c>
      <c r="C39" s="53">
        <f t="shared" si="7"/>
        <v>199183.936</v>
      </c>
      <c r="D39" s="53">
        <f t="shared" si="7"/>
        <v>3074.366667</v>
      </c>
      <c r="E39" s="52">
        <f t="shared" si="7"/>
        <v>0</v>
      </c>
      <c r="F39" s="53">
        <f t="shared" si="7"/>
        <v>0</v>
      </c>
      <c r="G39" s="53">
        <f t="shared" si="7"/>
        <v>0</v>
      </c>
    </row>
    <row r="40" ht="9.75" customHeight="1">
      <c r="A40" s="33"/>
      <c r="B40" s="33"/>
      <c r="C40" s="6"/>
      <c r="D40" s="6"/>
      <c r="E40" s="6"/>
      <c r="F40" s="6"/>
      <c r="G40" s="6"/>
    </row>
    <row r="41" ht="18.75" customHeight="1">
      <c r="A41" s="41" t="s">
        <v>43</v>
      </c>
      <c r="B41" s="33"/>
      <c r="C41" s="6"/>
      <c r="D41" s="6"/>
      <c r="E41" s="6"/>
      <c r="F41" s="6"/>
      <c r="G41" s="6"/>
    </row>
    <row r="42" ht="18.75" customHeight="1">
      <c r="A42" s="54"/>
      <c r="B42" s="55">
        <f>sum(D42:G42)</f>
        <v>573557.068</v>
      </c>
      <c r="C42" s="56"/>
      <c r="D42" s="55">
        <f t="shared" ref="D42:G42" si="8">sum(D44:D66)</f>
        <v>0</v>
      </c>
      <c r="E42" s="55">
        <f t="shared" si="8"/>
        <v>366648.215</v>
      </c>
      <c r="F42" s="55">
        <f t="shared" si="8"/>
        <v>206908.853</v>
      </c>
      <c r="G42" s="55">
        <f t="shared" si="8"/>
        <v>0</v>
      </c>
    </row>
    <row r="43" ht="18.75" customHeight="1">
      <c r="A43" s="57" t="s">
        <v>44</v>
      </c>
      <c r="B43" s="58" t="s">
        <v>11</v>
      </c>
      <c r="C43" s="59"/>
      <c r="D43" s="58" t="s">
        <v>45</v>
      </c>
      <c r="E43" s="58" t="s">
        <v>46</v>
      </c>
      <c r="F43" s="58" t="s">
        <v>47</v>
      </c>
      <c r="G43" s="58" t="s">
        <v>48</v>
      </c>
    </row>
    <row r="44">
      <c r="A44" s="6" t="str">
        <f t="array" ref="A44:A66">'BD Projetos'!A2:A24</f>
        <v>INOV00001</v>
      </c>
      <c r="B44" s="60">
        <f t="shared" ref="B44:B66" si="9">sum(D44:G44)</f>
        <v>285941.6493</v>
      </c>
      <c r="C44" s="61"/>
      <c r="D44" s="19" t="s">
        <v>13</v>
      </c>
      <c r="E44" s="18">
        <f t="array" ref="E44:E66">iferror(XLOOKUP(A44:A66,transpose(TERCEIROS!$P$11:$AW$11),transpose(TERCEIROS!$P$10:$AW$10),0,0),"")</f>
        <v>196831.425</v>
      </c>
      <c r="F44" s="18">
        <f>IFERROR(__xludf.DUMMYFUNCTION("ArrayFormula(IFERROR(SUM(filter(TIMESHEET!$N$12:$N66,TIMESHEET!$C$12:$C66=A44,TIMESHEET!$Q$12:$Q66=""Parcial"")),""-""))"),89110.22431248204)</f>
        <v>89110.22431</v>
      </c>
      <c r="G44" s="18" t="str">
        <f>IFERROR(__xludf.DUMMYFUNCTION("iferror(sum(filter(TIMESHEET!$N12:$N66,TIMESHEET!$C12:$C66=A44,TIMESHEET!$Q12:$Q66=""Exclusivo"")),""-"")"),"-")</f>
        <v>-</v>
      </c>
    </row>
    <row r="45">
      <c r="A45" s="37" t="s">
        <v>49</v>
      </c>
      <c r="B45" s="60">
        <f t="shared" si="9"/>
        <v>10095.2279</v>
      </c>
      <c r="C45" s="61"/>
      <c r="D45" s="19" t="s">
        <v>13</v>
      </c>
      <c r="E45" s="18">
        <v>0.0</v>
      </c>
      <c r="F45" s="18">
        <f>IFERROR(__xludf.DUMMYFUNCTION("ArrayFormula(IFERROR(SUM(filter(TIMESHEET!$N$12:$N66,TIMESHEET!$C$12:$C66=A45,TIMESHEET!$Q$12:$Q66=""Parcial"")),""-""))"),10095.227904826466)</f>
        <v>10095.2279</v>
      </c>
      <c r="G45" s="18" t="str">
        <f>IFERROR(__xludf.DUMMYFUNCTION("iferror(sum(filter(TIMESHEET!$N13:$N66,TIMESHEET!$C13:$C66=A45,TIMESHEET!$Q13:$Q66=""Exclusivo"")),""-"")"),"-")</f>
        <v>-</v>
      </c>
    </row>
    <row r="46">
      <c r="A46" s="6" t="s">
        <v>50</v>
      </c>
      <c r="B46" s="60">
        <f t="shared" si="9"/>
        <v>9719.422113</v>
      </c>
      <c r="C46" s="61"/>
      <c r="D46" s="19" t="s">
        <v>13</v>
      </c>
      <c r="E46" s="18">
        <v>0.0</v>
      </c>
      <c r="F46" s="18">
        <f>IFERROR(__xludf.DUMMYFUNCTION("ArrayFormula(IFERROR(SUM(filter(TIMESHEET!$N$12:$N66,TIMESHEET!$C$12:$C66=A46,TIMESHEET!$Q$12:$Q66=""Parcial"")),""-""))"),9719.422113103337)</f>
        <v>9719.422113</v>
      </c>
      <c r="G46" s="18" t="str">
        <f>IFERROR(__xludf.DUMMYFUNCTION("iferror(sum(filter(TIMESHEET!$N14:$N66,TIMESHEET!$C14:$C66=A46,TIMESHEET!$Q14:$Q66=""Exclusivo"")),""-"")"),"-")</f>
        <v>-</v>
      </c>
    </row>
    <row r="47">
      <c r="A47" s="37" t="s">
        <v>51</v>
      </c>
      <c r="B47" s="60">
        <f t="shared" si="9"/>
        <v>24629.08465</v>
      </c>
      <c r="C47" s="61"/>
      <c r="D47" s="19" t="s">
        <v>13</v>
      </c>
      <c r="E47" s="18">
        <v>18843.485</v>
      </c>
      <c r="F47" s="18">
        <f>IFERROR(__xludf.DUMMYFUNCTION("ArrayFormula(IFERROR(SUM(filter(TIMESHEET!$N$12:$N66,TIMESHEET!$C$12:$C66=A47,TIMESHEET!$Q$12:$Q66=""Parcial"")),""-""))"),5785.599652159814)</f>
        <v>5785.599652</v>
      </c>
      <c r="G47" s="18" t="str">
        <f>IFERROR(__xludf.DUMMYFUNCTION("iferror(sum(filter(TIMESHEET!$N15:$N66,TIMESHEET!$C15:$C66=A47,TIMESHEET!$Q15:$Q66=""Exclusivo"")),""-"")"),"-")</f>
        <v>-</v>
      </c>
    </row>
    <row r="48">
      <c r="A48" s="37" t="s">
        <v>52</v>
      </c>
      <c r="B48" s="60">
        <f t="shared" si="9"/>
        <v>20708.51751</v>
      </c>
      <c r="C48" s="61"/>
      <c r="D48" s="19" t="s">
        <v>13</v>
      </c>
      <c r="E48" s="18">
        <v>14802.65</v>
      </c>
      <c r="F48" s="18">
        <f>IFERROR(__xludf.DUMMYFUNCTION("ArrayFormula(IFERROR(SUM(filter(TIMESHEET!$N$12:$N66,TIMESHEET!$C$12:$C66=A48,TIMESHEET!$Q$12:$Q66=""Parcial"")),""-""))"),5905.867513413776)</f>
        <v>5905.867513</v>
      </c>
      <c r="G48" s="18" t="str">
        <f>IFERROR(__xludf.DUMMYFUNCTION("iferror(sum(filter(TIMESHEET!$N16:$N66,TIMESHEET!$C16:$C66=A48,TIMESHEET!$Q16:$Q66=""Exclusivo"")),""-"")"),"-")</f>
        <v>-</v>
      </c>
    </row>
    <row r="49">
      <c r="A49" s="37" t="s">
        <v>53</v>
      </c>
      <c r="B49" s="60">
        <f t="shared" si="9"/>
        <v>8569.424499</v>
      </c>
      <c r="C49" s="61"/>
      <c r="D49" s="19" t="s">
        <v>13</v>
      </c>
      <c r="E49" s="18">
        <v>1914.23</v>
      </c>
      <c r="F49" s="18">
        <f>IFERROR(__xludf.DUMMYFUNCTION("ArrayFormula(IFERROR(SUM(filter(TIMESHEET!$N$12:$N66,TIMESHEET!$C$12:$C66=A49,TIMESHEET!$Q$12:$Q66=""Parcial"")),""-""))"),6655.194498857989)</f>
        <v>6655.194499</v>
      </c>
      <c r="G49" s="18" t="str">
        <f>IFERROR(__xludf.DUMMYFUNCTION("iferror(sum(filter(TIMESHEET!$N17:$N66,TIMESHEET!$C17:$C66=A49,TIMESHEET!$Q17:$Q66=""Exclusivo"")),""-"")"),"-")</f>
        <v>-</v>
      </c>
    </row>
    <row r="50">
      <c r="A50" s="37" t="s">
        <v>54</v>
      </c>
      <c r="B50" s="60">
        <f t="shared" si="9"/>
        <v>102180.9242</v>
      </c>
      <c r="C50" s="61"/>
      <c r="D50" s="19" t="s">
        <v>13</v>
      </c>
      <c r="E50" s="18">
        <v>84801.62499999999</v>
      </c>
      <c r="F50" s="18">
        <f>IFERROR(__xludf.DUMMYFUNCTION("ArrayFormula(IFERROR(SUM(filter(TIMESHEET!$N$12:$N66,TIMESHEET!$C$12:$C66=A50,TIMESHEET!$Q$12:$Q66=""Parcial"")),""-""))"),17379.29916204822)</f>
        <v>17379.29916</v>
      </c>
      <c r="G50" s="18" t="str">
        <f>IFERROR(__xludf.DUMMYFUNCTION("iferror(sum(filter(TIMESHEET!$N18:$N66,TIMESHEET!$C18:$C66=A50,TIMESHEET!$Q18:$Q66=""Exclusivo"")),""-"")"),"-")</f>
        <v>-</v>
      </c>
    </row>
    <row r="51">
      <c r="A51" s="37" t="s">
        <v>55</v>
      </c>
      <c r="B51" s="60">
        <f t="shared" si="9"/>
        <v>17865.33298</v>
      </c>
      <c r="C51" s="61"/>
      <c r="D51" s="19" t="s">
        <v>13</v>
      </c>
      <c r="E51" s="18">
        <v>7379.13</v>
      </c>
      <c r="F51" s="18">
        <f>IFERROR(__xludf.DUMMYFUNCTION("ArrayFormula(IFERROR(SUM(filter(TIMESHEET!$N$12:$N66,TIMESHEET!$C$12:$C66=A51,TIMESHEET!$Q$12:$Q66=""Parcial"")),""-""))"),10486.202977498835)</f>
        <v>10486.20298</v>
      </c>
      <c r="G51" s="18" t="str">
        <f>IFERROR(__xludf.DUMMYFUNCTION("iferror(sum(filter(TIMESHEET!$N19:$N66,TIMESHEET!$C19:$C66=A51,TIMESHEET!$Q19:$Q66=""Exclusivo"")),""-"")"),"-")</f>
        <v>-</v>
      </c>
    </row>
    <row r="52">
      <c r="A52" s="37" t="s">
        <v>56</v>
      </c>
      <c r="B52" s="60">
        <f t="shared" si="9"/>
        <v>9305.642828</v>
      </c>
      <c r="C52" s="61"/>
      <c r="D52" s="19" t="s">
        <v>13</v>
      </c>
      <c r="E52" s="18">
        <v>817.13</v>
      </c>
      <c r="F52" s="18">
        <f>IFERROR(__xludf.DUMMYFUNCTION("ArrayFormula(IFERROR(SUM(filter(TIMESHEET!$N$12:$N66,TIMESHEET!$C$12:$C66=A52,TIMESHEET!$Q$12:$Q66=""Parcial"")),""-""))"),8488.512827566217)</f>
        <v>8488.512828</v>
      </c>
      <c r="G52" s="18" t="str">
        <f>IFERROR(__xludf.DUMMYFUNCTION("iferror(sum(filter(TIMESHEET!$N20:$N66,TIMESHEET!$C20:$C66=A52,TIMESHEET!$Q20:$Q66=""Exclusivo"")),""-"")"),"-")</f>
        <v>-</v>
      </c>
    </row>
    <row r="53">
      <c r="A53" s="37" t="s">
        <v>57</v>
      </c>
      <c r="B53" s="60">
        <f t="shared" si="9"/>
        <v>10509.03614</v>
      </c>
      <c r="C53" s="61"/>
      <c r="D53" s="19" t="s">
        <v>13</v>
      </c>
      <c r="E53" s="18">
        <v>730.0</v>
      </c>
      <c r="F53" s="18">
        <f>IFERROR(__xludf.DUMMYFUNCTION("ArrayFormula(IFERROR(SUM(filter(TIMESHEET!$N$12:$N66,TIMESHEET!$C$12:$C66=A53,TIMESHEET!$Q$12:$Q66=""Parcial"")),""-""))"),9779.036140085675)</f>
        <v>9779.03614</v>
      </c>
      <c r="G53" s="18" t="str">
        <f>IFERROR(__xludf.DUMMYFUNCTION("iferror(sum(filter(TIMESHEET!$N21:$N66,TIMESHEET!$C21:$C66=A53,TIMESHEET!$Q21:$Q66=""Exclusivo"")),""-"")"),"-")</f>
        <v>-</v>
      </c>
    </row>
    <row r="54">
      <c r="A54" s="37" t="s">
        <v>58</v>
      </c>
      <c r="B54" s="60">
        <f t="shared" si="9"/>
        <v>12172.53474</v>
      </c>
      <c r="C54" s="61"/>
      <c r="D54" s="19" t="s">
        <v>13</v>
      </c>
      <c r="E54" s="18">
        <v>7380.0</v>
      </c>
      <c r="F54" s="18">
        <f>IFERROR(__xludf.DUMMYFUNCTION("ArrayFormula(IFERROR(SUM(filter(TIMESHEET!$N$12:$N66,TIMESHEET!$C$12:$C66=A54,TIMESHEET!$Q$12:$Q66=""Parcial"")),""-""))"),4792.534743366326)</f>
        <v>4792.534743</v>
      </c>
      <c r="G54" s="18" t="str">
        <f>IFERROR(__xludf.DUMMYFUNCTION("iferror(sum(filter(TIMESHEET!$N22:$N66,TIMESHEET!$C22:$C66=A54,TIMESHEET!$Q22:$Q66=""Exclusivo"")),""-"")"),"-")</f>
        <v>-</v>
      </c>
    </row>
    <row r="55">
      <c r="A55" s="37" t="s">
        <v>59</v>
      </c>
      <c r="B55" s="60">
        <f t="shared" si="9"/>
        <v>9051.344367</v>
      </c>
      <c r="C55" s="61"/>
      <c r="D55" s="19" t="s">
        <v>13</v>
      </c>
      <c r="E55" s="18">
        <v>1523.0</v>
      </c>
      <c r="F55" s="18">
        <f>IFERROR(__xludf.DUMMYFUNCTION("ArrayFormula(IFERROR(SUM(filter(TIMESHEET!$N$12:$N66,TIMESHEET!$C$12:$C66=A55,TIMESHEET!$Q$12:$Q66=""Parcial"")),""-""))"),7528.344366824644)</f>
        <v>7528.344367</v>
      </c>
      <c r="G55" s="18" t="str">
        <f>IFERROR(__xludf.DUMMYFUNCTION("iferror(sum(filter(TIMESHEET!$N23:$N66,TIMESHEET!$C23:$C66=A55,TIMESHEET!$Q23:$Q66=""Exclusivo"")),""-"")"),"-")</f>
        <v>-</v>
      </c>
    </row>
    <row r="56">
      <c r="A56" s="37" t="s">
        <v>60</v>
      </c>
      <c r="B56" s="60">
        <f t="shared" si="9"/>
        <v>548.5030345</v>
      </c>
      <c r="C56" s="61"/>
      <c r="D56" s="19" t="s">
        <v>13</v>
      </c>
      <c r="E56" s="18">
        <v>0.0</v>
      </c>
      <c r="F56" s="18">
        <f>IFERROR(__xludf.DUMMYFUNCTION("ArrayFormula(IFERROR(SUM(filter(TIMESHEET!$N$12:$N66,TIMESHEET!$C$12:$C66=A56,TIMESHEET!$Q$12:$Q66=""Parcial"")),""-""))"),548.5030345170454)</f>
        <v>548.5030345</v>
      </c>
      <c r="G56" s="18" t="str">
        <f>IFERROR(__xludf.DUMMYFUNCTION("iferror(sum(filter(TIMESHEET!$N24:$N66,TIMESHEET!$C24:$C66=A56,TIMESHEET!$Q24:$Q66=""Exclusivo"")),""-"")"),"-")</f>
        <v>-</v>
      </c>
    </row>
    <row r="57">
      <c r="A57" s="37" t="s">
        <v>61</v>
      </c>
      <c r="B57" s="60">
        <f t="shared" si="9"/>
        <v>18931.79518</v>
      </c>
      <c r="C57" s="61"/>
      <c r="D57" s="19" t="s">
        <v>13</v>
      </c>
      <c r="E57" s="18">
        <v>17286.16</v>
      </c>
      <c r="F57" s="18">
        <f>IFERROR(__xludf.DUMMYFUNCTION("ArrayFormula(IFERROR(SUM(filter(TIMESHEET!$N$12:$N66,TIMESHEET!$C$12:$C66=A57,TIMESHEET!$Q$12:$Q66=""Parcial"")),""-""))"),1645.635184076597)</f>
        <v>1645.635184</v>
      </c>
      <c r="G57" s="18" t="str">
        <f>IFERROR(__xludf.DUMMYFUNCTION("iferror(sum(filter(TIMESHEET!$N25:$N66,TIMESHEET!$C25:$C66=A57,TIMESHEET!$Q25:$Q66=""Exclusivo"")),""-"")"),"-")</f>
        <v>-</v>
      </c>
    </row>
    <row r="58">
      <c r="A58" s="37" t="s">
        <v>62</v>
      </c>
      <c r="B58" s="60">
        <f t="shared" si="9"/>
        <v>1922.529115</v>
      </c>
      <c r="C58" s="61"/>
      <c r="D58" s="19" t="s">
        <v>13</v>
      </c>
      <c r="E58" s="18">
        <v>0.0</v>
      </c>
      <c r="F58" s="18">
        <f>IFERROR(__xludf.DUMMYFUNCTION("ArrayFormula(IFERROR(SUM(filter(TIMESHEET!$N$12:$N66,TIMESHEET!$C$12:$C66=A58,TIMESHEET!$Q$12:$Q66=""Parcial"")),""-""))"),1922.5291148184226)</f>
        <v>1922.529115</v>
      </c>
      <c r="G58" s="18" t="str">
        <f>IFERROR(__xludf.DUMMYFUNCTION("iferror(sum(filter(TIMESHEET!$N26:$N66,TIMESHEET!$C26:$C66=A58,TIMESHEET!$Q26:$Q66=""Exclusivo"")),""-"")"),"-")</f>
        <v>-</v>
      </c>
    </row>
    <row r="59" hidden="1">
      <c r="A59" s="62" t="s">
        <v>63</v>
      </c>
      <c r="B59" s="63">
        <f t="shared" si="9"/>
        <v>0</v>
      </c>
      <c r="C59" s="64"/>
      <c r="D59" s="65" t="s">
        <v>13</v>
      </c>
      <c r="E59" s="66">
        <v>0.0</v>
      </c>
      <c r="F59" s="66">
        <f>IFERROR(__xludf.DUMMYFUNCTION("ArrayFormula(IFERROR(SUM(filter(TIMESHEET!$N$12:$N66,TIMESHEET!$C$12:$C66=A59,TIMESHEET!$Q$12:$Q66=""Parcial"")),""-""))"),0.0)</f>
        <v>0</v>
      </c>
      <c r="G59" s="66" t="str">
        <f>IFERROR(__xludf.DUMMYFUNCTION("iferror(sum(filter(TIMESHEET!$N27:$N66,TIMESHEET!$C27:$C66=A59,TIMESHEET!$Q27:$Q66=""Exclusivo"")),""-"")"),"-")</f>
        <v>-</v>
      </c>
    </row>
    <row r="60" hidden="1">
      <c r="A60" s="37" t="s">
        <v>64</v>
      </c>
      <c r="B60" s="60">
        <f t="shared" si="9"/>
        <v>0</v>
      </c>
      <c r="C60" s="61"/>
      <c r="D60" s="19" t="s">
        <v>13</v>
      </c>
      <c r="E60" s="18">
        <v>0.0</v>
      </c>
      <c r="F60" s="18">
        <f>IFERROR(__xludf.DUMMYFUNCTION("ArrayFormula(IFERROR(SUM(filter(TIMESHEET!$N$12:$N66,TIMESHEET!$C$12:$C66=A60,TIMESHEET!$Q$12:$Q66=""Parcial"")),""-""))"),0.0)</f>
        <v>0</v>
      </c>
      <c r="G60" s="18" t="str">
        <f>IFERROR(__xludf.DUMMYFUNCTION("iferror(sum(filter(TIMESHEET!$N28:$N66,TIMESHEET!$C28:$C66=A60,TIMESHEET!$Q28:$Q66=""Exclusivo"")),""-"")"),"-")</f>
        <v>-</v>
      </c>
    </row>
    <row r="61">
      <c r="A61" s="37" t="s">
        <v>65</v>
      </c>
      <c r="B61" s="60">
        <f t="shared" si="9"/>
        <v>3081.677608</v>
      </c>
      <c r="C61" s="61"/>
      <c r="D61" s="19" t="s">
        <v>13</v>
      </c>
      <c r="E61" s="18">
        <v>0.0</v>
      </c>
      <c r="F61" s="18">
        <f>IFERROR(__xludf.DUMMYFUNCTION("ArrayFormula(IFERROR(SUM(filter(TIMESHEET!$N$12:$N66,TIMESHEET!$C$12:$C66=A61,TIMESHEET!$Q$12:$Q66=""Parcial"")),""-""))"),3081.6776084919898)</f>
        <v>3081.677608</v>
      </c>
      <c r="G61" s="18" t="str">
        <f>IFERROR(__xludf.DUMMYFUNCTION("iferror(sum(filter(TIMESHEET!$N29:$N66,TIMESHEET!$C29:$C66=A61,TIMESHEET!$Q29:$Q66=""Exclusivo"")),""-"")"),"-")</f>
        <v>-</v>
      </c>
    </row>
    <row r="62">
      <c r="A62" s="37" t="s">
        <v>66</v>
      </c>
      <c r="B62" s="60">
        <f t="shared" si="9"/>
        <v>937.9653949</v>
      </c>
      <c r="C62" s="61"/>
      <c r="D62" s="19" t="s">
        <v>13</v>
      </c>
      <c r="E62" s="18">
        <v>0.0</v>
      </c>
      <c r="F62" s="18">
        <f>IFERROR(__xludf.DUMMYFUNCTION("ArrayFormula(IFERROR(SUM(filter(TIMESHEET!$N$12:$N66,TIMESHEET!$C$12:$C66=A62,TIMESHEET!$Q$12:$Q66=""Parcial"")),""-""))"),937.9653948991403)</f>
        <v>937.9653949</v>
      </c>
      <c r="G62" s="18" t="str">
        <f>IFERROR(__xludf.DUMMYFUNCTION("iferror(sum(filter(TIMESHEET!$N30:$N66,TIMESHEET!$C30:$C66=A62,TIMESHEET!$Q30:$Q66=""Exclusivo"")),""-"")"),"-")</f>
        <v>-</v>
      </c>
    </row>
    <row r="63">
      <c r="A63" s="37" t="s">
        <v>67</v>
      </c>
      <c r="B63" s="60">
        <f t="shared" si="9"/>
        <v>14687.99648</v>
      </c>
      <c r="C63" s="61"/>
      <c r="D63" s="19" t="s">
        <v>13</v>
      </c>
      <c r="E63" s="18">
        <v>13018.0</v>
      </c>
      <c r="F63" s="18">
        <f>IFERROR(__xludf.DUMMYFUNCTION("ArrayFormula(IFERROR(SUM(filter(TIMESHEET!$N$12:$N66,TIMESHEET!$C$12:$C66=A63,TIMESHEET!$Q$12:$Q66=""Parcial"")),""-""))"),1669.996482306097)</f>
        <v>1669.996482</v>
      </c>
      <c r="G63" s="18" t="str">
        <f>IFERROR(__xludf.DUMMYFUNCTION("iferror(sum(filter(TIMESHEET!$N31:$N66,TIMESHEET!$C31:$C66=A63,TIMESHEET!$Q31:$Q66=""Exclusivo"")),""-"")"),"-")</f>
        <v>-</v>
      </c>
    </row>
    <row r="64" hidden="1">
      <c r="A64" s="37" t="s">
        <v>68</v>
      </c>
      <c r="B64" s="60">
        <f t="shared" si="9"/>
        <v>0</v>
      </c>
      <c r="C64" s="61"/>
      <c r="D64" s="19" t="s">
        <v>13</v>
      </c>
      <c r="E64" s="18">
        <v>0.0</v>
      </c>
      <c r="F64" s="18">
        <f>IFERROR(__xludf.DUMMYFUNCTION("ArrayFormula(IFERROR(SUM(filter(TIMESHEET!$N$12:$N66,TIMESHEET!$C$12:$C66=A64,TIMESHEET!$Q$12:$Q66=""Parcial"")),""-""))"),0.0)</f>
        <v>0</v>
      </c>
      <c r="G64" s="18" t="str">
        <f>IFERROR(__xludf.DUMMYFUNCTION("iferror(sum(filter(TIMESHEET!$N32:$N66,TIMESHEET!$C32:$C66=A64,TIMESHEET!$Q32:$Q66=""Exclusivo"")),""-"")"),"-")</f>
        <v>-</v>
      </c>
    </row>
    <row r="65">
      <c r="A65" s="37" t="s">
        <v>69</v>
      </c>
      <c r="B65" s="60">
        <f t="shared" si="9"/>
        <v>12698.45995</v>
      </c>
      <c r="C65" s="61"/>
      <c r="D65" s="19" t="s">
        <v>13</v>
      </c>
      <c r="E65" s="18">
        <v>1321.38</v>
      </c>
      <c r="F65" s="18">
        <f>IFERROR(__xludf.DUMMYFUNCTION("ArrayFormula(IFERROR(SUM(filter(TIMESHEET!$N$12:$N66,TIMESHEET!$C$12:$C66=A65,TIMESHEET!$Q$12:$Q66=""Parcial"")),""-""))"),11377.079946062458)</f>
        <v>11377.07995</v>
      </c>
      <c r="G65" s="18" t="str">
        <f>IFERROR(__xludf.DUMMYFUNCTION("iferror(sum(filter(TIMESHEET!$N33:$N66,TIMESHEET!$C33:$C66=A65,TIMESHEET!$Q33:$Q66=""Exclusivo"")),""-"")"),"-")</f>
        <v>-</v>
      </c>
    </row>
    <row r="66" hidden="1">
      <c r="A66" s="37" t="s">
        <v>70</v>
      </c>
      <c r="B66" s="60">
        <f t="shared" si="9"/>
        <v>0</v>
      </c>
      <c r="C66" s="61"/>
      <c r="D66" s="19" t="s">
        <v>13</v>
      </c>
      <c r="E66" s="18">
        <v>0.0</v>
      </c>
      <c r="F66" s="18">
        <f>IFERROR(__xludf.DUMMYFUNCTION("ArrayFormula(IFERROR(SUM(filter(TIMESHEET!$N$12:$N66,TIMESHEET!$C$12:$C66=A66,TIMESHEET!$Q$12:$Q66=""Parcial"")),""-""))"),0.0)</f>
        <v>0</v>
      </c>
      <c r="G66" s="18" t="str">
        <f>IFERROR(__xludf.DUMMYFUNCTION("iferror(sum(filter(TIMESHEET!$N34:$N66,TIMESHEET!$C34:$C66=A66,TIMESHEET!$Q34:$Q66=""Exclusivo"")),""-"")"),"-")</f>
        <v>-</v>
      </c>
    </row>
  </sheetData>
  <mergeCells count="2">
    <mergeCell ref="B31:D31"/>
    <mergeCell ref="E31:G31"/>
  </mergeCells>
  <printOptions horizontalCentered="1"/>
  <pageMargins bottom="0.19685039370078738" footer="0.0" header="0.0" left="0.19685039370078738" right="0.19685039370078738" top="0.19685039370078738"/>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75"/>
  <cols>
    <col customWidth="1" min="1" max="1" width="2.25"/>
    <col customWidth="1" min="2" max="2" width="14.38"/>
    <col customWidth="1" min="3" max="3" width="7.25"/>
    <col customWidth="1" min="4" max="4" width="2.25"/>
    <col customWidth="1" min="5" max="5" width="21.63"/>
    <col customWidth="1" min="6" max="6" width="14.38"/>
    <col customWidth="1" min="7" max="7" width="22.88"/>
    <col customWidth="1" min="8" max="9" width="2.25"/>
    <col customWidth="1" min="10" max="10" width="7.25"/>
    <col customWidth="1" min="11" max="11" width="2.25"/>
    <col customWidth="1" min="12" max="12" width="14.38"/>
    <col customWidth="1" min="13" max="13" width="3.0"/>
    <col customWidth="1" min="14" max="14" width="3.13"/>
    <col customWidth="1" min="15" max="26" width="14.38"/>
  </cols>
  <sheetData>
    <row r="1" ht="11.25" customHeight="1">
      <c r="A1" s="67" t="s">
        <v>71</v>
      </c>
      <c r="B1" s="68"/>
      <c r="C1" s="68"/>
      <c r="D1" s="68"/>
      <c r="E1" s="68"/>
      <c r="F1" s="68"/>
      <c r="G1" s="68"/>
      <c r="H1" s="68"/>
      <c r="I1" s="68"/>
      <c r="J1" s="68"/>
      <c r="K1" s="68"/>
      <c r="L1" s="68"/>
      <c r="M1" s="68"/>
      <c r="N1" s="68"/>
    </row>
    <row r="2">
      <c r="A2" s="68"/>
      <c r="B2" s="69" t="s">
        <v>72</v>
      </c>
      <c r="C2" s="68"/>
      <c r="D2" s="68"/>
      <c r="E2" s="68"/>
      <c r="F2" s="68"/>
      <c r="G2" s="68"/>
      <c r="H2" s="68"/>
      <c r="I2" s="68"/>
      <c r="J2" s="68"/>
      <c r="K2" s="68"/>
      <c r="L2" s="68"/>
      <c r="M2" s="68"/>
      <c r="N2" s="68"/>
    </row>
    <row r="3">
      <c r="A3" s="68"/>
      <c r="B3" s="70" t="s">
        <v>73</v>
      </c>
      <c r="C3" s="68"/>
      <c r="D3" s="68"/>
      <c r="E3" s="68"/>
      <c r="F3" s="68"/>
      <c r="G3" s="68"/>
      <c r="N3" s="68"/>
    </row>
    <row r="4">
      <c r="A4" s="68"/>
      <c r="B4" s="67" t="s">
        <v>74</v>
      </c>
      <c r="C4" s="68"/>
      <c r="D4" s="68"/>
      <c r="E4" s="68"/>
      <c r="F4" s="68"/>
      <c r="G4" s="68"/>
      <c r="H4" s="68"/>
      <c r="I4" s="71"/>
      <c r="J4" s="72" t="s">
        <v>75</v>
      </c>
      <c r="K4" s="68"/>
      <c r="L4" s="68"/>
      <c r="M4" s="73" t="b">
        <v>1</v>
      </c>
      <c r="N4" s="68"/>
    </row>
    <row r="5" ht="23.25" customHeight="1">
      <c r="A5" s="68"/>
      <c r="B5" s="74" t="s">
        <v>76</v>
      </c>
      <c r="G5" s="68"/>
      <c r="H5" s="68"/>
      <c r="I5" s="71"/>
      <c r="J5" s="72" t="s">
        <v>77</v>
      </c>
      <c r="K5" s="68"/>
      <c r="L5" s="68"/>
      <c r="M5" s="73" t="b">
        <v>0</v>
      </c>
      <c r="N5" s="68"/>
    </row>
    <row r="6" ht="23.25" customHeight="1">
      <c r="A6" s="68"/>
      <c r="G6" s="68"/>
      <c r="H6" s="68"/>
      <c r="I6" s="71"/>
      <c r="J6" s="72" t="s">
        <v>78</v>
      </c>
      <c r="K6" s="68"/>
      <c r="L6" s="68"/>
      <c r="M6" s="73" t="b">
        <v>0</v>
      </c>
      <c r="N6" s="68"/>
    </row>
    <row r="7">
      <c r="A7" s="68"/>
      <c r="B7" s="68"/>
      <c r="C7" s="68"/>
      <c r="D7" s="68"/>
      <c r="E7" s="68"/>
      <c r="F7" s="68"/>
      <c r="G7" s="68"/>
      <c r="H7" s="68"/>
      <c r="I7" s="68"/>
      <c r="J7" s="72"/>
      <c r="K7" s="68"/>
      <c r="L7" s="68"/>
      <c r="M7" s="68"/>
      <c r="N7" s="68"/>
    </row>
    <row r="8">
      <c r="A8" s="68"/>
      <c r="B8" s="69" t="s">
        <v>79</v>
      </c>
      <c r="C8" s="68"/>
      <c r="D8" s="68"/>
      <c r="E8" s="68"/>
      <c r="F8" s="68"/>
      <c r="G8" s="68"/>
      <c r="H8" s="68"/>
      <c r="N8" s="68"/>
    </row>
    <row r="9">
      <c r="A9" s="68"/>
      <c r="B9" s="70" t="s">
        <v>80</v>
      </c>
      <c r="C9" s="68"/>
      <c r="D9" s="68"/>
      <c r="E9" s="68"/>
      <c r="F9" s="68"/>
      <c r="G9" s="68"/>
      <c r="H9" s="68"/>
      <c r="I9" s="68"/>
      <c r="J9" s="68"/>
      <c r="K9" s="68"/>
      <c r="L9" s="68"/>
      <c r="M9" s="68"/>
      <c r="N9" s="68"/>
    </row>
    <row r="10">
      <c r="A10" s="68"/>
      <c r="B10" s="68"/>
      <c r="C10" s="68"/>
      <c r="D10" s="68"/>
      <c r="E10" s="68"/>
      <c r="F10" s="68"/>
      <c r="G10" s="68"/>
      <c r="H10" s="68"/>
      <c r="I10" s="68"/>
      <c r="J10" s="68"/>
      <c r="K10" s="68"/>
      <c r="L10" s="68"/>
      <c r="M10" s="68"/>
      <c r="N10" s="68"/>
    </row>
    <row r="11">
      <c r="A11" s="68"/>
      <c r="B11" s="75" t="s">
        <v>81</v>
      </c>
      <c r="C11" s="68"/>
      <c r="D11" s="71"/>
      <c r="E11" s="76" t="s">
        <v>82</v>
      </c>
      <c r="F11" s="77"/>
      <c r="G11" s="78"/>
      <c r="H11" s="68"/>
      <c r="I11" s="68"/>
      <c r="J11" s="68"/>
      <c r="K11" s="68"/>
      <c r="L11" s="68"/>
      <c r="M11" s="68"/>
      <c r="N11" s="68"/>
    </row>
    <row r="12">
      <c r="A12" s="68"/>
      <c r="B12" s="68"/>
      <c r="C12" s="68"/>
      <c r="D12" s="68"/>
      <c r="E12" s="68"/>
      <c r="F12" s="68"/>
      <c r="G12" s="68"/>
      <c r="H12" s="68"/>
      <c r="I12" s="71"/>
      <c r="J12" s="72" t="s">
        <v>83</v>
      </c>
      <c r="K12" s="72"/>
      <c r="L12" s="72"/>
      <c r="M12" s="79" t="s">
        <v>84</v>
      </c>
      <c r="N12" s="68"/>
    </row>
    <row r="13">
      <c r="A13" s="68"/>
      <c r="B13" s="75" t="s">
        <v>85</v>
      </c>
      <c r="C13" s="68"/>
      <c r="D13" s="71"/>
      <c r="E13" s="76" t="s">
        <v>86</v>
      </c>
      <c r="F13" s="78"/>
      <c r="G13" s="80"/>
      <c r="H13" s="68"/>
      <c r="I13" s="71"/>
      <c r="J13" s="72" t="s">
        <v>87</v>
      </c>
      <c r="K13" s="72"/>
      <c r="L13" s="72"/>
      <c r="M13" s="79" t="s">
        <v>84</v>
      </c>
      <c r="N13" s="68"/>
    </row>
    <row r="14">
      <c r="A14" s="68"/>
      <c r="B14" s="68"/>
      <c r="C14" s="68"/>
      <c r="D14" s="68"/>
      <c r="E14" s="68"/>
      <c r="F14" s="68"/>
      <c r="G14" s="68"/>
      <c r="H14" s="68"/>
      <c r="I14" s="71"/>
      <c r="J14" s="72" t="s">
        <v>86</v>
      </c>
      <c r="K14" s="72"/>
      <c r="L14" s="72"/>
      <c r="M14" s="79" t="s">
        <v>84</v>
      </c>
      <c r="N14" s="68"/>
    </row>
    <row r="15">
      <c r="A15" s="68"/>
      <c r="B15" s="75" t="s">
        <v>88</v>
      </c>
      <c r="C15" s="68"/>
      <c r="D15" s="71"/>
      <c r="E15" s="81" t="s">
        <v>89</v>
      </c>
      <c r="F15" s="77"/>
      <c r="G15" s="78"/>
      <c r="H15" s="82"/>
      <c r="I15" s="82"/>
      <c r="J15" s="83"/>
      <c r="K15" s="83"/>
      <c r="L15" s="83"/>
      <c r="M15" s="83"/>
      <c r="N15" s="68"/>
    </row>
    <row r="16">
      <c r="A16" s="68"/>
      <c r="B16" s="68"/>
      <c r="C16" s="68"/>
      <c r="D16" s="68"/>
      <c r="E16" s="68"/>
      <c r="F16" s="68"/>
      <c r="G16" s="68"/>
      <c r="H16" s="68"/>
      <c r="I16" s="71"/>
      <c r="J16" s="72" t="s">
        <v>90</v>
      </c>
      <c r="K16" s="72"/>
      <c r="L16" s="72"/>
      <c r="M16" s="79" t="s">
        <v>84</v>
      </c>
      <c r="N16" s="68"/>
    </row>
    <row r="17">
      <c r="A17" s="68"/>
      <c r="B17" s="75" t="s">
        <v>91</v>
      </c>
      <c r="C17" s="68"/>
      <c r="D17" s="71"/>
      <c r="E17" s="76" t="s">
        <v>92</v>
      </c>
      <c r="F17" s="78"/>
      <c r="G17" s="80"/>
      <c r="H17" s="68"/>
      <c r="I17" s="71"/>
      <c r="J17" s="72" t="s">
        <v>92</v>
      </c>
      <c r="K17" s="72"/>
      <c r="L17" s="72"/>
      <c r="M17" s="79" t="s">
        <v>84</v>
      </c>
      <c r="N17" s="68"/>
    </row>
    <row r="18">
      <c r="A18" s="68"/>
      <c r="B18" s="84"/>
      <c r="C18" s="85"/>
      <c r="D18" s="85"/>
      <c r="E18" s="85"/>
      <c r="F18" s="68"/>
      <c r="G18" s="68"/>
      <c r="H18" s="68"/>
      <c r="I18" s="71"/>
      <c r="J18" s="86" t="s">
        <v>93</v>
      </c>
      <c r="K18" s="86"/>
      <c r="L18" s="86"/>
      <c r="M18" s="87" t="s">
        <v>84</v>
      </c>
      <c r="N18" s="68"/>
    </row>
    <row r="19">
      <c r="A19" s="68"/>
      <c r="B19" s="75" t="s">
        <v>94</v>
      </c>
      <c r="C19" s="68"/>
      <c r="D19" s="71"/>
      <c r="E19" s="81" t="s">
        <v>95</v>
      </c>
      <c r="F19" s="77"/>
      <c r="G19" s="78"/>
      <c r="H19" s="68"/>
      <c r="I19" s="68"/>
      <c r="J19" s="88" t="s">
        <v>96</v>
      </c>
      <c r="N19" s="68"/>
    </row>
    <row r="20">
      <c r="A20" s="68"/>
      <c r="B20" s="68"/>
      <c r="C20" s="68"/>
      <c r="D20" s="68"/>
      <c r="E20" s="68"/>
      <c r="F20" s="68"/>
      <c r="G20" s="68"/>
      <c r="H20" s="68"/>
      <c r="I20" s="71"/>
      <c r="J20" s="72" t="s">
        <v>97</v>
      </c>
      <c r="K20" s="72"/>
      <c r="L20" s="72"/>
      <c r="M20" s="79" t="s">
        <v>84</v>
      </c>
      <c r="N20" s="68"/>
    </row>
    <row r="21">
      <c r="A21" s="68"/>
      <c r="B21" s="75" t="s">
        <v>98</v>
      </c>
      <c r="C21" s="68"/>
      <c r="D21" s="71"/>
      <c r="E21" s="76" t="s">
        <v>97</v>
      </c>
      <c r="F21" s="78"/>
      <c r="G21" s="80"/>
      <c r="H21" s="68"/>
      <c r="I21" s="71"/>
      <c r="J21" s="72" t="s">
        <v>99</v>
      </c>
      <c r="K21" s="72"/>
      <c r="L21" s="72"/>
      <c r="M21" s="79" t="s">
        <v>84</v>
      </c>
      <c r="N21" s="68"/>
    </row>
    <row r="22">
      <c r="A22" s="68"/>
      <c r="B22" s="68"/>
      <c r="C22" s="68"/>
      <c r="D22" s="68"/>
      <c r="E22" s="68"/>
      <c r="F22" s="68"/>
      <c r="G22" s="68"/>
      <c r="H22" s="68"/>
      <c r="I22" s="71"/>
      <c r="J22" s="72" t="s">
        <v>100</v>
      </c>
      <c r="K22" s="72"/>
      <c r="L22" s="72"/>
      <c r="M22" s="79" t="s">
        <v>84</v>
      </c>
      <c r="N22" s="68"/>
    </row>
    <row r="23">
      <c r="A23" s="68"/>
      <c r="B23" s="75" t="s">
        <v>101</v>
      </c>
      <c r="C23" s="68"/>
      <c r="D23" s="71"/>
      <c r="E23" s="81" t="s">
        <v>102</v>
      </c>
      <c r="F23" s="77"/>
      <c r="G23" s="78"/>
      <c r="H23" s="68"/>
      <c r="I23" s="68"/>
      <c r="J23" s="68"/>
      <c r="K23" s="68"/>
      <c r="L23" s="68"/>
      <c r="M23" s="68"/>
      <c r="N23" s="68"/>
    </row>
    <row r="24">
      <c r="A24" s="68"/>
      <c r="B24" s="68"/>
      <c r="C24" s="68"/>
      <c r="D24" s="68"/>
      <c r="E24" s="68"/>
      <c r="F24" s="68"/>
      <c r="G24" s="68"/>
      <c r="H24" s="68"/>
      <c r="I24" s="68"/>
      <c r="J24" s="68"/>
      <c r="K24" s="68"/>
      <c r="L24" s="68"/>
      <c r="M24" s="68"/>
      <c r="N24" s="68"/>
    </row>
    <row r="25" ht="107.25" customHeight="1">
      <c r="A25" s="68"/>
      <c r="B25" s="75" t="s">
        <v>103</v>
      </c>
      <c r="C25" s="68"/>
      <c r="D25" s="71"/>
      <c r="E25" s="81" t="s">
        <v>104</v>
      </c>
      <c r="F25" s="77"/>
      <c r="G25" s="77"/>
      <c r="H25" s="77"/>
      <c r="I25" s="77"/>
      <c r="J25" s="77"/>
      <c r="K25" s="77"/>
      <c r="L25" s="78"/>
      <c r="M25" s="68"/>
      <c r="N25" s="68"/>
    </row>
    <row r="26">
      <c r="A26" s="68"/>
      <c r="B26" s="68"/>
      <c r="C26" s="68"/>
      <c r="D26" s="68"/>
      <c r="E26" s="68"/>
      <c r="F26" s="68"/>
      <c r="G26" s="68"/>
      <c r="H26" s="68"/>
      <c r="I26" s="68"/>
      <c r="J26" s="68"/>
      <c r="K26" s="68"/>
      <c r="L26" s="68"/>
      <c r="M26" s="68"/>
      <c r="N26" s="68"/>
    </row>
    <row r="27">
      <c r="A27" s="68"/>
      <c r="B27" s="75" t="s">
        <v>105</v>
      </c>
      <c r="C27" s="68"/>
      <c r="D27" s="71"/>
      <c r="E27" s="89" t="s">
        <v>106</v>
      </c>
      <c r="F27" s="90" t="s">
        <v>107</v>
      </c>
      <c r="G27" s="89" t="s">
        <v>108</v>
      </c>
      <c r="H27" s="91" t="s">
        <v>109</v>
      </c>
      <c r="I27" s="92"/>
      <c r="J27" s="84"/>
      <c r="K27" s="84"/>
      <c r="L27" s="80"/>
      <c r="M27" s="68"/>
      <c r="N27" s="68"/>
    </row>
    <row r="28">
      <c r="A28" s="68"/>
      <c r="B28" s="93" t="s">
        <v>71</v>
      </c>
      <c r="D28" s="71"/>
      <c r="E28" s="94" t="s">
        <v>110</v>
      </c>
      <c r="F28" s="95" t="s">
        <v>111</v>
      </c>
      <c r="G28" s="95" t="s">
        <v>112</v>
      </c>
      <c r="H28" s="96"/>
      <c r="I28" s="78"/>
      <c r="J28" s="84"/>
      <c r="K28" s="71"/>
      <c r="L28" s="72" t="s">
        <v>37</v>
      </c>
      <c r="M28" s="79" t="s">
        <v>84</v>
      </c>
      <c r="N28" s="68"/>
    </row>
    <row r="29">
      <c r="A29" s="68"/>
      <c r="D29" s="71"/>
      <c r="E29" s="94" t="s">
        <v>113</v>
      </c>
      <c r="F29" s="95" t="s">
        <v>114</v>
      </c>
      <c r="G29" s="95" t="s">
        <v>112</v>
      </c>
      <c r="H29" s="96"/>
      <c r="I29" s="78"/>
      <c r="J29" s="84"/>
      <c r="K29" s="71"/>
      <c r="L29" s="72" t="s">
        <v>115</v>
      </c>
      <c r="M29" s="68"/>
      <c r="N29" s="68"/>
    </row>
    <row r="30">
      <c r="A30" s="68"/>
      <c r="B30" s="68"/>
      <c r="C30" s="68"/>
      <c r="D30" s="71"/>
      <c r="E30" s="94" t="s">
        <v>116</v>
      </c>
      <c r="F30" s="95" t="s">
        <v>117</v>
      </c>
      <c r="G30" s="95" t="s">
        <v>112</v>
      </c>
      <c r="H30" s="96"/>
      <c r="I30" s="78"/>
      <c r="J30" s="84"/>
      <c r="K30" s="71"/>
      <c r="L30" s="72" t="s">
        <v>112</v>
      </c>
      <c r="M30" s="68"/>
      <c r="N30" s="68"/>
    </row>
    <row r="31">
      <c r="A31" s="68"/>
      <c r="B31" s="68"/>
      <c r="C31" s="68"/>
      <c r="D31" s="71"/>
      <c r="E31" s="94"/>
      <c r="F31" s="95"/>
      <c r="G31" s="95"/>
      <c r="H31" s="96"/>
      <c r="I31" s="78"/>
      <c r="J31" s="84"/>
      <c r="K31" s="71"/>
      <c r="L31" s="72" t="s">
        <v>41</v>
      </c>
      <c r="M31" s="68"/>
      <c r="N31" s="68"/>
    </row>
    <row r="32">
      <c r="A32" s="68"/>
      <c r="B32" s="68"/>
      <c r="C32" s="68"/>
      <c r="D32" s="71"/>
      <c r="E32" s="94"/>
      <c r="F32" s="95"/>
      <c r="G32" s="95"/>
      <c r="H32" s="96"/>
      <c r="I32" s="78"/>
      <c r="J32" s="68"/>
      <c r="K32" s="71"/>
      <c r="L32" s="72" t="s">
        <v>42</v>
      </c>
      <c r="M32" s="68"/>
      <c r="N32" s="68"/>
    </row>
    <row r="33">
      <c r="A33" s="68"/>
      <c r="B33" s="68"/>
      <c r="C33" s="68"/>
      <c r="D33" s="71"/>
      <c r="E33" s="94"/>
      <c r="F33" s="95"/>
      <c r="G33" s="95"/>
      <c r="H33" s="96"/>
      <c r="I33" s="78"/>
      <c r="J33" s="68"/>
      <c r="K33" s="68"/>
      <c r="L33" s="68"/>
      <c r="M33" s="68"/>
      <c r="N33" s="68"/>
    </row>
    <row r="34">
      <c r="A34" s="68"/>
      <c r="B34" s="75"/>
      <c r="C34" s="68"/>
      <c r="D34" s="68"/>
      <c r="E34" s="68"/>
      <c r="F34" s="68"/>
      <c r="G34" s="68"/>
      <c r="H34" s="68"/>
      <c r="I34" s="68"/>
      <c r="J34" s="68"/>
      <c r="K34" s="68"/>
      <c r="L34" s="68"/>
      <c r="M34" s="68"/>
      <c r="N34" s="68"/>
    </row>
    <row r="35">
      <c r="A35" s="68"/>
      <c r="B35" s="75" t="s">
        <v>118</v>
      </c>
      <c r="C35" s="68"/>
      <c r="D35" s="68"/>
      <c r="E35" s="68"/>
      <c r="F35" s="68"/>
      <c r="G35" s="68"/>
      <c r="H35" s="68"/>
      <c r="I35" s="68"/>
      <c r="J35" s="68"/>
      <c r="K35" s="68"/>
      <c r="L35" s="68"/>
      <c r="M35" s="68"/>
      <c r="N35" s="68"/>
    </row>
    <row r="36">
      <c r="A36" s="68"/>
      <c r="B36" s="72" t="s">
        <v>119</v>
      </c>
      <c r="C36" s="68"/>
      <c r="D36" s="68"/>
      <c r="E36" s="68"/>
      <c r="F36" s="68"/>
      <c r="G36" s="68"/>
      <c r="H36" s="68"/>
      <c r="I36" s="68"/>
      <c r="J36" s="68"/>
      <c r="K36" s="68"/>
      <c r="L36" s="68"/>
      <c r="M36" s="68"/>
      <c r="N36" s="68"/>
    </row>
    <row r="37">
      <c r="A37" s="68"/>
      <c r="B37" s="68"/>
      <c r="C37" s="68"/>
      <c r="D37" s="68"/>
      <c r="E37" s="68"/>
      <c r="F37" s="68"/>
      <c r="G37" s="68"/>
      <c r="H37" s="68"/>
      <c r="I37" s="68"/>
      <c r="J37" s="68"/>
      <c r="K37" s="68"/>
      <c r="L37" s="68"/>
      <c r="M37" s="68"/>
      <c r="N37" s="68"/>
    </row>
    <row r="38">
      <c r="A38" s="68"/>
      <c r="B38" s="68"/>
      <c r="C38" s="68"/>
      <c r="D38" s="68"/>
      <c r="E38" s="68"/>
      <c r="F38" s="68"/>
      <c r="G38" s="68"/>
      <c r="H38" s="68"/>
      <c r="I38" s="68"/>
      <c r="J38" s="68"/>
      <c r="K38" s="68"/>
      <c r="L38" s="68"/>
      <c r="M38" s="68"/>
      <c r="N38" s="68"/>
    </row>
    <row r="39">
      <c r="A39" s="68"/>
      <c r="B39" s="68"/>
      <c r="C39" s="68"/>
      <c r="D39" s="68"/>
      <c r="E39" s="68"/>
      <c r="F39" s="68"/>
      <c r="G39" s="68"/>
      <c r="H39" s="68"/>
      <c r="I39" s="68"/>
      <c r="J39" s="68"/>
      <c r="K39" s="68"/>
      <c r="L39" s="68"/>
      <c r="M39" s="68"/>
      <c r="N39" s="68"/>
    </row>
    <row r="40">
      <c r="A40" s="68"/>
      <c r="B40" s="68"/>
      <c r="C40" s="68"/>
      <c r="D40" s="68"/>
      <c r="E40" s="68"/>
      <c r="F40" s="68"/>
      <c r="G40" s="68"/>
      <c r="H40" s="68"/>
      <c r="I40" s="68"/>
      <c r="J40" s="68"/>
      <c r="K40" s="68"/>
      <c r="L40" s="68"/>
      <c r="M40" s="68"/>
      <c r="N40" s="68"/>
    </row>
    <row r="41">
      <c r="A41" s="68"/>
      <c r="B41" s="68"/>
      <c r="C41" s="68"/>
      <c r="D41" s="68"/>
      <c r="E41" s="68"/>
      <c r="F41" s="68"/>
      <c r="G41" s="68"/>
      <c r="H41" s="68"/>
      <c r="I41" s="68"/>
      <c r="J41" s="68"/>
      <c r="K41" s="68"/>
      <c r="L41" s="68"/>
      <c r="M41" s="68"/>
      <c r="N41" s="68"/>
    </row>
    <row r="42">
      <c r="A42" s="68"/>
      <c r="B42" s="68"/>
      <c r="C42" s="68"/>
      <c r="D42" s="68"/>
      <c r="E42" s="68"/>
      <c r="F42" s="68"/>
      <c r="G42" s="68"/>
      <c r="H42" s="68"/>
      <c r="I42" s="68"/>
      <c r="J42" s="68"/>
      <c r="K42" s="68"/>
      <c r="L42" s="68"/>
      <c r="M42" s="68"/>
      <c r="N42" s="68"/>
    </row>
    <row r="43">
      <c r="A43" s="68"/>
      <c r="B43" s="68"/>
      <c r="C43" s="68"/>
      <c r="D43" s="68"/>
      <c r="E43" s="68"/>
      <c r="F43" s="68"/>
      <c r="G43" s="68"/>
      <c r="H43" s="68"/>
      <c r="I43" s="68"/>
      <c r="J43" s="68"/>
      <c r="K43" s="68"/>
      <c r="L43" s="68"/>
      <c r="M43" s="68"/>
      <c r="N43" s="68"/>
    </row>
    <row r="44">
      <c r="A44" s="68"/>
      <c r="B44" s="68"/>
      <c r="C44" s="68"/>
      <c r="D44" s="68"/>
      <c r="E44" s="68"/>
      <c r="F44" s="68"/>
      <c r="G44" s="68"/>
      <c r="H44" s="68"/>
      <c r="I44" s="68"/>
      <c r="J44" s="68"/>
      <c r="K44" s="68"/>
      <c r="L44" s="68"/>
      <c r="M44" s="68"/>
      <c r="N44" s="68"/>
    </row>
    <row r="45">
      <c r="A45" s="68"/>
      <c r="B45" s="68"/>
      <c r="C45" s="68"/>
      <c r="D45" s="68"/>
      <c r="E45" s="68"/>
      <c r="F45" s="68"/>
      <c r="G45" s="68"/>
      <c r="H45" s="68"/>
      <c r="I45" s="68"/>
      <c r="J45" s="68"/>
      <c r="K45" s="68"/>
      <c r="L45" s="68"/>
      <c r="M45" s="68"/>
      <c r="N45" s="68"/>
    </row>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8">
    <mergeCell ref="B5:F6"/>
    <mergeCell ref="E11:G11"/>
    <mergeCell ref="E13:F13"/>
    <mergeCell ref="E15:G15"/>
    <mergeCell ref="E17:F17"/>
    <mergeCell ref="E19:G19"/>
    <mergeCell ref="J19:M19"/>
    <mergeCell ref="H30:I30"/>
    <mergeCell ref="H31:I31"/>
    <mergeCell ref="H32:I32"/>
    <mergeCell ref="H33:I33"/>
    <mergeCell ref="E21:F21"/>
    <mergeCell ref="E23:G23"/>
    <mergeCell ref="E25:L25"/>
    <mergeCell ref="H27:I27"/>
    <mergeCell ref="B28:C29"/>
    <mergeCell ref="H28:I28"/>
    <mergeCell ref="H29:I29"/>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 type="list" allowBlank="1" showInputMessage="1" prompt="Clique e insira um valor de intervalo" sqref="G28:G33">
      <formula1>$L$28:$L$32</formula1>
    </dataValidation>
  </dataValidations>
  <printOptions/>
  <pageMargins bottom="0.787401575" footer="0.0" header="0.0" left="0.511811024" right="0.511811024" top="0.7874015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75"/>
  <cols>
    <col customWidth="1" min="1" max="1" width="2.25"/>
    <col customWidth="1" min="2" max="2" width="14.38"/>
    <col customWidth="1" min="3" max="3" width="7.25"/>
    <col customWidth="1" min="4" max="4" width="2.25"/>
    <col customWidth="1" min="5" max="5" width="21.63"/>
    <col customWidth="1" min="6" max="7" width="14.38"/>
    <col customWidth="1" min="8" max="9" width="2.25"/>
    <col customWidth="1" min="10" max="10" width="7.25"/>
    <col customWidth="1" min="11" max="11" width="2.25"/>
    <col customWidth="1" min="12" max="12" width="14.38"/>
    <col customWidth="1" min="13" max="13" width="3.0"/>
    <col customWidth="1" min="14" max="14" width="3.13"/>
    <col customWidth="1" min="15" max="43" width="14.38"/>
  </cols>
  <sheetData>
    <row r="1" ht="11.25" customHeight="1">
      <c r="A1" s="68"/>
      <c r="B1" s="68"/>
      <c r="C1" s="68"/>
      <c r="D1" s="68"/>
      <c r="E1" s="68"/>
      <c r="F1" s="68"/>
      <c r="G1" s="68"/>
      <c r="H1" s="68"/>
      <c r="I1" s="68"/>
      <c r="J1" s="68"/>
      <c r="K1" s="68"/>
      <c r="L1" s="68"/>
      <c r="M1" s="68"/>
      <c r="N1" s="68"/>
    </row>
    <row r="2">
      <c r="A2" s="68"/>
      <c r="B2" s="69" t="s">
        <v>72</v>
      </c>
      <c r="C2" s="68"/>
      <c r="D2" s="68"/>
      <c r="E2" s="68"/>
      <c r="F2" s="68"/>
      <c r="G2" s="68"/>
      <c r="H2" s="68"/>
      <c r="I2" s="68"/>
      <c r="J2" s="68"/>
      <c r="K2" s="68"/>
      <c r="L2" s="68"/>
      <c r="M2" s="68"/>
      <c r="N2" s="68"/>
    </row>
    <row r="3">
      <c r="A3" s="68"/>
      <c r="B3" s="70" t="s">
        <v>73</v>
      </c>
      <c r="C3" s="68"/>
      <c r="D3" s="68"/>
      <c r="E3" s="68"/>
      <c r="F3" s="68"/>
      <c r="G3" s="68"/>
      <c r="N3" s="68"/>
    </row>
    <row r="4">
      <c r="A4" s="68"/>
      <c r="B4" s="67" t="s">
        <v>120</v>
      </c>
      <c r="C4" s="68"/>
      <c r="D4" s="68"/>
      <c r="E4" s="68"/>
      <c r="F4" s="68"/>
      <c r="G4" s="68"/>
      <c r="H4" s="68"/>
      <c r="I4" s="71"/>
      <c r="J4" s="72" t="s">
        <v>75</v>
      </c>
      <c r="K4" s="68"/>
      <c r="L4" s="68"/>
      <c r="M4" s="73" t="b">
        <v>1</v>
      </c>
      <c r="N4" s="68"/>
    </row>
    <row r="5" ht="23.25" customHeight="1">
      <c r="A5" s="68"/>
      <c r="B5" s="74" t="s">
        <v>76</v>
      </c>
      <c r="G5" s="68"/>
      <c r="H5" s="68"/>
      <c r="I5" s="71"/>
      <c r="J5" s="72" t="s">
        <v>77</v>
      </c>
      <c r="K5" s="68"/>
      <c r="L5" s="68"/>
      <c r="M5" s="73" t="b">
        <v>0</v>
      </c>
      <c r="N5" s="68"/>
    </row>
    <row r="6" ht="23.25" customHeight="1">
      <c r="A6" s="68"/>
      <c r="G6" s="68"/>
      <c r="H6" s="68"/>
      <c r="I6" s="71"/>
      <c r="J6" s="72" t="s">
        <v>78</v>
      </c>
      <c r="K6" s="68"/>
      <c r="L6" s="68"/>
      <c r="M6" s="73" t="b">
        <v>0</v>
      </c>
      <c r="N6" s="68"/>
    </row>
    <row r="7">
      <c r="A7" s="68"/>
      <c r="B7" s="68"/>
      <c r="C7" s="68"/>
      <c r="D7" s="68"/>
      <c r="E7" s="68"/>
      <c r="F7" s="68"/>
      <c r="G7" s="68"/>
      <c r="H7" s="68"/>
      <c r="I7" s="68"/>
      <c r="J7" s="72"/>
      <c r="K7" s="68"/>
      <c r="L7" s="68"/>
      <c r="M7" s="68"/>
      <c r="N7" s="68"/>
    </row>
    <row r="8">
      <c r="A8" s="68"/>
      <c r="B8" s="69" t="s">
        <v>79</v>
      </c>
      <c r="C8" s="68"/>
      <c r="D8" s="68"/>
      <c r="E8" s="68"/>
      <c r="F8" s="68"/>
      <c r="G8" s="68"/>
      <c r="H8" s="68"/>
      <c r="N8" s="68"/>
    </row>
    <row r="9">
      <c r="A9" s="68"/>
      <c r="B9" s="70" t="s">
        <v>80</v>
      </c>
      <c r="C9" s="68"/>
      <c r="D9" s="68"/>
      <c r="E9" s="68"/>
      <c r="F9" s="68"/>
      <c r="G9" s="68"/>
      <c r="H9" s="68"/>
      <c r="I9" s="68"/>
      <c r="J9" s="68"/>
      <c r="K9" s="68"/>
      <c r="L9" s="68"/>
      <c r="M9" s="68"/>
      <c r="N9" s="68"/>
    </row>
    <row r="10">
      <c r="A10" s="68"/>
      <c r="B10" s="68"/>
      <c r="C10" s="68"/>
      <c r="D10" s="68"/>
      <c r="E10" s="68"/>
      <c r="F10" s="68"/>
      <c r="G10" s="68"/>
      <c r="H10" s="68"/>
      <c r="I10" s="68"/>
      <c r="J10" s="68"/>
      <c r="K10" s="68"/>
      <c r="L10" s="68"/>
      <c r="M10" s="68"/>
      <c r="N10" s="68"/>
    </row>
    <row r="11" ht="13.5" customHeight="1">
      <c r="A11" s="68"/>
      <c r="B11" s="75" t="s">
        <v>81</v>
      </c>
      <c r="C11" s="68"/>
      <c r="D11" s="71"/>
      <c r="E11" s="76" t="s">
        <v>121</v>
      </c>
      <c r="F11" s="77"/>
      <c r="G11" s="78"/>
      <c r="H11" s="68"/>
      <c r="I11" s="68"/>
      <c r="J11" s="68"/>
      <c r="K11" s="68"/>
      <c r="L11" s="68"/>
      <c r="M11" s="68"/>
      <c r="N11" s="68"/>
    </row>
    <row r="12">
      <c r="A12" s="68"/>
      <c r="B12" s="68"/>
      <c r="C12" s="68"/>
      <c r="D12" s="68"/>
      <c r="E12" s="68"/>
      <c r="F12" s="68"/>
      <c r="G12" s="68"/>
      <c r="H12" s="68"/>
      <c r="I12" s="71"/>
      <c r="J12" s="72" t="s">
        <v>83</v>
      </c>
      <c r="K12" s="72"/>
      <c r="L12" s="72"/>
      <c r="M12" s="79" t="s">
        <v>84</v>
      </c>
      <c r="N12" s="68"/>
    </row>
    <row r="13">
      <c r="A13" s="68"/>
      <c r="B13" s="75" t="s">
        <v>85</v>
      </c>
      <c r="C13" s="68"/>
      <c r="D13" s="71"/>
      <c r="E13" s="76" t="s">
        <v>86</v>
      </c>
      <c r="F13" s="78"/>
      <c r="G13" s="80"/>
      <c r="H13" s="68"/>
      <c r="I13" s="71"/>
      <c r="J13" s="72" t="s">
        <v>87</v>
      </c>
      <c r="K13" s="72"/>
      <c r="L13" s="72"/>
      <c r="M13" s="79" t="s">
        <v>84</v>
      </c>
      <c r="N13" s="68"/>
    </row>
    <row r="14">
      <c r="A14" s="68"/>
      <c r="B14" s="68"/>
      <c r="C14" s="68"/>
      <c r="D14" s="68"/>
      <c r="E14" s="68"/>
      <c r="F14" s="68"/>
      <c r="G14" s="68"/>
      <c r="H14" s="68"/>
      <c r="I14" s="71"/>
      <c r="J14" s="72" t="s">
        <v>86</v>
      </c>
      <c r="K14" s="72"/>
      <c r="L14" s="72"/>
      <c r="M14" s="79" t="s">
        <v>84</v>
      </c>
      <c r="N14" s="68"/>
    </row>
    <row r="15">
      <c r="A15" s="68"/>
      <c r="B15" s="75" t="s">
        <v>88</v>
      </c>
      <c r="C15" s="68"/>
      <c r="D15" s="71"/>
      <c r="E15" s="81" t="s">
        <v>122</v>
      </c>
      <c r="F15" s="77"/>
      <c r="G15" s="78"/>
      <c r="H15" s="82"/>
      <c r="I15" s="82"/>
      <c r="J15" s="83"/>
      <c r="K15" s="83"/>
      <c r="L15" s="83"/>
      <c r="M15" s="83"/>
      <c r="N15" s="68"/>
    </row>
    <row r="16">
      <c r="A16" s="68"/>
      <c r="B16" s="68"/>
      <c r="C16" s="68"/>
      <c r="D16" s="68"/>
      <c r="E16" s="68"/>
      <c r="F16" s="68"/>
      <c r="G16" s="68"/>
      <c r="H16" s="68"/>
      <c r="I16" s="71"/>
      <c r="J16" s="72" t="s">
        <v>90</v>
      </c>
      <c r="K16" s="72"/>
      <c r="L16" s="72"/>
      <c r="M16" s="79" t="s">
        <v>84</v>
      </c>
      <c r="N16" s="68"/>
    </row>
    <row r="17">
      <c r="A17" s="68"/>
      <c r="B17" s="75" t="s">
        <v>91</v>
      </c>
      <c r="C17" s="68"/>
      <c r="D17" s="71"/>
      <c r="E17" s="76" t="s">
        <v>90</v>
      </c>
      <c r="F17" s="78"/>
      <c r="G17" s="80"/>
      <c r="H17" s="68"/>
      <c r="I17" s="71"/>
      <c r="J17" s="72" t="s">
        <v>92</v>
      </c>
      <c r="K17" s="72"/>
      <c r="L17" s="72"/>
      <c r="M17" s="79" t="s">
        <v>84</v>
      </c>
      <c r="N17" s="68"/>
    </row>
    <row r="18">
      <c r="A18" s="68"/>
      <c r="B18" s="84"/>
      <c r="C18" s="85"/>
      <c r="D18" s="85"/>
      <c r="E18" s="85"/>
      <c r="F18" s="68"/>
      <c r="G18" s="68"/>
      <c r="H18" s="68"/>
      <c r="I18" s="71"/>
      <c r="J18" s="86" t="s">
        <v>93</v>
      </c>
      <c r="K18" s="86"/>
      <c r="L18" s="86"/>
      <c r="M18" s="87" t="s">
        <v>84</v>
      </c>
      <c r="N18" s="68"/>
    </row>
    <row r="19">
      <c r="A19" s="68"/>
      <c r="B19" s="75" t="s">
        <v>94</v>
      </c>
      <c r="C19" s="68"/>
      <c r="D19" s="71"/>
      <c r="E19" s="81" t="s">
        <v>123</v>
      </c>
      <c r="F19" s="77"/>
      <c r="G19" s="78"/>
      <c r="H19" s="68"/>
      <c r="I19" s="68"/>
      <c r="J19" s="88" t="s">
        <v>96</v>
      </c>
      <c r="N19" s="68"/>
    </row>
    <row r="20">
      <c r="A20" s="68"/>
      <c r="B20" s="68"/>
      <c r="C20" s="68"/>
      <c r="D20" s="68"/>
      <c r="E20" s="68"/>
      <c r="F20" s="68"/>
      <c r="G20" s="68"/>
      <c r="H20" s="68"/>
      <c r="I20" s="71"/>
      <c r="J20" s="72" t="s">
        <v>97</v>
      </c>
      <c r="K20" s="72"/>
      <c r="L20" s="72"/>
      <c r="M20" s="79" t="s">
        <v>84</v>
      </c>
      <c r="N20" s="68"/>
    </row>
    <row r="21">
      <c r="A21" s="68"/>
      <c r="B21" s="75" t="s">
        <v>98</v>
      </c>
      <c r="C21" s="68"/>
      <c r="D21" s="71"/>
      <c r="E21" s="76" t="s">
        <v>97</v>
      </c>
      <c r="F21" s="78"/>
      <c r="G21" s="80"/>
      <c r="H21" s="68"/>
      <c r="I21" s="71"/>
      <c r="J21" s="72" t="s">
        <v>99</v>
      </c>
      <c r="K21" s="72"/>
      <c r="L21" s="72"/>
      <c r="M21" s="79" t="s">
        <v>84</v>
      </c>
      <c r="N21" s="68"/>
    </row>
    <row r="22">
      <c r="A22" s="68"/>
      <c r="B22" s="68"/>
      <c r="C22" s="68"/>
      <c r="D22" s="68"/>
      <c r="E22" s="68"/>
      <c r="F22" s="68"/>
      <c r="G22" s="68"/>
      <c r="H22" s="68"/>
      <c r="I22" s="71"/>
      <c r="J22" s="72" t="s">
        <v>100</v>
      </c>
      <c r="K22" s="72"/>
      <c r="L22" s="72"/>
      <c r="M22" s="79" t="s">
        <v>84</v>
      </c>
      <c r="N22" s="68"/>
    </row>
    <row r="23" ht="39.75" customHeight="1">
      <c r="A23" s="68"/>
      <c r="B23" s="75" t="s">
        <v>101</v>
      </c>
      <c r="C23" s="68"/>
      <c r="D23" s="71"/>
      <c r="E23" s="81" t="s">
        <v>124</v>
      </c>
      <c r="F23" s="77"/>
      <c r="G23" s="78"/>
      <c r="H23" s="68"/>
      <c r="I23" s="68"/>
      <c r="J23" s="68"/>
      <c r="K23" s="68"/>
      <c r="L23" s="68"/>
      <c r="M23" s="68"/>
      <c r="N23" s="68"/>
    </row>
    <row r="24">
      <c r="A24" s="68"/>
      <c r="B24" s="68"/>
      <c r="C24" s="68"/>
      <c r="D24" s="68"/>
      <c r="E24" s="68"/>
      <c r="F24" s="68"/>
      <c r="G24" s="68"/>
      <c r="H24" s="68"/>
      <c r="I24" s="68"/>
      <c r="J24" s="68"/>
      <c r="K24" s="68"/>
      <c r="L24" s="68"/>
      <c r="M24" s="68"/>
      <c r="N24" s="68"/>
    </row>
    <row r="25">
      <c r="A25" s="68"/>
      <c r="B25" s="75" t="s">
        <v>103</v>
      </c>
      <c r="C25" s="68"/>
      <c r="D25" s="71"/>
      <c r="E25" s="81" t="s">
        <v>125</v>
      </c>
      <c r="F25" s="77"/>
      <c r="G25" s="77"/>
      <c r="H25" s="77"/>
      <c r="I25" s="77"/>
      <c r="J25" s="77"/>
      <c r="K25" s="77"/>
      <c r="L25" s="78"/>
      <c r="M25" s="68"/>
      <c r="N25" s="68"/>
    </row>
    <row r="26">
      <c r="A26" s="68"/>
      <c r="B26" s="68"/>
      <c r="C26" s="68"/>
      <c r="D26" s="68"/>
      <c r="E26" s="68"/>
      <c r="F26" s="68"/>
      <c r="G26" s="68"/>
      <c r="H26" s="68"/>
      <c r="I26" s="68"/>
      <c r="J26" s="68"/>
      <c r="K26" s="68"/>
      <c r="L26" s="68"/>
      <c r="M26" s="68"/>
      <c r="N26" s="68"/>
    </row>
    <row r="27">
      <c r="A27" s="68"/>
      <c r="B27" s="75" t="s">
        <v>105</v>
      </c>
      <c r="C27" s="68"/>
      <c r="D27" s="71"/>
      <c r="E27" s="89" t="s">
        <v>106</v>
      </c>
      <c r="F27" s="90" t="s">
        <v>107</v>
      </c>
      <c r="G27" s="89" t="s">
        <v>108</v>
      </c>
      <c r="H27" s="91" t="s">
        <v>109</v>
      </c>
      <c r="I27" s="92"/>
      <c r="J27" s="84"/>
      <c r="K27" s="84"/>
      <c r="L27" s="80"/>
      <c r="M27" s="68"/>
      <c r="N27" s="68"/>
    </row>
    <row r="28">
      <c r="A28" s="68"/>
      <c r="B28" s="93" t="s">
        <v>71</v>
      </c>
      <c r="D28" s="71"/>
      <c r="E28" s="94" t="s">
        <v>126</v>
      </c>
      <c r="F28" s="95" t="s">
        <v>127</v>
      </c>
      <c r="G28" s="95" t="s">
        <v>112</v>
      </c>
      <c r="H28" s="96"/>
      <c r="I28" s="78"/>
      <c r="J28" s="84"/>
      <c r="K28" s="71"/>
      <c r="L28" s="72" t="s">
        <v>37</v>
      </c>
      <c r="M28" s="79" t="s">
        <v>84</v>
      </c>
      <c r="N28" s="68"/>
    </row>
    <row r="29">
      <c r="A29" s="68"/>
      <c r="D29" s="71"/>
      <c r="E29" s="94" t="s">
        <v>128</v>
      </c>
      <c r="F29" s="95" t="s">
        <v>111</v>
      </c>
      <c r="G29" s="95"/>
      <c r="H29" s="96"/>
      <c r="I29" s="78"/>
      <c r="J29" s="84"/>
      <c r="K29" s="71"/>
      <c r="L29" s="72" t="s">
        <v>115</v>
      </c>
      <c r="M29" s="68"/>
      <c r="N29" s="68"/>
    </row>
    <row r="30">
      <c r="A30" s="68"/>
      <c r="B30" s="68"/>
      <c r="C30" s="68"/>
      <c r="D30" s="71"/>
      <c r="E30" s="94" t="s">
        <v>113</v>
      </c>
      <c r="F30" s="95" t="s">
        <v>114</v>
      </c>
      <c r="G30" s="95" t="s">
        <v>112</v>
      </c>
      <c r="H30" s="96"/>
      <c r="I30" s="78"/>
      <c r="J30" s="84"/>
      <c r="K30" s="71"/>
      <c r="L30" s="72" t="s">
        <v>112</v>
      </c>
      <c r="M30" s="68"/>
      <c r="N30" s="68"/>
    </row>
    <row r="31">
      <c r="A31" s="68"/>
      <c r="B31" s="68"/>
      <c r="C31" s="68"/>
      <c r="D31" s="71"/>
      <c r="E31" s="94" t="s">
        <v>116</v>
      </c>
      <c r="F31" s="95" t="s">
        <v>117</v>
      </c>
      <c r="G31" s="95" t="s">
        <v>112</v>
      </c>
      <c r="H31" s="96"/>
      <c r="I31" s="78"/>
      <c r="J31" s="84"/>
      <c r="K31" s="71"/>
      <c r="L31" s="72" t="s">
        <v>41</v>
      </c>
      <c r="M31" s="68"/>
      <c r="N31" s="68"/>
    </row>
    <row r="32">
      <c r="A32" s="68"/>
      <c r="B32" s="68"/>
      <c r="C32" s="68"/>
      <c r="D32" s="71"/>
      <c r="E32" s="94" t="s">
        <v>129</v>
      </c>
      <c r="F32" s="95" t="s">
        <v>130</v>
      </c>
      <c r="G32" s="95" t="s">
        <v>41</v>
      </c>
      <c r="H32" s="96"/>
      <c r="I32" s="78"/>
      <c r="J32" s="68"/>
      <c r="K32" s="71"/>
      <c r="L32" s="72" t="s">
        <v>42</v>
      </c>
      <c r="M32" s="68"/>
      <c r="N32" s="68"/>
    </row>
    <row r="33">
      <c r="A33" s="68"/>
      <c r="B33" s="68"/>
      <c r="C33" s="68"/>
      <c r="D33" s="71"/>
      <c r="E33" s="94"/>
      <c r="F33" s="95"/>
      <c r="G33" s="95"/>
      <c r="H33" s="96"/>
      <c r="I33" s="78"/>
      <c r="J33" s="68"/>
      <c r="K33" s="68"/>
      <c r="L33" s="68"/>
      <c r="M33" s="68"/>
      <c r="N33" s="68"/>
    </row>
    <row r="34">
      <c r="A34" s="68"/>
      <c r="B34" s="75"/>
      <c r="C34" s="68"/>
      <c r="D34" s="68"/>
      <c r="E34" s="68"/>
      <c r="F34" s="68"/>
      <c r="G34" s="68"/>
      <c r="H34" s="68"/>
      <c r="I34" s="68"/>
      <c r="J34" s="68"/>
      <c r="K34" s="68"/>
      <c r="L34" s="68"/>
      <c r="M34" s="68"/>
      <c r="N34" s="68"/>
    </row>
    <row r="35">
      <c r="A35" s="68"/>
      <c r="B35" s="75" t="s">
        <v>118</v>
      </c>
      <c r="C35" s="68"/>
      <c r="D35" s="68"/>
      <c r="E35" s="68"/>
      <c r="F35" s="68"/>
      <c r="G35" s="68"/>
      <c r="H35" s="68"/>
      <c r="I35" s="68"/>
      <c r="J35" s="68"/>
      <c r="K35" s="68"/>
      <c r="L35" s="68"/>
      <c r="M35" s="68"/>
      <c r="N35" s="68"/>
    </row>
    <row r="36">
      <c r="A36" s="68"/>
      <c r="B36" s="72" t="s">
        <v>119</v>
      </c>
      <c r="C36" s="68"/>
      <c r="D36" s="68"/>
      <c r="E36" s="68"/>
      <c r="F36" s="68"/>
      <c r="G36" s="68"/>
      <c r="H36" s="68"/>
      <c r="I36" s="68"/>
      <c r="J36" s="68"/>
      <c r="K36" s="68"/>
      <c r="L36" s="68"/>
      <c r="M36" s="68"/>
      <c r="N36" s="68"/>
    </row>
    <row r="37">
      <c r="A37" s="68"/>
      <c r="B37" s="68"/>
      <c r="C37" s="68"/>
      <c r="D37" s="68"/>
      <c r="E37" s="68"/>
      <c r="F37" s="68"/>
      <c r="G37" s="68"/>
      <c r="H37" s="68"/>
      <c r="I37" s="68"/>
      <c r="J37" s="68"/>
      <c r="K37" s="68"/>
      <c r="L37" s="68"/>
      <c r="M37" s="68"/>
      <c r="N37" s="68"/>
    </row>
    <row r="38">
      <c r="A38" s="68"/>
      <c r="B38" s="68"/>
      <c r="C38" s="68"/>
      <c r="D38" s="68"/>
      <c r="E38" s="68"/>
      <c r="F38" s="68"/>
      <c r="G38" s="68"/>
      <c r="H38" s="68"/>
      <c r="I38" s="68"/>
      <c r="J38" s="68"/>
      <c r="K38" s="68"/>
      <c r="L38" s="68"/>
      <c r="M38" s="68"/>
      <c r="N38" s="68"/>
    </row>
    <row r="39">
      <c r="A39" s="68"/>
      <c r="B39" s="68"/>
      <c r="C39" s="68"/>
      <c r="D39" s="68"/>
      <c r="E39" s="68"/>
      <c r="F39" s="68"/>
      <c r="G39" s="68"/>
      <c r="H39" s="68"/>
      <c r="I39" s="68"/>
      <c r="J39" s="68"/>
      <c r="K39" s="68"/>
      <c r="L39" s="68"/>
      <c r="M39" s="68"/>
      <c r="N39" s="68"/>
    </row>
    <row r="40">
      <c r="A40" s="68"/>
      <c r="B40" s="68"/>
      <c r="C40" s="68"/>
      <c r="D40" s="68"/>
      <c r="E40" s="68"/>
      <c r="F40" s="68"/>
      <c r="G40" s="68"/>
      <c r="H40" s="68"/>
      <c r="I40" s="68"/>
      <c r="J40" s="68"/>
      <c r="K40" s="68"/>
      <c r="L40" s="68"/>
      <c r="M40" s="68"/>
      <c r="N40" s="68"/>
    </row>
    <row r="41">
      <c r="A41" s="68"/>
      <c r="B41" s="68"/>
      <c r="C41" s="68"/>
      <c r="D41" s="68"/>
      <c r="E41" s="68"/>
      <c r="F41" s="68"/>
      <c r="G41" s="68"/>
      <c r="H41" s="68"/>
      <c r="I41" s="68"/>
      <c r="J41" s="68"/>
      <c r="K41" s="68"/>
      <c r="L41" s="68"/>
      <c r="M41" s="68"/>
      <c r="N41" s="68"/>
    </row>
    <row r="42">
      <c r="A42" s="68"/>
      <c r="B42" s="68"/>
      <c r="C42" s="68"/>
      <c r="D42" s="68"/>
      <c r="E42" s="68"/>
      <c r="F42" s="68"/>
      <c r="G42" s="68"/>
      <c r="H42" s="68"/>
      <c r="I42" s="68"/>
      <c r="J42" s="68"/>
      <c r="K42" s="68"/>
      <c r="L42" s="68"/>
      <c r="M42" s="68"/>
      <c r="N42" s="68"/>
    </row>
    <row r="43">
      <c r="A43" s="68"/>
      <c r="B43" s="68"/>
      <c r="C43" s="68"/>
      <c r="D43" s="68"/>
      <c r="E43" s="68"/>
      <c r="F43" s="68"/>
      <c r="G43" s="68"/>
      <c r="H43" s="68"/>
      <c r="I43" s="68"/>
      <c r="J43" s="68"/>
      <c r="K43" s="68"/>
      <c r="L43" s="68"/>
      <c r="M43" s="68"/>
      <c r="N43" s="68"/>
    </row>
    <row r="44">
      <c r="A44" s="68"/>
      <c r="B44" s="68"/>
      <c r="C44" s="68"/>
      <c r="D44" s="68"/>
      <c r="E44" s="68"/>
      <c r="F44" s="68"/>
      <c r="G44" s="68"/>
      <c r="H44" s="68"/>
      <c r="I44" s="68"/>
      <c r="J44" s="68"/>
      <c r="K44" s="68"/>
      <c r="L44" s="68"/>
      <c r="M44" s="68"/>
      <c r="N44" s="68"/>
    </row>
    <row r="45">
      <c r="A45" s="68"/>
      <c r="B45" s="68"/>
      <c r="C45" s="68"/>
      <c r="D45" s="68"/>
      <c r="E45" s="68"/>
      <c r="F45" s="68"/>
      <c r="G45" s="68"/>
      <c r="H45" s="68"/>
      <c r="I45" s="68"/>
      <c r="J45" s="68"/>
      <c r="K45" s="68"/>
      <c r="L45" s="68"/>
      <c r="M45" s="68"/>
      <c r="N45" s="68"/>
    </row>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8">
    <mergeCell ref="B5:F6"/>
    <mergeCell ref="E11:G11"/>
    <mergeCell ref="E13:F13"/>
    <mergeCell ref="E15:G15"/>
    <mergeCell ref="E17:F17"/>
    <mergeCell ref="E19:G19"/>
    <mergeCell ref="J19:M19"/>
    <mergeCell ref="H30:I30"/>
    <mergeCell ref="H31:I31"/>
    <mergeCell ref="H32:I32"/>
    <mergeCell ref="H33:I33"/>
    <mergeCell ref="E21:F21"/>
    <mergeCell ref="E23:G23"/>
    <mergeCell ref="E25:L25"/>
    <mergeCell ref="H27:I27"/>
    <mergeCell ref="B28:C29"/>
    <mergeCell ref="H28:I28"/>
    <mergeCell ref="H29:I29"/>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 type="list" allowBlank="1" showInputMessage="1" prompt="Clique e insira um valor de intervalo" sqref="G28:G33">
      <formula1>$L$28:$L$32</formula1>
    </dataValidation>
  </dataValidations>
  <printOptions/>
  <pageMargins bottom="0.787401575" footer="0.0" header="0.0" left="0.511811024" right="0.511811024" top="0.7874015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75"/>
  <cols>
    <col customWidth="1" min="1" max="1" width="2.25"/>
    <col customWidth="1" min="2" max="2" width="14.38"/>
    <col customWidth="1" min="3" max="3" width="7.25"/>
    <col customWidth="1" min="4" max="4" width="2.25"/>
    <col customWidth="1" min="5" max="5" width="21.63"/>
    <col customWidth="1" min="6" max="7" width="14.38"/>
    <col customWidth="1" min="8" max="9" width="2.25"/>
    <col customWidth="1" min="10" max="10" width="7.25"/>
    <col customWidth="1" min="11" max="11" width="2.25"/>
    <col customWidth="1" min="12" max="12" width="14.38"/>
    <col customWidth="1" min="13" max="13" width="3.0"/>
    <col customWidth="1" min="14" max="14" width="3.13"/>
    <col customWidth="1" min="15" max="52" width="14.38"/>
  </cols>
  <sheetData>
    <row r="1" ht="11.25" customHeight="1">
      <c r="A1" s="68"/>
      <c r="B1" s="68"/>
      <c r="C1" s="68"/>
      <c r="D1" s="68"/>
      <c r="E1" s="68"/>
      <c r="F1" s="68"/>
      <c r="G1" s="68"/>
      <c r="H1" s="68"/>
      <c r="I1" s="68"/>
      <c r="J1" s="68"/>
      <c r="K1" s="68"/>
      <c r="L1" s="68"/>
      <c r="M1" s="68"/>
      <c r="N1" s="68"/>
    </row>
    <row r="2">
      <c r="A2" s="68"/>
      <c r="B2" s="69" t="s">
        <v>72</v>
      </c>
      <c r="C2" s="68"/>
      <c r="D2" s="68"/>
      <c r="E2" s="68"/>
      <c r="F2" s="68"/>
      <c r="G2" s="68"/>
      <c r="H2" s="68"/>
      <c r="I2" s="68"/>
      <c r="J2" s="68"/>
      <c r="K2" s="68"/>
      <c r="L2" s="68"/>
      <c r="M2" s="68"/>
      <c r="N2" s="68"/>
    </row>
    <row r="3">
      <c r="A3" s="68"/>
      <c r="B3" s="70" t="s">
        <v>73</v>
      </c>
      <c r="C3" s="68"/>
      <c r="D3" s="68"/>
      <c r="E3" s="68"/>
      <c r="F3" s="68"/>
      <c r="G3" s="68"/>
      <c r="N3" s="68"/>
    </row>
    <row r="4">
      <c r="A4" s="68"/>
      <c r="B4" s="67" t="s">
        <v>131</v>
      </c>
      <c r="C4" s="68"/>
      <c r="D4" s="68"/>
      <c r="E4" s="68"/>
      <c r="F4" s="68"/>
      <c r="G4" s="68"/>
      <c r="H4" s="68"/>
      <c r="I4" s="71"/>
      <c r="J4" s="72" t="s">
        <v>75</v>
      </c>
      <c r="K4" s="68"/>
      <c r="L4" s="68"/>
      <c r="M4" s="73" t="b">
        <v>1</v>
      </c>
      <c r="N4" s="68"/>
    </row>
    <row r="5" ht="23.25" customHeight="1">
      <c r="A5" s="68"/>
      <c r="B5" s="74" t="s">
        <v>76</v>
      </c>
      <c r="G5" s="68"/>
      <c r="H5" s="68"/>
      <c r="I5" s="71"/>
      <c r="J5" s="72" t="s">
        <v>77</v>
      </c>
      <c r="K5" s="68"/>
      <c r="L5" s="68"/>
      <c r="M5" s="73" t="b">
        <v>0</v>
      </c>
      <c r="N5" s="68"/>
    </row>
    <row r="6" ht="23.25" customHeight="1">
      <c r="A6" s="68"/>
      <c r="G6" s="68"/>
      <c r="H6" s="68"/>
      <c r="I6" s="71"/>
      <c r="J6" s="72" t="s">
        <v>78</v>
      </c>
      <c r="K6" s="68"/>
      <c r="L6" s="68"/>
      <c r="M6" s="73" t="b">
        <v>0</v>
      </c>
      <c r="N6" s="68"/>
    </row>
    <row r="7">
      <c r="A7" s="68"/>
      <c r="B7" s="68"/>
      <c r="C7" s="68"/>
      <c r="D7" s="68"/>
      <c r="E7" s="68"/>
      <c r="F7" s="68"/>
      <c r="G7" s="68"/>
      <c r="H7" s="68"/>
      <c r="I7" s="68"/>
      <c r="J7" s="72"/>
      <c r="K7" s="68"/>
      <c r="L7" s="68"/>
      <c r="M7" s="68"/>
      <c r="N7" s="68"/>
    </row>
    <row r="8">
      <c r="A8" s="68"/>
      <c r="B8" s="69" t="s">
        <v>79</v>
      </c>
      <c r="C8" s="68"/>
      <c r="D8" s="68"/>
      <c r="E8" s="68"/>
      <c r="F8" s="68"/>
      <c r="G8" s="68"/>
      <c r="H8" s="68"/>
      <c r="N8" s="68"/>
    </row>
    <row r="9">
      <c r="A9" s="68"/>
      <c r="B9" s="70" t="s">
        <v>80</v>
      </c>
      <c r="C9" s="68"/>
      <c r="D9" s="68"/>
      <c r="E9" s="68"/>
      <c r="F9" s="68"/>
      <c r="G9" s="68"/>
      <c r="H9" s="68"/>
      <c r="I9" s="68"/>
      <c r="J9" s="68"/>
      <c r="K9" s="68"/>
      <c r="L9" s="68"/>
      <c r="M9" s="68"/>
      <c r="N9" s="68"/>
    </row>
    <row r="10">
      <c r="A10" s="68"/>
      <c r="B10" s="68"/>
      <c r="C10" s="68"/>
      <c r="D10" s="68"/>
      <c r="E10" s="68"/>
      <c r="F10" s="68"/>
      <c r="G10" s="68"/>
      <c r="H10" s="68"/>
      <c r="I10" s="68"/>
      <c r="J10" s="68"/>
      <c r="K10" s="68"/>
      <c r="L10" s="68"/>
      <c r="M10" s="68"/>
      <c r="N10" s="68"/>
    </row>
    <row r="11" ht="13.5" customHeight="1">
      <c r="A11" s="68"/>
      <c r="B11" s="75" t="s">
        <v>81</v>
      </c>
      <c r="C11" s="68"/>
      <c r="D11" s="71"/>
      <c r="E11" s="76" t="s">
        <v>132</v>
      </c>
      <c r="F11" s="77"/>
      <c r="G11" s="78"/>
      <c r="H11" s="68"/>
      <c r="I11" s="68"/>
      <c r="J11" s="68"/>
      <c r="K11" s="68"/>
      <c r="L11" s="68"/>
      <c r="M11" s="68"/>
      <c r="N11" s="68"/>
    </row>
    <row r="12">
      <c r="A12" s="68"/>
      <c r="B12" s="68"/>
      <c r="C12" s="68"/>
      <c r="D12" s="68"/>
      <c r="E12" s="68"/>
      <c r="F12" s="68"/>
      <c r="G12" s="68"/>
      <c r="H12" s="68"/>
      <c r="I12" s="71"/>
      <c r="J12" s="72" t="s">
        <v>83</v>
      </c>
      <c r="K12" s="72"/>
      <c r="L12" s="72"/>
      <c r="M12" s="79" t="s">
        <v>84</v>
      </c>
      <c r="N12" s="68"/>
    </row>
    <row r="13">
      <c r="A13" s="68"/>
      <c r="B13" s="75" t="s">
        <v>85</v>
      </c>
      <c r="C13" s="68"/>
      <c r="D13" s="71"/>
      <c r="E13" s="76" t="s">
        <v>86</v>
      </c>
      <c r="F13" s="78"/>
      <c r="G13" s="80"/>
      <c r="H13" s="68"/>
      <c r="I13" s="71"/>
      <c r="J13" s="72" t="s">
        <v>87</v>
      </c>
      <c r="K13" s="72"/>
      <c r="L13" s="72"/>
      <c r="M13" s="79" t="s">
        <v>84</v>
      </c>
      <c r="N13" s="68"/>
    </row>
    <row r="14">
      <c r="A14" s="68"/>
      <c r="B14" s="68"/>
      <c r="C14" s="68"/>
      <c r="D14" s="68"/>
      <c r="E14" s="68"/>
      <c r="F14" s="68"/>
      <c r="G14" s="68"/>
      <c r="H14" s="68"/>
      <c r="I14" s="71"/>
      <c r="J14" s="72" t="s">
        <v>86</v>
      </c>
      <c r="K14" s="72"/>
      <c r="L14" s="72"/>
      <c r="M14" s="79" t="s">
        <v>84</v>
      </c>
      <c r="N14" s="68"/>
    </row>
    <row r="15" ht="30.75" customHeight="1">
      <c r="A15" s="68"/>
      <c r="B15" s="75" t="s">
        <v>88</v>
      </c>
      <c r="C15" s="68"/>
      <c r="D15" s="71"/>
      <c r="E15" s="81" t="s">
        <v>133</v>
      </c>
      <c r="F15" s="77"/>
      <c r="G15" s="78"/>
      <c r="H15" s="82"/>
      <c r="I15" s="82"/>
      <c r="J15" s="83"/>
      <c r="K15" s="83"/>
      <c r="L15" s="83"/>
      <c r="M15" s="83"/>
      <c r="N15" s="68"/>
    </row>
    <row r="16">
      <c r="A16" s="68"/>
      <c r="B16" s="68"/>
      <c r="C16" s="68"/>
      <c r="D16" s="68"/>
      <c r="E16" s="68"/>
      <c r="F16" s="68"/>
      <c r="G16" s="68"/>
      <c r="H16" s="68"/>
      <c r="I16" s="71"/>
      <c r="J16" s="72" t="s">
        <v>90</v>
      </c>
      <c r="K16" s="72"/>
      <c r="L16" s="72"/>
      <c r="M16" s="79" t="s">
        <v>84</v>
      </c>
      <c r="N16" s="68"/>
    </row>
    <row r="17">
      <c r="A17" s="68"/>
      <c r="B17" s="75" t="s">
        <v>91</v>
      </c>
      <c r="C17" s="68"/>
      <c r="D17" s="71"/>
      <c r="E17" s="76" t="s">
        <v>90</v>
      </c>
      <c r="F17" s="78"/>
      <c r="G17" s="80"/>
      <c r="H17" s="68"/>
      <c r="I17" s="71"/>
      <c r="J17" s="72" t="s">
        <v>92</v>
      </c>
      <c r="K17" s="72"/>
      <c r="L17" s="72"/>
      <c r="M17" s="79" t="s">
        <v>84</v>
      </c>
      <c r="N17" s="68"/>
    </row>
    <row r="18">
      <c r="A18" s="68"/>
      <c r="B18" s="84"/>
      <c r="C18" s="85"/>
      <c r="D18" s="85"/>
      <c r="E18" s="85"/>
      <c r="F18" s="68"/>
      <c r="G18" s="68"/>
      <c r="H18" s="68"/>
      <c r="I18" s="71"/>
      <c r="J18" s="86" t="s">
        <v>93</v>
      </c>
      <c r="K18" s="86"/>
      <c r="L18" s="86"/>
      <c r="M18" s="87" t="s">
        <v>84</v>
      </c>
      <c r="N18" s="68"/>
    </row>
    <row r="19" ht="29.25" customHeight="1">
      <c r="A19" s="68"/>
      <c r="B19" s="75" t="s">
        <v>94</v>
      </c>
      <c r="C19" s="68"/>
      <c r="D19" s="71"/>
      <c r="E19" s="81" t="s">
        <v>134</v>
      </c>
      <c r="F19" s="77"/>
      <c r="G19" s="78"/>
      <c r="H19" s="68"/>
      <c r="I19" s="68"/>
      <c r="J19" s="88" t="s">
        <v>96</v>
      </c>
      <c r="N19" s="68"/>
    </row>
    <row r="20">
      <c r="A20" s="68"/>
      <c r="B20" s="68"/>
      <c r="C20" s="68"/>
      <c r="D20" s="68"/>
      <c r="E20" s="68"/>
      <c r="F20" s="68"/>
      <c r="G20" s="68"/>
      <c r="H20" s="68"/>
      <c r="I20" s="71"/>
      <c r="J20" s="72" t="s">
        <v>97</v>
      </c>
      <c r="K20" s="72"/>
      <c r="L20" s="72"/>
      <c r="M20" s="79" t="s">
        <v>84</v>
      </c>
      <c r="N20" s="68"/>
    </row>
    <row r="21">
      <c r="A21" s="68"/>
      <c r="B21" s="75" t="s">
        <v>98</v>
      </c>
      <c r="C21" s="68"/>
      <c r="D21" s="71"/>
      <c r="E21" s="76" t="s">
        <v>99</v>
      </c>
      <c r="F21" s="78"/>
      <c r="G21" s="80"/>
      <c r="H21" s="68"/>
      <c r="I21" s="71"/>
      <c r="J21" s="72" t="s">
        <v>99</v>
      </c>
      <c r="K21" s="72"/>
      <c r="L21" s="72"/>
      <c r="M21" s="79" t="s">
        <v>84</v>
      </c>
      <c r="N21" s="68"/>
    </row>
    <row r="22">
      <c r="A22" s="68"/>
      <c r="B22" s="68"/>
      <c r="C22" s="68"/>
      <c r="D22" s="68"/>
      <c r="E22" s="68"/>
      <c r="F22" s="68"/>
      <c r="G22" s="68"/>
      <c r="H22" s="68"/>
      <c r="I22" s="71"/>
      <c r="J22" s="72" t="s">
        <v>100</v>
      </c>
      <c r="K22" s="72"/>
      <c r="L22" s="72"/>
      <c r="M22" s="79" t="s">
        <v>84</v>
      </c>
      <c r="N22" s="68"/>
    </row>
    <row r="23">
      <c r="A23" s="68"/>
      <c r="B23" s="75" t="s">
        <v>101</v>
      </c>
      <c r="C23" s="68"/>
      <c r="D23" s="71"/>
      <c r="E23" s="81" t="s">
        <v>135</v>
      </c>
      <c r="F23" s="77"/>
      <c r="G23" s="78"/>
      <c r="H23" s="68"/>
      <c r="I23" s="68"/>
      <c r="J23" s="68"/>
      <c r="K23" s="68"/>
      <c r="L23" s="68"/>
      <c r="M23" s="68"/>
      <c r="N23" s="68"/>
    </row>
    <row r="24">
      <c r="A24" s="68"/>
      <c r="B24" s="68"/>
      <c r="C24" s="68"/>
      <c r="D24" s="68"/>
      <c r="E24" s="68"/>
      <c r="F24" s="68"/>
      <c r="G24" s="68"/>
      <c r="H24" s="68"/>
      <c r="I24" s="68"/>
      <c r="J24" s="68"/>
      <c r="K24" s="68"/>
      <c r="L24" s="68"/>
      <c r="M24" s="68"/>
      <c r="N24" s="68"/>
    </row>
    <row r="25">
      <c r="A25" s="68"/>
      <c r="B25" s="75" t="s">
        <v>103</v>
      </c>
      <c r="C25" s="68"/>
      <c r="D25" s="71"/>
      <c r="E25" s="81" t="s">
        <v>136</v>
      </c>
      <c r="F25" s="77"/>
      <c r="G25" s="77"/>
      <c r="H25" s="77"/>
      <c r="I25" s="77"/>
      <c r="J25" s="77"/>
      <c r="K25" s="77"/>
      <c r="L25" s="78"/>
      <c r="M25" s="68"/>
      <c r="N25" s="68"/>
    </row>
    <row r="26">
      <c r="A26" s="68"/>
      <c r="B26" s="68"/>
      <c r="C26" s="68"/>
      <c r="D26" s="68"/>
      <c r="E26" s="68"/>
      <c r="F26" s="68"/>
      <c r="G26" s="68"/>
      <c r="H26" s="68"/>
      <c r="I26" s="68"/>
      <c r="J26" s="68"/>
      <c r="K26" s="68"/>
      <c r="L26" s="68"/>
      <c r="M26" s="68"/>
      <c r="N26" s="68"/>
    </row>
    <row r="27">
      <c r="A27" s="68"/>
      <c r="B27" s="75" t="s">
        <v>105</v>
      </c>
      <c r="C27" s="68"/>
      <c r="D27" s="71"/>
      <c r="E27" s="89" t="s">
        <v>106</v>
      </c>
      <c r="F27" s="90" t="s">
        <v>107</v>
      </c>
      <c r="G27" s="89" t="s">
        <v>108</v>
      </c>
      <c r="H27" s="91" t="s">
        <v>109</v>
      </c>
      <c r="I27" s="92"/>
      <c r="J27" s="84"/>
      <c r="K27" s="84"/>
      <c r="L27" s="80"/>
      <c r="M27" s="68"/>
      <c r="N27" s="68"/>
    </row>
    <row r="28">
      <c r="A28" s="68"/>
      <c r="B28" s="93" t="s">
        <v>71</v>
      </c>
      <c r="D28" s="71"/>
      <c r="E28" s="94" t="s">
        <v>126</v>
      </c>
      <c r="F28" s="95" t="s">
        <v>127</v>
      </c>
      <c r="G28" s="95" t="s">
        <v>112</v>
      </c>
      <c r="H28" s="96"/>
      <c r="I28" s="78"/>
      <c r="J28" s="84"/>
      <c r="K28" s="71"/>
      <c r="L28" s="72" t="s">
        <v>37</v>
      </c>
      <c r="M28" s="79" t="s">
        <v>84</v>
      </c>
      <c r="N28" s="68"/>
    </row>
    <row r="29">
      <c r="A29" s="68"/>
      <c r="D29" s="71"/>
      <c r="E29" s="94" t="s">
        <v>137</v>
      </c>
      <c r="F29" s="95" t="s">
        <v>111</v>
      </c>
      <c r="G29" s="95" t="s">
        <v>115</v>
      </c>
      <c r="H29" s="96"/>
      <c r="I29" s="78"/>
      <c r="J29" s="84"/>
      <c r="K29" s="71"/>
      <c r="L29" s="72" t="s">
        <v>115</v>
      </c>
      <c r="M29" s="68"/>
      <c r="N29" s="68"/>
    </row>
    <row r="30">
      <c r="A30" s="68"/>
      <c r="B30" s="68"/>
      <c r="C30" s="68"/>
      <c r="D30" s="71"/>
      <c r="E30" s="94" t="s">
        <v>116</v>
      </c>
      <c r="F30" s="95" t="s">
        <v>117</v>
      </c>
      <c r="G30" s="95" t="s">
        <v>112</v>
      </c>
      <c r="H30" s="96"/>
      <c r="I30" s="78"/>
      <c r="J30" s="84"/>
      <c r="K30" s="71"/>
      <c r="L30" s="72" t="s">
        <v>112</v>
      </c>
      <c r="M30" s="68"/>
      <c r="N30" s="68"/>
    </row>
    <row r="31">
      <c r="A31" s="68"/>
      <c r="B31" s="68"/>
      <c r="C31" s="68"/>
      <c r="D31" s="71"/>
      <c r="E31" s="94" t="s">
        <v>129</v>
      </c>
      <c r="F31" s="95" t="s">
        <v>130</v>
      </c>
      <c r="G31" s="95" t="s">
        <v>41</v>
      </c>
      <c r="H31" s="96"/>
      <c r="I31" s="78"/>
      <c r="J31" s="84"/>
      <c r="K31" s="71"/>
      <c r="L31" s="72" t="s">
        <v>41</v>
      </c>
      <c r="M31" s="68"/>
      <c r="N31" s="68"/>
    </row>
    <row r="32">
      <c r="A32" s="68"/>
      <c r="B32" s="68"/>
      <c r="C32" s="68"/>
      <c r="D32" s="71"/>
      <c r="E32" s="94" t="s">
        <v>113</v>
      </c>
      <c r="F32" s="95" t="s">
        <v>114</v>
      </c>
      <c r="G32" s="95" t="s">
        <v>112</v>
      </c>
      <c r="H32" s="96"/>
      <c r="I32" s="78"/>
      <c r="J32" s="68"/>
      <c r="K32" s="71"/>
      <c r="L32" s="72" t="s">
        <v>42</v>
      </c>
      <c r="M32" s="68"/>
      <c r="N32" s="68"/>
    </row>
    <row r="33">
      <c r="A33" s="68"/>
      <c r="B33" s="68"/>
      <c r="C33" s="68"/>
      <c r="D33" s="71"/>
      <c r="E33" s="94"/>
      <c r="F33" s="95"/>
      <c r="G33" s="95"/>
      <c r="H33" s="96"/>
      <c r="I33" s="78"/>
      <c r="J33" s="68"/>
      <c r="K33" s="68"/>
      <c r="L33" s="68"/>
      <c r="M33" s="68"/>
      <c r="N33" s="68"/>
    </row>
    <row r="34">
      <c r="A34" s="68"/>
      <c r="B34" s="75"/>
      <c r="C34" s="68"/>
      <c r="D34" s="68"/>
      <c r="E34" s="68"/>
      <c r="F34" s="68"/>
      <c r="G34" s="68"/>
      <c r="H34" s="68"/>
      <c r="I34" s="68"/>
      <c r="J34" s="68"/>
      <c r="K34" s="68"/>
      <c r="L34" s="68"/>
      <c r="M34" s="68"/>
      <c r="N34" s="68"/>
    </row>
    <row r="35">
      <c r="A35" s="68"/>
      <c r="B35" s="75" t="s">
        <v>118</v>
      </c>
      <c r="C35" s="68"/>
      <c r="D35" s="68"/>
      <c r="E35" s="68"/>
      <c r="F35" s="68"/>
      <c r="G35" s="68"/>
      <c r="H35" s="68"/>
      <c r="I35" s="68"/>
      <c r="J35" s="68"/>
      <c r="K35" s="68"/>
      <c r="L35" s="68"/>
      <c r="M35" s="68"/>
      <c r="N35" s="68"/>
    </row>
    <row r="36">
      <c r="A36" s="68"/>
      <c r="B36" s="72" t="s">
        <v>119</v>
      </c>
      <c r="C36" s="68"/>
      <c r="D36" s="68"/>
      <c r="E36" s="68"/>
      <c r="F36" s="68"/>
      <c r="G36" s="68"/>
      <c r="H36" s="68"/>
      <c r="I36" s="68"/>
      <c r="J36" s="68"/>
      <c r="K36" s="68"/>
      <c r="L36" s="68"/>
      <c r="M36" s="68"/>
      <c r="N36" s="68"/>
    </row>
    <row r="37">
      <c r="A37" s="68"/>
      <c r="B37" s="68"/>
      <c r="C37" s="68"/>
      <c r="D37" s="68"/>
      <c r="E37" s="68"/>
      <c r="F37" s="68"/>
      <c r="G37" s="68"/>
      <c r="H37" s="68"/>
      <c r="I37" s="68"/>
      <c r="J37" s="68"/>
      <c r="K37" s="68"/>
      <c r="L37" s="68"/>
      <c r="M37" s="68"/>
      <c r="N37" s="68"/>
    </row>
    <row r="38">
      <c r="A38" s="68"/>
      <c r="B38" s="68"/>
      <c r="C38" s="68"/>
      <c r="D38" s="68"/>
      <c r="E38" s="68"/>
      <c r="F38" s="68"/>
      <c r="G38" s="68"/>
      <c r="H38" s="68"/>
      <c r="I38" s="68"/>
      <c r="J38" s="68"/>
      <c r="K38" s="68"/>
      <c r="L38" s="68"/>
      <c r="M38" s="68"/>
      <c r="N38" s="68"/>
    </row>
    <row r="39">
      <c r="A39" s="68"/>
      <c r="B39" s="68"/>
      <c r="C39" s="68"/>
      <c r="D39" s="68"/>
      <c r="E39" s="68"/>
      <c r="F39" s="68"/>
      <c r="G39" s="68"/>
      <c r="H39" s="68"/>
      <c r="I39" s="68"/>
      <c r="J39" s="68"/>
      <c r="K39" s="68"/>
      <c r="L39" s="68"/>
      <c r="M39" s="68"/>
      <c r="N39" s="68"/>
    </row>
    <row r="40">
      <c r="A40" s="68"/>
      <c r="B40" s="68"/>
      <c r="C40" s="68"/>
      <c r="D40" s="68"/>
      <c r="E40" s="68"/>
      <c r="F40" s="68"/>
      <c r="G40" s="68"/>
      <c r="H40" s="68"/>
      <c r="I40" s="68"/>
      <c r="J40" s="68"/>
      <c r="K40" s="68"/>
      <c r="L40" s="68"/>
      <c r="M40" s="68"/>
      <c r="N40" s="68"/>
    </row>
    <row r="41">
      <c r="A41" s="68"/>
      <c r="B41" s="68"/>
      <c r="C41" s="68"/>
      <c r="D41" s="68"/>
      <c r="E41" s="68"/>
      <c r="F41" s="68"/>
      <c r="G41" s="68"/>
      <c r="H41" s="68"/>
      <c r="I41" s="68"/>
      <c r="J41" s="68"/>
      <c r="K41" s="68"/>
      <c r="L41" s="68"/>
      <c r="M41" s="68"/>
      <c r="N41" s="68"/>
    </row>
    <row r="42">
      <c r="A42" s="68"/>
      <c r="B42" s="68"/>
      <c r="C42" s="68"/>
      <c r="D42" s="68"/>
      <c r="E42" s="68"/>
      <c r="F42" s="68"/>
      <c r="G42" s="68"/>
      <c r="H42" s="68"/>
      <c r="I42" s="68"/>
      <c r="J42" s="68"/>
      <c r="K42" s="68"/>
      <c r="L42" s="68"/>
      <c r="M42" s="68"/>
      <c r="N42" s="68"/>
    </row>
    <row r="43">
      <c r="A43" s="68"/>
      <c r="B43" s="68"/>
      <c r="C43" s="68"/>
      <c r="D43" s="68"/>
      <c r="E43" s="68"/>
      <c r="F43" s="68"/>
      <c r="G43" s="68"/>
      <c r="H43" s="68"/>
      <c r="I43" s="68"/>
      <c r="J43" s="68"/>
      <c r="K43" s="68"/>
      <c r="L43" s="68"/>
      <c r="M43" s="68"/>
      <c r="N43" s="68"/>
    </row>
    <row r="44">
      <c r="A44" s="68"/>
      <c r="B44" s="68"/>
      <c r="C44" s="68"/>
      <c r="D44" s="68"/>
      <c r="E44" s="68"/>
      <c r="F44" s="68"/>
      <c r="G44" s="68"/>
      <c r="H44" s="68"/>
      <c r="I44" s="68"/>
      <c r="J44" s="68"/>
      <c r="K44" s="68"/>
      <c r="L44" s="68"/>
      <c r="M44" s="68"/>
      <c r="N44" s="68"/>
    </row>
    <row r="45">
      <c r="A45" s="68"/>
      <c r="B45" s="68"/>
      <c r="C45" s="68"/>
      <c r="D45" s="68"/>
      <c r="E45" s="68"/>
      <c r="F45" s="68"/>
      <c r="G45" s="68"/>
      <c r="H45" s="68"/>
      <c r="I45" s="68"/>
      <c r="J45" s="68"/>
      <c r="K45" s="68"/>
      <c r="L45" s="68"/>
      <c r="M45" s="68"/>
      <c r="N45" s="68"/>
    </row>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8">
    <mergeCell ref="B5:F6"/>
    <mergeCell ref="E11:G11"/>
    <mergeCell ref="E13:F13"/>
    <mergeCell ref="E15:G15"/>
    <mergeCell ref="E17:F17"/>
    <mergeCell ref="E19:G19"/>
    <mergeCell ref="J19:M19"/>
    <mergeCell ref="H30:I30"/>
    <mergeCell ref="H31:I31"/>
    <mergeCell ref="H32:I32"/>
    <mergeCell ref="H33:I33"/>
    <mergeCell ref="E21:F21"/>
    <mergeCell ref="E23:G23"/>
    <mergeCell ref="E25:L25"/>
    <mergeCell ref="H27:I27"/>
    <mergeCell ref="B28:C29"/>
    <mergeCell ref="H28:I28"/>
    <mergeCell ref="H29:I29"/>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 type="list" allowBlank="1" showInputMessage="1" prompt="Clique e insira um valor de intervalo" sqref="G28:G33">
      <formula1>$L$28:$L$32</formula1>
    </dataValidation>
  </dataValidations>
  <printOptions/>
  <pageMargins bottom="0.787401575" footer="0.0" header="0.0" left="0.511811024" right="0.511811024" top="0.7874015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75"/>
  <cols>
    <col customWidth="1" min="1" max="1" width="2.25"/>
    <col customWidth="1" min="2" max="2" width="14.38"/>
    <col customWidth="1" min="3" max="3" width="7.25"/>
    <col customWidth="1" min="4" max="4" width="2.25"/>
    <col customWidth="1" min="5" max="5" width="21.63"/>
    <col customWidth="1" min="6" max="7" width="14.38"/>
    <col customWidth="1" min="8" max="9" width="2.25"/>
    <col customWidth="1" min="10" max="10" width="7.25"/>
    <col customWidth="1" min="11" max="11" width="2.25"/>
    <col customWidth="1" min="12" max="12" width="14.38"/>
    <col customWidth="1" min="13" max="13" width="3.0"/>
    <col customWidth="1" min="14" max="14" width="3.13"/>
    <col customWidth="1" min="15" max="44" width="14.38"/>
  </cols>
  <sheetData>
    <row r="1" ht="11.25" customHeight="1">
      <c r="A1" s="68"/>
      <c r="B1" s="68"/>
      <c r="C1" s="68"/>
      <c r="D1" s="68"/>
      <c r="E1" s="68"/>
      <c r="F1" s="68"/>
      <c r="G1" s="68"/>
      <c r="H1" s="68"/>
      <c r="I1" s="68"/>
      <c r="J1" s="68"/>
      <c r="K1" s="68"/>
      <c r="L1" s="68"/>
      <c r="M1" s="68"/>
      <c r="N1" s="68"/>
    </row>
    <row r="2">
      <c r="A2" s="68"/>
      <c r="B2" s="69" t="s">
        <v>72</v>
      </c>
      <c r="C2" s="68"/>
      <c r="D2" s="68"/>
      <c r="E2" s="68"/>
      <c r="F2" s="68"/>
      <c r="G2" s="68"/>
      <c r="H2" s="68"/>
      <c r="I2" s="68"/>
      <c r="J2" s="68"/>
      <c r="K2" s="68"/>
      <c r="L2" s="68"/>
      <c r="M2" s="68"/>
      <c r="N2" s="68"/>
    </row>
    <row r="3">
      <c r="A3" s="68"/>
      <c r="B3" s="70" t="s">
        <v>73</v>
      </c>
      <c r="C3" s="68"/>
      <c r="D3" s="68"/>
      <c r="E3" s="68"/>
      <c r="F3" s="68"/>
      <c r="G3" s="68"/>
      <c r="N3" s="68"/>
    </row>
    <row r="4">
      <c r="A4" s="68"/>
      <c r="B4" s="67" t="s">
        <v>138</v>
      </c>
      <c r="C4" s="68"/>
      <c r="D4" s="68"/>
      <c r="E4" s="68"/>
      <c r="F4" s="68"/>
      <c r="G4" s="68"/>
      <c r="H4" s="68"/>
      <c r="I4" s="71"/>
      <c r="J4" s="72" t="s">
        <v>75</v>
      </c>
      <c r="K4" s="68"/>
      <c r="L4" s="68"/>
      <c r="M4" s="73" t="b">
        <v>1</v>
      </c>
      <c r="N4" s="68"/>
    </row>
    <row r="5" ht="23.25" customHeight="1">
      <c r="A5" s="68"/>
      <c r="B5" s="74" t="s">
        <v>76</v>
      </c>
      <c r="G5" s="68"/>
      <c r="H5" s="68"/>
      <c r="I5" s="71"/>
      <c r="J5" s="72" t="s">
        <v>77</v>
      </c>
      <c r="K5" s="68"/>
      <c r="L5" s="68"/>
      <c r="M5" s="73" t="b">
        <v>0</v>
      </c>
      <c r="N5" s="68"/>
    </row>
    <row r="6" ht="23.25" customHeight="1">
      <c r="A6" s="68"/>
      <c r="G6" s="68"/>
      <c r="H6" s="68"/>
      <c r="I6" s="71"/>
      <c r="J6" s="72" t="s">
        <v>78</v>
      </c>
      <c r="K6" s="68"/>
      <c r="L6" s="68"/>
      <c r="M6" s="73" t="b">
        <v>0</v>
      </c>
      <c r="N6" s="68"/>
    </row>
    <row r="7">
      <c r="A7" s="68"/>
      <c r="B7" s="68"/>
      <c r="C7" s="68"/>
      <c r="D7" s="68"/>
      <c r="E7" s="68"/>
      <c r="F7" s="68"/>
      <c r="G7" s="68"/>
      <c r="H7" s="68"/>
      <c r="I7" s="68"/>
      <c r="J7" s="72"/>
      <c r="K7" s="68"/>
      <c r="L7" s="68"/>
      <c r="M7" s="68"/>
      <c r="N7" s="68"/>
    </row>
    <row r="8">
      <c r="A8" s="68"/>
      <c r="B8" s="69" t="s">
        <v>79</v>
      </c>
      <c r="C8" s="68"/>
      <c r="D8" s="68"/>
      <c r="E8" s="68"/>
      <c r="F8" s="68"/>
      <c r="G8" s="68"/>
      <c r="H8" s="68"/>
      <c r="N8" s="68"/>
    </row>
    <row r="9">
      <c r="A9" s="68"/>
      <c r="B9" s="70" t="s">
        <v>80</v>
      </c>
      <c r="C9" s="68"/>
      <c r="D9" s="68"/>
      <c r="E9" s="68"/>
      <c r="F9" s="68"/>
      <c r="G9" s="68"/>
      <c r="H9" s="68"/>
      <c r="I9" s="68"/>
      <c r="J9" s="68"/>
      <c r="K9" s="68"/>
      <c r="L9" s="68"/>
      <c r="M9" s="68"/>
      <c r="N9" s="68"/>
    </row>
    <row r="10">
      <c r="A10" s="68"/>
      <c r="B10" s="68"/>
      <c r="C10" s="68"/>
      <c r="D10" s="68"/>
      <c r="E10" s="68"/>
      <c r="F10" s="68"/>
      <c r="G10" s="68"/>
      <c r="H10" s="68"/>
      <c r="I10" s="68"/>
      <c r="J10" s="68"/>
      <c r="K10" s="68"/>
      <c r="L10" s="68"/>
      <c r="M10" s="68"/>
      <c r="N10" s="68"/>
    </row>
    <row r="11" ht="13.5" customHeight="1">
      <c r="A11" s="68"/>
      <c r="B11" s="75" t="s">
        <v>81</v>
      </c>
      <c r="C11" s="68"/>
      <c r="D11" s="71"/>
      <c r="E11" s="76" t="s">
        <v>139</v>
      </c>
      <c r="F11" s="77"/>
      <c r="G11" s="78"/>
      <c r="H11" s="68"/>
      <c r="I11" s="68"/>
      <c r="J11" s="68"/>
      <c r="K11" s="68"/>
      <c r="L11" s="68"/>
      <c r="M11" s="68"/>
      <c r="N11" s="68"/>
    </row>
    <row r="12">
      <c r="A12" s="68"/>
      <c r="B12" s="68"/>
      <c r="C12" s="68"/>
      <c r="D12" s="68"/>
      <c r="E12" s="68"/>
      <c r="F12" s="68"/>
      <c r="G12" s="68"/>
      <c r="H12" s="68"/>
      <c r="I12" s="71"/>
      <c r="J12" s="72" t="s">
        <v>83</v>
      </c>
      <c r="K12" s="72"/>
      <c r="L12" s="72"/>
      <c r="M12" s="79" t="s">
        <v>84</v>
      </c>
      <c r="N12" s="68"/>
    </row>
    <row r="13">
      <c r="A13" s="68"/>
      <c r="B13" s="75" t="s">
        <v>85</v>
      </c>
      <c r="C13" s="68"/>
      <c r="D13" s="71"/>
      <c r="E13" s="76" t="s">
        <v>86</v>
      </c>
      <c r="F13" s="78"/>
      <c r="G13" s="80"/>
      <c r="H13" s="68"/>
      <c r="I13" s="71"/>
      <c r="J13" s="72" t="s">
        <v>87</v>
      </c>
      <c r="K13" s="72"/>
      <c r="L13" s="72"/>
      <c r="M13" s="79" t="s">
        <v>84</v>
      </c>
      <c r="N13" s="68"/>
    </row>
    <row r="14">
      <c r="A14" s="68"/>
      <c r="B14" s="68"/>
      <c r="C14" s="68"/>
      <c r="D14" s="68"/>
      <c r="E14" s="68"/>
      <c r="F14" s="68"/>
      <c r="G14" s="68"/>
      <c r="H14" s="68"/>
      <c r="I14" s="71"/>
      <c r="J14" s="72" t="s">
        <v>86</v>
      </c>
      <c r="K14" s="72"/>
      <c r="L14" s="72"/>
      <c r="M14" s="79" t="s">
        <v>84</v>
      </c>
      <c r="N14" s="68"/>
    </row>
    <row r="15" ht="30.75" customHeight="1">
      <c r="A15" s="68"/>
      <c r="B15" s="75" t="s">
        <v>88</v>
      </c>
      <c r="C15" s="68"/>
      <c r="D15" s="71"/>
      <c r="E15" s="81" t="s">
        <v>140</v>
      </c>
      <c r="F15" s="77"/>
      <c r="G15" s="78"/>
      <c r="H15" s="82"/>
      <c r="I15" s="82"/>
      <c r="J15" s="83"/>
      <c r="K15" s="83"/>
      <c r="L15" s="83"/>
      <c r="M15" s="83"/>
      <c r="N15" s="68"/>
    </row>
    <row r="16">
      <c r="A16" s="68"/>
      <c r="B16" s="68"/>
      <c r="C16" s="68"/>
      <c r="D16" s="68"/>
      <c r="E16" s="68"/>
      <c r="F16" s="68"/>
      <c r="G16" s="68"/>
      <c r="H16" s="68"/>
      <c r="I16" s="71"/>
      <c r="J16" s="72" t="s">
        <v>90</v>
      </c>
      <c r="K16" s="72"/>
      <c r="L16" s="72"/>
      <c r="M16" s="79" t="s">
        <v>84</v>
      </c>
      <c r="N16" s="68"/>
    </row>
    <row r="17">
      <c r="A17" s="68"/>
      <c r="B17" s="75" t="s">
        <v>91</v>
      </c>
      <c r="C17" s="68"/>
      <c r="D17" s="71"/>
      <c r="E17" s="76" t="s">
        <v>90</v>
      </c>
      <c r="F17" s="78"/>
      <c r="G17" s="80"/>
      <c r="H17" s="68"/>
      <c r="I17" s="71"/>
      <c r="J17" s="72" t="s">
        <v>92</v>
      </c>
      <c r="K17" s="72"/>
      <c r="L17" s="72"/>
      <c r="M17" s="79" t="s">
        <v>84</v>
      </c>
      <c r="N17" s="68"/>
    </row>
    <row r="18">
      <c r="A18" s="68"/>
      <c r="B18" s="84"/>
      <c r="C18" s="85"/>
      <c r="D18" s="85"/>
      <c r="E18" s="85"/>
      <c r="F18" s="68"/>
      <c r="G18" s="68"/>
      <c r="H18" s="68"/>
      <c r="I18" s="71"/>
      <c r="J18" s="86" t="s">
        <v>93</v>
      </c>
      <c r="K18" s="86"/>
      <c r="L18" s="86"/>
      <c r="M18" s="87" t="s">
        <v>84</v>
      </c>
      <c r="N18" s="68"/>
    </row>
    <row r="19" ht="29.25" customHeight="1">
      <c r="A19" s="68"/>
      <c r="B19" s="75" t="s">
        <v>94</v>
      </c>
      <c r="C19" s="68"/>
      <c r="D19" s="71"/>
      <c r="E19" s="81" t="s">
        <v>141</v>
      </c>
      <c r="F19" s="77"/>
      <c r="G19" s="78"/>
      <c r="H19" s="68"/>
      <c r="I19" s="68"/>
      <c r="J19" s="88" t="s">
        <v>96</v>
      </c>
      <c r="N19" s="68"/>
    </row>
    <row r="20">
      <c r="A20" s="68"/>
      <c r="B20" s="68"/>
      <c r="C20" s="68"/>
      <c r="D20" s="68"/>
      <c r="E20" s="68"/>
      <c r="F20" s="68"/>
      <c r="G20" s="68"/>
      <c r="H20" s="68"/>
      <c r="I20" s="71"/>
      <c r="J20" s="72" t="s">
        <v>97</v>
      </c>
      <c r="K20" s="72"/>
      <c r="L20" s="72"/>
      <c r="M20" s="79" t="s">
        <v>84</v>
      </c>
      <c r="N20" s="68"/>
    </row>
    <row r="21">
      <c r="A21" s="68"/>
      <c r="B21" s="75" t="s">
        <v>98</v>
      </c>
      <c r="C21" s="68"/>
      <c r="D21" s="71"/>
      <c r="E21" s="76" t="s">
        <v>97</v>
      </c>
      <c r="F21" s="78"/>
      <c r="G21" s="80"/>
      <c r="H21" s="68"/>
      <c r="I21" s="71"/>
      <c r="J21" s="72" t="s">
        <v>99</v>
      </c>
      <c r="K21" s="72"/>
      <c r="L21" s="72"/>
      <c r="M21" s="79" t="s">
        <v>84</v>
      </c>
      <c r="N21" s="68"/>
    </row>
    <row r="22">
      <c r="A22" s="68"/>
      <c r="B22" s="68"/>
      <c r="C22" s="68"/>
      <c r="D22" s="68"/>
      <c r="E22" s="68"/>
      <c r="F22" s="68"/>
      <c r="G22" s="68"/>
      <c r="H22" s="68"/>
      <c r="I22" s="71"/>
      <c r="J22" s="72" t="s">
        <v>100</v>
      </c>
      <c r="K22" s="72"/>
      <c r="L22" s="72"/>
      <c r="M22" s="79" t="s">
        <v>84</v>
      </c>
      <c r="N22" s="68"/>
    </row>
    <row r="23" ht="39.75" customHeight="1">
      <c r="A23" s="68"/>
      <c r="B23" s="75" t="s">
        <v>101</v>
      </c>
      <c r="C23" s="68"/>
      <c r="D23" s="71"/>
      <c r="E23" s="81" t="s">
        <v>142</v>
      </c>
      <c r="F23" s="77"/>
      <c r="G23" s="78"/>
      <c r="H23" s="68"/>
      <c r="I23" s="68"/>
      <c r="J23" s="68"/>
      <c r="K23" s="68"/>
      <c r="L23" s="68"/>
      <c r="M23" s="68"/>
      <c r="N23" s="68"/>
    </row>
    <row r="24">
      <c r="A24" s="68"/>
      <c r="B24" s="68"/>
      <c r="C24" s="68"/>
      <c r="D24" s="68"/>
      <c r="E24" s="68"/>
      <c r="F24" s="68"/>
      <c r="G24" s="68"/>
      <c r="H24" s="68"/>
      <c r="I24" s="68"/>
      <c r="J24" s="68"/>
      <c r="K24" s="68"/>
      <c r="L24" s="68"/>
      <c r="M24" s="68"/>
      <c r="N24" s="68"/>
    </row>
    <row r="25" ht="41.25" customHeight="1">
      <c r="A25" s="68"/>
      <c r="B25" s="75" t="s">
        <v>103</v>
      </c>
      <c r="C25" s="68"/>
      <c r="D25" s="71"/>
      <c r="E25" s="81" t="s">
        <v>143</v>
      </c>
      <c r="F25" s="77"/>
      <c r="G25" s="77"/>
      <c r="H25" s="77"/>
      <c r="I25" s="77"/>
      <c r="J25" s="77"/>
      <c r="K25" s="77"/>
      <c r="L25" s="78"/>
      <c r="M25" s="68"/>
      <c r="N25" s="68"/>
    </row>
    <row r="26">
      <c r="A26" s="68"/>
      <c r="B26" s="68"/>
      <c r="C26" s="68"/>
      <c r="D26" s="68"/>
      <c r="E26" s="68"/>
      <c r="F26" s="68"/>
      <c r="G26" s="68"/>
      <c r="H26" s="68"/>
      <c r="I26" s="68"/>
      <c r="J26" s="68"/>
      <c r="K26" s="68"/>
      <c r="L26" s="68"/>
      <c r="M26" s="68"/>
      <c r="N26" s="68"/>
    </row>
    <row r="27">
      <c r="A27" s="68"/>
      <c r="B27" s="75" t="s">
        <v>105</v>
      </c>
      <c r="C27" s="68"/>
      <c r="D27" s="71"/>
      <c r="E27" s="89" t="s">
        <v>106</v>
      </c>
      <c r="F27" s="90" t="s">
        <v>107</v>
      </c>
      <c r="G27" s="89" t="s">
        <v>108</v>
      </c>
      <c r="H27" s="91" t="s">
        <v>109</v>
      </c>
      <c r="I27" s="92"/>
      <c r="J27" s="84"/>
      <c r="K27" s="84"/>
      <c r="L27" s="80"/>
      <c r="M27" s="68"/>
      <c r="N27" s="68"/>
    </row>
    <row r="28">
      <c r="A28" s="68"/>
      <c r="B28" s="93" t="s">
        <v>71</v>
      </c>
      <c r="D28" s="71"/>
      <c r="E28" s="94" t="s">
        <v>144</v>
      </c>
      <c r="F28" s="95" t="s">
        <v>145</v>
      </c>
      <c r="G28" s="95" t="s">
        <v>41</v>
      </c>
      <c r="H28" s="96"/>
      <c r="I28" s="78"/>
      <c r="J28" s="84"/>
      <c r="K28" s="71"/>
      <c r="L28" s="72" t="s">
        <v>37</v>
      </c>
      <c r="M28" s="79" t="s">
        <v>84</v>
      </c>
      <c r="N28" s="68"/>
    </row>
    <row r="29">
      <c r="A29" s="68"/>
      <c r="D29" s="71"/>
      <c r="E29" s="94" t="s">
        <v>137</v>
      </c>
      <c r="F29" s="95" t="s">
        <v>111</v>
      </c>
      <c r="G29" s="95" t="s">
        <v>115</v>
      </c>
      <c r="H29" s="96"/>
      <c r="I29" s="78"/>
      <c r="J29" s="84"/>
      <c r="K29" s="71"/>
      <c r="L29" s="72" t="s">
        <v>115</v>
      </c>
      <c r="M29" s="68"/>
      <c r="N29" s="68"/>
    </row>
    <row r="30">
      <c r="A30" s="68"/>
      <c r="B30" s="68"/>
      <c r="C30" s="68"/>
      <c r="D30" s="71"/>
      <c r="E30" s="94" t="s">
        <v>146</v>
      </c>
      <c r="F30" s="97" t="s">
        <v>147</v>
      </c>
      <c r="G30" s="95" t="s">
        <v>41</v>
      </c>
      <c r="H30" s="96"/>
      <c r="I30" s="78"/>
      <c r="J30" s="84"/>
      <c r="K30" s="71"/>
      <c r="L30" s="72" t="s">
        <v>112</v>
      </c>
      <c r="M30" s="68"/>
      <c r="N30" s="68"/>
    </row>
    <row r="31">
      <c r="A31" s="68"/>
      <c r="B31" s="68"/>
      <c r="C31" s="68"/>
      <c r="D31" s="71"/>
      <c r="E31" s="94" t="s">
        <v>116</v>
      </c>
      <c r="F31" s="95" t="s">
        <v>117</v>
      </c>
      <c r="G31" s="95" t="s">
        <v>112</v>
      </c>
      <c r="H31" s="96"/>
      <c r="I31" s="78"/>
      <c r="J31" s="84"/>
      <c r="K31" s="71"/>
      <c r="L31" s="72" t="s">
        <v>41</v>
      </c>
      <c r="M31" s="68"/>
      <c r="N31" s="68"/>
    </row>
    <row r="32">
      <c r="A32" s="68"/>
      <c r="B32" s="68"/>
      <c r="C32" s="68"/>
      <c r="D32" s="71"/>
      <c r="E32" s="94" t="s">
        <v>129</v>
      </c>
      <c r="F32" s="95" t="s">
        <v>148</v>
      </c>
      <c r="G32" s="95" t="s">
        <v>41</v>
      </c>
      <c r="H32" s="96"/>
      <c r="I32" s="78"/>
      <c r="J32" s="68"/>
      <c r="K32" s="71"/>
      <c r="L32" s="72" t="s">
        <v>42</v>
      </c>
      <c r="M32" s="68"/>
      <c r="N32" s="68"/>
    </row>
    <row r="33">
      <c r="A33" s="68"/>
      <c r="B33" s="68"/>
      <c r="C33" s="68"/>
      <c r="D33" s="71"/>
      <c r="E33" s="94" t="s">
        <v>113</v>
      </c>
      <c r="F33" s="95" t="s">
        <v>114</v>
      </c>
      <c r="G33" s="95" t="s">
        <v>112</v>
      </c>
      <c r="H33" s="96"/>
      <c r="I33" s="78"/>
      <c r="J33" s="68"/>
      <c r="K33" s="68"/>
      <c r="L33" s="68"/>
      <c r="M33" s="68"/>
      <c r="N33" s="68"/>
    </row>
    <row r="34">
      <c r="A34" s="68"/>
      <c r="B34" s="75"/>
      <c r="C34" s="68"/>
      <c r="D34" s="68"/>
      <c r="E34" s="68"/>
      <c r="F34" s="68"/>
      <c r="G34" s="68"/>
      <c r="H34" s="68"/>
      <c r="I34" s="68"/>
      <c r="J34" s="68"/>
      <c r="K34" s="68"/>
      <c r="L34" s="68"/>
      <c r="M34" s="68"/>
      <c r="N34" s="68"/>
    </row>
    <row r="35">
      <c r="A35" s="68"/>
      <c r="B35" s="75" t="s">
        <v>118</v>
      </c>
      <c r="C35" s="68"/>
      <c r="D35" s="68"/>
      <c r="E35" s="68"/>
      <c r="F35" s="68"/>
      <c r="G35" s="68"/>
      <c r="H35" s="68"/>
      <c r="I35" s="68"/>
      <c r="J35" s="68"/>
      <c r="K35" s="68"/>
      <c r="L35" s="68"/>
      <c r="M35" s="68"/>
      <c r="N35" s="68"/>
    </row>
    <row r="36">
      <c r="A36" s="68"/>
      <c r="B36" s="72" t="s">
        <v>119</v>
      </c>
      <c r="C36" s="68"/>
      <c r="D36" s="68"/>
      <c r="E36" s="68"/>
      <c r="F36" s="68"/>
      <c r="G36" s="68"/>
      <c r="H36" s="68"/>
      <c r="I36" s="68"/>
      <c r="J36" s="68"/>
      <c r="K36" s="68"/>
      <c r="L36" s="68"/>
      <c r="M36" s="68"/>
      <c r="N36" s="68"/>
    </row>
    <row r="37">
      <c r="A37" s="68"/>
      <c r="B37" s="68"/>
      <c r="C37" s="68"/>
      <c r="D37" s="68"/>
      <c r="E37" s="68"/>
      <c r="F37" s="68"/>
      <c r="G37" s="68"/>
      <c r="H37" s="68"/>
      <c r="I37" s="68"/>
      <c r="J37" s="68"/>
      <c r="K37" s="68"/>
      <c r="L37" s="68"/>
      <c r="M37" s="68"/>
      <c r="N37" s="68"/>
    </row>
    <row r="38">
      <c r="A38" s="68"/>
      <c r="B38" s="68"/>
      <c r="C38" s="68"/>
      <c r="D38" s="68"/>
      <c r="E38" s="68"/>
      <c r="F38" s="68"/>
      <c r="G38" s="68"/>
      <c r="H38" s="68"/>
      <c r="I38" s="68"/>
      <c r="J38" s="68"/>
      <c r="K38" s="68"/>
      <c r="L38" s="68"/>
      <c r="M38" s="68"/>
      <c r="N38" s="68"/>
    </row>
    <row r="39">
      <c r="A39" s="68"/>
      <c r="B39" s="68"/>
      <c r="C39" s="68"/>
      <c r="D39" s="68"/>
      <c r="E39" s="68"/>
      <c r="F39" s="68"/>
      <c r="G39" s="68"/>
      <c r="H39" s="68"/>
      <c r="I39" s="68"/>
      <c r="J39" s="68"/>
      <c r="K39" s="68"/>
      <c r="L39" s="68"/>
      <c r="M39" s="68"/>
      <c r="N39" s="68"/>
    </row>
    <row r="40">
      <c r="A40" s="68"/>
      <c r="B40" s="68"/>
      <c r="C40" s="68"/>
      <c r="D40" s="68"/>
      <c r="E40" s="68"/>
      <c r="F40" s="68"/>
      <c r="G40" s="68"/>
      <c r="H40" s="68"/>
      <c r="I40" s="68"/>
      <c r="J40" s="68"/>
      <c r="K40" s="68"/>
      <c r="L40" s="68"/>
      <c r="M40" s="68"/>
      <c r="N40" s="68"/>
    </row>
    <row r="41">
      <c r="A41" s="68"/>
      <c r="B41" s="68"/>
      <c r="C41" s="68"/>
      <c r="D41" s="68"/>
      <c r="E41" s="68"/>
      <c r="F41" s="68"/>
      <c r="G41" s="68"/>
      <c r="H41" s="68"/>
      <c r="I41" s="68"/>
      <c r="J41" s="68"/>
      <c r="K41" s="68"/>
      <c r="L41" s="68"/>
      <c r="M41" s="68"/>
      <c r="N41" s="68"/>
    </row>
    <row r="42">
      <c r="A42" s="68"/>
      <c r="B42" s="68"/>
      <c r="C42" s="68"/>
      <c r="D42" s="68"/>
      <c r="E42" s="68"/>
      <c r="F42" s="68"/>
      <c r="G42" s="68"/>
      <c r="H42" s="68"/>
      <c r="I42" s="68"/>
      <c r="J42" s="68"/>
      <c r="K42" s="68"/>
      <c r="L42" s="68"/>
      <c r="M42" s="68"/>
      <c r="N42" s="68"/>
    </row>
    <row r="43">
      <c r="A43" s="68"/>
      <c r="B43" s="68"/>
      <c r="C43" s="68"/>
      <c r="D43" s="68"/>
      <c r="E43" s="68"/>
      <c r="F43" s="68"/>
      <c r="G43" s="68"/>
      <c r="H43" s="68"/>
      <c r="I43" s="68"/>
      <c r="J43" s="68"/>
      <c r="K43" s="68"/>
      <c r="L43" s="68"/>
      <c r="M43" s="68"/>
      <c r="N43" s="68"/>
    </row>
    <row r="44">
      <c r="A44" s="68"/>
      <c r="B44" s="68"/>
      <c r="C44" s="68"/>
      <c r="D44" s="68"/>
      <c r="E44" s="68"/>
      <c r="F44" s="68"/>
      <c r="G44" s="68"/>
      <c r="H44" s="68"/>
      <c r="I44" s="68"/>
      <c r="J44" s="68"/>
      <c r="K44" s="68"/>
      <c r="L44" s="68"/>
      <c r="M44" s="68"/>
      <c r="N44" s="68"/>
    </row>
    <row r="45">
      <c r="A45" s="68"/>
      <c r="B45" s="68"/>
      <c r="C45" s="68"/>
      <c r="D45" s="68"/>
      <c r="E45" s="68"/>
      <c r="F45" s="68"/>
      <c r="G45" s="68"/>
      <c r="H45" s="68"/>
      <c r="I45" s="68"/>
      <c r="J45" s="68"/>
      <c r="K45" s="68"/>
      <c r="L45" s="68"/>
      <c r="M45" s="68"/>
      <c r="N45" s="68"/>
    </row>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8">
    <mergeCell ref="B5:F6"/>
    <mergeCell ref="E11:G11"/>
    <mergeCell ref="E13:F13"/>
    <mergeCell ref="E15:G15"/>
    <mergeCell ref="E17:F17"/>
    <mergeCell ref="E19:G19"/>
    <mergeCell ref="J19:M19"/>
    <mergeCell ref="H30:I30"/>
    <mergeCell ref="H31:I31"/>
    <mergeCell ref="H32:I32"/>
    <mergeCell ref="H33:I33"/>
    <mergeCell ref="E21:F21"/>
    <mergeCell ref="E23:G23"/>
    <mergeCell ref="E25:L25"/>
    <mergeCell ref="H27:I27"/>
    <mergeCell ref="B28:C29"/>
    <mergeCell ref="H28:I28"/>
    <mergeCell ref="H29:I29"/>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 type="list" allowBlank="1" showInputMessage="1" prompt="Clique e insira um valor de intervalo" sqref="G28:G33">
      <formula1>$L$28:$L$32</formula1>
    </dataValidation>
  </dataValidations>
  <printOptions/>
  <pageMargins bottom="0.787401575" footer="0.0" header="0.0" left="0.511811024" right="0.511811024" top="0.7874015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75"/>
  <cols>
    <col customWidth="1" min="1" max="1" width="2.25"/>
    <col customWidth="1" min="2" max="2" width="14.38"/>
    <col customWidth="1" min="3" max="3" width="7.25"/>
    <col customWidth="1" min="4" max="4" width="2.25"/>
    <col customWidth="1" min="5" max="5" width="21.63"/>
    <col customWidth="1" min="6" max="6" width="24.0"/>
    <col customWidth="1" min="7" max="7" width="18.25"/>
    <col customWidth="1" min="8" max="9" width="2.25"/>
    <col customWidth="1" min="10" max="10" width="7.25"/>
    <col customWidth="1" min="11" max="11" width="2.25"/>
    <col customWidth="1" min="12" max="12" width="14.38"/>
    <col customWidth="1" min="13" max="13" width="3.0"/>
    <col customWidth="1" min="14" max="14" width="3.13"/>
    <col customWidth="1" min="15" max="31" width="14.38"/>
  </cols>
  <sheetData>
    <row r="1" ht="11.25" customHeight="1">
      <c r="A1" s="68"/>
      <c r="B1" s="68"/>
      <c r="C1" s="68"/>
      <c r="D1" s="68"/>
      <c r="E1" s="68"/>
      <c r="F1" s="68"/>
      <c r="G1" s="68"/>
      <c r="H1" s="68"/>
      <c r="I1" s="68"/>
      <c r="J1" s="68"/>
      <c r="K1" s="68"/>
      <c r="L1" s="68"/>
      <c r="M1" s="68"/>
      <c r="N1" s="68"/>
    </row>
    <row r="2">
      <c r="A2" s="68"/>
      <c r="B2" s="69" t="s">
        <v>72</v>
      </c>
      <c r="C2" s="68"/>
      <c r="D2" s="68"/>
      <c r="E2" s="68"/>
      <c r="F2" s="68"/>
      <c r="G2" s="68"/>
      <c r="H2" s="68"/>
      <c r="I2" s="68"/>
      <c r="J2" s="68"/>
      <c r="K2" s="68"/>
      <c r="L2" s="68"/>
      <c r="M2" s="68"/>
      <c r="N2" s="68"/>
    </row>
    <row r="3">
      <c r="A3" s="68"/>
      <c r="B3" s="70" t="s">
        <v>73</v>
      </c>
      <c r="C3" s="68"/>
      <c r="D3" s="68"/>
      <c r="E3" s="68"/>
      <c r="F3" s="68"/>
      <c r="G3" s="68"/>
      <c r="N3" s="68"/>
    </row>
    <row r="4">
      <c r="A4" s="68"/>
      <c r="B4" s="67" t="s">
        <v>149</v>
      </c>
      <c r="C4" s="68"/>
      <c r="D4" s="68"/>
      <c r="E4" s="68"/>
      <c r="F4" s="68"/>
      <c r="G4" s="68"/>
      <c r="H4" s="68"/>
      <c r="I4" s="71"/>
      <c r="J4" s="72" t="s">
        <v>75</v>
      </c>
      <c r="K4" s="68"/>
      <c r="L4" s="68"/>
      <c r="M4" s="73" t="b">
        <v>1</v>
      </c>
      <c r="N4" s="68"/>
    </row>
    <row r="5" ht="23.25" customHeight="1">
      <c r="A5" s="68"/>
      <c r="B5" s="74" t="s">
        <v>76</v>
      </c>
      <c r="G5" s="68"/>
      <c r="H5" s="68"/>
      <c r="I5" s="71"/>
      <c r="J5" s="72" t="s">
        <v>77</v>
      </c>
      <c r="K5" s="68"/>
      <c r="L5" s="68"/>
      <c r="M5" s="73" t="b">
        <v>0</v>
      </c>
      <c r="N5" s="68"/>
    </row>
    <row r="6" ht="23.25" customHeight="1">
      <c r="A6" s="68"/>
      <c r="G6" s="68"/>
      <c r="H6" s="68"/>
      <c r="I6" s="71"/>
      <c r="J6" s="72" t="s">
        <v>78</v>
      </c>
      <c r="K6" s="68"/>
      <c r="L6" s="68"/>
      <c r="M6" s="73" t="b">
        <v>0</v>
      </c>
      <c r="N6" s="68"/>
    </row>
    <row r="7">
      <c r="A7" s="68"/>
      <c r="B7" s="68"/>
      <c r="C7" s="68"/>
      <c r="D7" s="68"/>
      <c r="E7" s="68"/>
      <c r="F7" s="68"/>
      <c r="G7" s="68"/>
      <c r="H7" s="68"/>
      <c r="I7" s="68"/>
      <c r="J7" s="72"/>
      <c r="K7" s="68"/>
      <c r="L7" s="68"/>
      <c r="M7" s="68"/>
      <c r="N7" s="68"/>
    </row>
    <row r="8">
      <c r="A8" s="68"/>
      <c r="B8" s="69" t="s">
        <v>79</v>
      </c>
      <c r="C8" s="68"/>
      <c r="D8" s="68"/>
      <c r="E8" s="68"/>
      <c r="F8" s="68"/>
      <c r="G8" s="68"/>
      <c r="H8" s="68"/>
      <c r="N8" s="68"/>
    </row>
    <row r="9">
      <c r="A9" s="68"/>
      <c r="B9" s="70" t="s">
        <v>80</v>
      </c>
      <c r="C9" s="68"/>
      <c r="D9" s="68"/>
      <c r="E9" s="68"/>
      <c r="F9" s="68"/>
      <c r="G9" s="68"/>
      <c r="H9" s="68"/>
      <c r="I9" s="68"/>
      <c r="J9" s="68"/>
      <c r="K9" s="68"/>
      <c r="L9" s="68"/>
      <c r="M9" s="68"/>
      <c r="N9" s="68"/>
    </row>
    <row r="10">
      <c r="A10" s="68"/>
      <c r="B10" s="68"/>
      <c r="C10" s="68"/>
      <c r="D10" s="68"/>
      <c r="E10" s="68"/>
      <c r="F10" s="68"/>
      <c r="G10" s="68"/>
      <c r="H10" s="68"/>
      <c r="I10" s="68"/>
      <c r="J10" s="68"/>
      <c r="K10" s="68"/>
      <c r="L10" s="68"/>
      <c r="M10" s="68"/>
      <c r="N10" s="68"/>
    </row>
    <row r="11" ht="13.5" customHeight="1">
      <c r="A11" s="68"/>
      <c r="B11" s="75" t="s">
        <v>81</v>
      </c>
      <c r="C11" s="68"/>
      <c r="D11" s="71"/>
      <c r="E11" s="76" t="s">
        <v>150</v>
      </c>
      <c r="F11" s="77"/>
      <c r="G11" s="78"/>
      <c r="H11" s="68"/>
      <c r="I11" s="68"/>
      <c r="J11" s="68"/>
      <c r="K11" s="68"/>
      <c r="L11" s="68"/>
      <c r="M11" s="68"/>
      <c r="N11" s="68"/>
    </row>
    <row r="12">
      <c r="A12" s="68"/>
      <c r="B12" s="68"/>
      <c r="C12" s="68"/>
      <c r="D12" s="68"/>
      <c r="E12" s="68"/>
      <c r="F12" s="68"/>
      <c r="G12" s="68"/>
      <c r="H12" s="68"/>
      <c r="I12" s="71"/>
      <c r="J12" s="72" t="s">
        <v>83</v>
      </c>
      <c r="K12" s="72"/>
      <c r="L12" s="72"/>
      <c r="M12" s="79" t="s">
        <v>84</v>
      </c>
      <c r="N12" s="68"/>
    </row>
    <row r="13">
      <c r="A13" s="68"/>
      <c r="B13" s="75" t="s">
        <v>85</v>
      </c>
      <c r="C13" s="68"/>
      <c r="D13" s="71"/>
      <c r="E13" s="76" t="s">
        <v>86</v>
      </c>
      <c r="F13" s="78"/>
      <c r="G13" s="80"/>
      <c r="H13" s="68"/>
      <c r="I13" s="71"/>
      <c r="J13" s="72" t="s">
        <v>87</v>
      </c>
      <c r="K13" s="72"/>
      <c r="L13" s="72"/>
      <c r="M13" s="79" t="s">
        <v>84</v>
      </c>
      <c r="N13" s="68"/>
    </row>
    <row r="14">
      <c r="A14" s="68"/>
      <c r="B14" s="68"/>
      <c r="C14" s="68"/>
      <c r="D14" s="68"/>
      <c r="E14" s="68"/>
      <c r="F14" s="68"/>
      <c r="G14" s="68"/>
      <c r="H14" s="68"/>
      <c r="I14" s="71"/>
      <c r="J14" s="72" t="s">
        <v>86</v>
      </c>
      <c r="K14" s="72"/>
      <c r="L14" s="72"/>
      <c r="M14" s="79" t="s">
        <v>84</v>
      </c>
      <c r="N14" s="68"/>
    </row>
    <row r="15" ht="52.5" customHeight="1">
      <c r="A15" s="68"/>
      <c r="B15" s="75" t="s">
        <v>88</v>
      </c>
      <c r="C15" s="68"/>
      <c r="D15" s="71"/>
      <c r="E15" s="81" t="s">
        <v>151</v>
      </c>
      <c r="F15" s="77"/>
      <c r="G15" s="78"/>
      <c r="H15" s="82"/>
      <c r="I15" s="82"/>
      <c r="J15" s="83"/>
      <c r="K15" s="83"/>
      <c r="L15" s="83"/>
      <c r="M15" s="83"/>
      <c r="N15" s="68"/>
    </row>
    <row r="16">
      <c r="A16" s="68"/>
      <c r="B16" s="68"/>
      <c r="C16" s="68"/>
      <c r="D16" s="68"/>
      <c r="E16" s="68"/>
      <c r="F16" s="68"/>
      <c r="G16" s="68"/>
      <c r="H16" s="68"/>
      <c r="I16" s="71"/>
      <c r="J16" s="72" t="s">
        <v>90</v>
      </c>
      <c r="K16" s="72"/>
      <c r="L16" s="72"/>
      <c r="M16" s="79" t="s">
        <v>84</v>
      </c>
      <c r="N16" s="68"/>
    </row>
    <row r="17">
      <c r="A17" s="68"/>
      <c r="B17" s="75" t="s">
        <v>91</v>
      </c>
      <c r="C17" s="68"/>
      <c r="D17" s="71"/>
      <c r="E17" s="76" t="s">
        <v>92</v>
      </c>
      <c r="F17" s="78"/>
      <c r="G17" s="80"/>
      <c r="H17" s="68"/>
      <c r="I17" s="71"/>
      <c r="J17" s="72" t="s">
        <v>92</v>
      </c>
      <c r="K17" s="72"/>
      <c r="L17" s="72"/>
      <c r="M17" s="79" t="s">
        <v>84</v>
      </c>
      <c r="N17" s="68"/>
    </row>
    <row r="18">
      <c r="A18" s="68"/>
      <c r="B18" s="84"/>
      <c r="C18" s="85"/>
      <c r="D18" s="85"/>
      <c r="E18" s="85"/>
      <c r="F18" s="68"/>
      <c r="G18" s="68"/>
      <c r="H18" s="68"/>
      <c r="I18" s="71"/>
      <c r="J18" s="86" t="s">
        <v>93</v>
      </c>
      <c r="K18" s="86"/>
      <c r="L18" s="86"/>
      <c r="M18" s="87" t="s">
        <v>84</v>
      </c>
      <c r="N18" s="68"/>
    </row>
    <row r="19" ht="29.25" customHeight="1">
      <c r="A19" s="68"/>
      <c r="B19" s="75" t="s">
        <v>94</v>
      </c>
      <c r="C19" s="68"/>
      <c r="D19" s="71"/>
      <c r="E19" s="81" t="s">
        <v>152</v>
      </c>
      <c r="F19" s="77"/>
      <c r="G19" s="78"/>
      <c r="H19" s="68"/>
      <c r="I19" s="68"/>
      <c r="J19" s="88" t="s">
        <v>96</v>
      </c>
      <c r="N19" s="68"/>
    </row>
    <row r="20">
      <c r="A20" s="68"/>
      <c r="B20" s="68"/>
      <c r="C20" s="68"/>
      <c r="D20" s="68"/>
      <c r="E20" s="68"/>
      <c r="F20" s="68"/>
      <c r="G20" s="68"/>
      <c r="H20" s="68"/>
      <c r="I20" s="71"/>
      <c r="J20" s="72" t="s">
        <v>97</v>
      </c>
      <c r="K20" s="72"/>
      <c r="L20" s="72"/>
      <c r="M20" s="79" t="s">
        <v>84</v>
      </c>
      <c r="N20" s="68"/>
    </row>
    <row r="21">
      <c r="A21" s="68"/>
      <c r="B21" s="75" t="s">
        <v>98</v>
      </c>
      <c r="C21" s="68"/>
      <c r="D21" s="71"/>
      <c r="E21" s="76" t="s">
        <v>99</v>
      </c>
      <c r="F21" s="78"/>
      <c r="G21" s="80"/>
      <c r="H21" s="68"/>
      <c r="I21" s="71"/>
      <c r="J21" s="72" t="s">
        <v>99</v>
      </c>
      <c r="K21" s="72"/>
      <c r="L21" s="72"/>
      <c r="M21" s="79" t="s">
        <v>84</v>
      </c>
      <c r="N21" s="68"/>
    </row>
    <row r="22">
      <c r="A22" s="68"/>
      <c r="B22" s="68"/>
      <c r="C22" s="68"/>
      <c r="D22" s="68"/>
      <c r="E22" s="68"/>
      <c r="F22" s="68"/>
      <c r="G22" s="68"/>
      <c r="H22" s="68"/>
      <c r="I22" s="71"/>
      <c r="J22" s="72" t="s">
        <v>100</v>
      </c>
      <c r="K22" s="72"/>
      <c r="L22" s="72"/>
      <c r="M22" s="79" t="s">
        <v>84</v>
      </c>
      <c r="N22" s="68"/>
    </row>
    <row r="23" ht="39.75" customHeight="1">
      <c r="A23" s="68"/>
      <c r="B23" s="75" t="s">
        <v>101</v>
      </c>
      <c r="C23" s="68"/>
      <c r="D23" s="71"/>
      <c r="E23" s="81" t="s">
        <v>153</v>
      </c>
      <c r="F23" s="77"/>
      <c r="G23" s="78"/>
      <c r="H23" s="68"/>
      <c r="I23" s="68"/>
      <c r="J23" s="68"/>
      <c r="K23" s="68"/>
      <c r="L23" s="68"/>
      <c r="M23" s="68"/>
      <c r="N23" s="68"/>
    </row>
    <row r="24">
      <c r="A24" s="68"/>
      <c r="B24" s="68"/>
      <c r="C24" s="68"/>
      <c r="D24" s="68"/>
      <c r="E24" s="68"/>
      <c r="F24" s="68"/>
      <c r="G24" s="68"/>
      <c r="H24" s="68"/>
      <c r="I24" s="68"/>
      <c r="J24" s="68"/>
      <c r="K24" s="68"/>
      <c r="L24" s="68"/>
      <c r="M24" s="68"/>
      <c r="N24" s="68"/>
    </row>
    <row r="25" ht="41.25" customHeight="1">
      <c r="A25" s="68"/>
      <c r="B25" s="75" t="s">
        <v>103</v>
      </c>
      <c r="C25" s="68"/>
      <c r="D25" s="71"/>
      <c r="E25" s="81" t="s">
        <v>154</v>
      </c>
      <c r="F25" s="77"/>
      <c r="G25" s="77"/>
      <c r="H25" s="77"/>
      <c r="I25" s="77"/>
      <c r="J25" s="77"/>
      <c r="K25" s="77"/>
      <c r="L25" s="78"/>
      <c r="M25" s="68"/>
      <c r="N25" s="68"/>
    </row>
    <row r="26">
      <c r="A26" s="68"/>
      <c r="B26" s="68"/>
      <c r="C26" s="68"/>
      <c r="D26" s="68"/>
      <c r="E26" s="68"/>
      <c r="F26" s="68"/>
      <c r="G26" s="68"/>
      <c r="H26" s="68"/>
      <c r="I26" s="68"/>
      <c r="J26" s="68"/>
      <c r="K26" s="68"/>
      <c r="L26" s="68"/>
      <c r="M26" s="68"/>
      <c r="N26" s="68"/>
    </row>
    <row r="27">
      <c r="A27" s="68"/>
      <c r="B27" s="75" t="s">
        <v>105</v>
      </c>
      <c r="C27" s="68"/>
      <c r="D27" s="71"/>
      <c r="E27" s="89" t="s">
        <v>106</v>
      </c>
      <c r="F27" s="90" t="s">
        <v>107</v>
      </c>
      <c r="G27" s="89" t="s">
        <v>108</v>
      </c>
      <c r="H27" s="91" t="s">
        <v>109</v>
      </c>
      <c r="I27" s="92"/>
      <c r="J27" s="84"/>
      <c r="K27" s="84"/>
      <c r="L27" s="80"/>
      <c r="M27" s="68"/>
      <c r="N27" s="68"/>
    </row>
    <row r="28">
      <c r="A28" s="68"/>
      <c r="B28" s="93" t="s">
        <v>71</v>
      </c>
      <c r="D28" s="71"/>
      <c r="E28" s="94" t="s">
        <v>155</v>
      </c>
      <c r="F28" s="95" t="s">
        <v>111</v>
      </c>
      <c r="G28" s="95" t="s">
        <v>112</v>
      </c>
      <c r="H28" s="96"/>
      <c r="I28" s="78"/>
      <c r="J28" s="84"/>
      <c r="K28" s="71"/>
      <c r="L28" s="72" t="s">
        <v>37</v>
      </c>
      <c r="M28" s="79" t="s">
        <v>84</v>
      </c>
      <c r="N28" s="68"/>
    </row>
    <row r="29">
      <c r="A29" s="68"/>
      <c r="D29" s="71"/>
      <c r="E29" s="94"/>
      <c r="F29" s="95"/>
      <c r="G29" s="95"/>
      <c r="H29" s="96"/>
      <c r="I29" s="78"/>
      <c r="J29" s="84"/>
      <c r="K29" s="71"/>
      <c r="L29" s="72" t="s">
        <v>115</v>
      </c>
      <c r="M29" s="68"/>
      <c r="N29" s="68"/>
    </row>
    <row r="30">
      <c r="A30" s="68"/>
      <c r="B30" s="68"/>
      <c r="C30" s="68"/>
      <c r="D30" s="71"/>
      <c r="E30" s="94"/>
      <c r="F30" s="95"/>
      <c r="G30" s="95"/>
      <c r="H30" s="96"/>
      <c r="I30" s="78"/>
      <c r="J30" s="84"/>
      <c r="K30" s="71"/>
      <c r="L30" s="72" t="s">
        <v>112</v>
      </c>
      <c r="M30" s="68"/>
      <c r="N30" s="68"/>
    </row>
    <row r="31">
      <c r="A31" s="68"/>
      <c r="B31" s="68"/>
      <c r="C31" s="68"/>
      <c r="D31" s="71"/>
      <c r="E31" s="94"/>
      <c r="F31" s="95"/>
      <c r="G31" s="95"/>
      <c r="H31" s="96"/>
      <c r="I31" s="78"/>
      <c r="J31" s="84"/>
      <c r="K31" s="71"/>
      <c r="L31" s="72" t="s">
        <v>41</v>
      </c>
      <c r="M31" s="68"/>
      <c r="N31" s="68"/>
    </row>
    <row r="32">
      <c r="A32" s="68"/>
      <c r="B32" s="68"/>
      <c r="C32" s="68"/>
      <c r="D32" s="71"/>
      <c r="E32" s="94"/>
      <c r="F32" s="95"/>
      <c r="G32" s="95"/>
      <c r="H32" s="96"/>
      <c r="I32" s="78"/>
      <c r="J32" s="68"/>
      <c r="K32" s="71"/>
      <c r="L32" s="72" t="s">
        <v>42</v>
      </c>
      <c r="M32" s="68"/>
      <c r="N32" s="68"/>
    </row>
    <row r="33">
      <c r="A33" s="68"/>
      <c r="B33" s="68"/>
      <c r="C33" s="68"/>
      <c r="D33" s="71"/>
      <c r="E33" s="94"/>
      <c r="F33" s="95"/>
      <c r="G33" s="95"/>
      <c r="H33" s="96"/>
      <c r="I33" s="78"/>
      <c r="J33" s="68"/>
      <c r="K33" s="68"/>
      <c r="L33" s="68"/>
      <c r="M33" s="68"/>
      <c r="N33" s="68"/>
    </row>
    <row r="34">
      <c r="A34" s="68"/>
      <c r="B34" s="75"/>
      <c r="C34" s="68"/>
      <c r="D34" s="68"/>
      <c r="E34" s="68"/>
      <c r="F34" s="68"/>
      <c r="G34" s="68"/>
      <c r="H34" s="68"/>
      <c r="I34" s="68"/>
      <c r="J34" s="68"/>
      <c r="K34" s="68"/>
      <c r="L34" s="68"/>
      <c r="M34" s="68"/>
      <c r="N34" s="68"/>
    </row>
    <row r="35">
      <c r="A35" s="68"/>
      <c r="B35" s="75" t="s">
        <v>118</v>
      </c>
      <c r="C35" s="68"/>
      <c r="D35" s="68"/>
      <c r="E35" s="68"/>
      <c r="F35" s="68"/>
      <c r="G35" s="68"/>
      <c r="H35" s="68"/>
      <c r="I35" s="68"/>
      <c r="J35" s="68"/>
      <c r="K35" s="68"/>
      <c r="L35" s="68"/>
      <c r="M35" s="68"/>
      <c r="N35" s="68"/>
    </row>
    <row r="36">
      <c r="A36" s="68"/>
      <c r="B36" s="72" t="s">
        <v>119</v>
      </c>
      <c r="C36" s="68"/>
      <c r="D36" s="68"/>
      <c r="E36" s="68"/>
      <c r="F36" s="68"/>
      <c r="G36" s="68"/>
      <c r="H36" s="68"/>
      <c r="I36" s="68"/>
      <c r="J36" s="68"/>
      <c r="K36" s="68"/>
      <c r="L36" s="68"/>
      <c r="M36" s="68"/>
      <c r="N36" s="68"/>
    </row>
    <row r="37">
      <c r="A37" s="68"/>
      <c r="B37" s="68"/>
      <c r="C37" s="68"/>
      <c r="D37" s="68"/>
      <c r="E37" s="68"/>
      <c r="F37" s="68"/>
      <c r="G37" s="68"/>
      <c r="H37" s="68"/>
      <c r="I37" s="68"/>
      <c r="J37" s="68"/>
      <c r="K37" s="68"/>
      <c r="L37" s="68"/>
      <c r="M37" s="68"/>
      <c r="N37" s="68"/>
    </row>
    <row r="38">
      <c r="A38" s="68"/>
      <c r="B38" s="68"/>
      <c r="C38" s="68"/>
      <c r="D38" s="68"/>
      <c r="E38" s="68"/>
      <c r="F38" s="68"/>
      <c r="G38" s="68"/>
      <c r="H38" s="68"/>
      <c r="I38" s="68"/>
      <c r="J38" s="68"/>
      <c r="K38" s="68"/>
      <c r="L38" s="68"/>
      <c r="M38" s="68"/>
      <c r="N38" s="68"/>
    </row>
    <row r="39">
      <c r="A39" s="68"/>
      <c r="B39" s="68"/>
      <c r="C39" s="68"/>
      <c r="D39" s="68"/>
      <c r="E39" s="68"/>
      <c r="F39" s="68"/>
      <c r="G39" s="68"/>
      <c r="H39" s="68"/>
      <c r="I39" s="68"/>
      <c r="J39" s="68"/>
      <c r="K39" s="68"/>
      <c r="L39" s="68"/>
      <c r="M39" s="68"/>
      <c r="N39" s="68"/>
    </row>
    <row r="40">
      <c r="A40" s="68"/>
      <c r="B40" s="68"/>
      <c r="C40" s="68"/>
      <c r="D40" s="68"/>
      <c r="E40" s="68"/>
      <c r="F40" s="68"/>
      <c r="G40" s="68"/>
      <c r="H40" s="68"/>
      <c r="I40" s="68"/>
      <c r="J40" s="68"/>
      <c r="K40" s="68"/>
      <c r="L40" s="68"/>
      <c r="M40" s="68"/>
      <c r="N40" s="68"/>
    </row>
    <row r="41">
      <c r="A41" s="68"/>
      <c r="B41" s="68"/>
      <c r="C41" s="68"/>
      <c r="D41" s="68"/>
      <c r="E41" s="68"/>
      <c r="F41" s="68"/>
      <c r="G41" s="68"/>
      <c r="H41" s="68"/>
      <c r="I41" s="68"/>
      <c r="J41" s="68"/>
      <c r="K41" s="68"/>
      <c r="L41" s="68"/>
      <c r="M41" s="68"/>
      <c r="N41" s="68"/>
    </row>
    <row r="42">
      <c r="A42" s="68"/>
      <c r="B42" s="68"/>
      <c r="C42" s="68"/>
      <c r="D42" s="68"/>
      <c r="E42" s="68"/>
      <c r="F42" s="68"/>
      <c r="G42" s="68"/>
      <c r="H42" s="68"/>
      <c r="I42" s="68"/>
      <c r="J42" s="68"/>
      <c r="K42" s="68"/>
      <c r="L42" s="68"/>
      <c r="M42" s="68"/>
      <c r="N42" s="68"/>
    </row>
    <row r="43">
      <c r="A43" s="68"/>
      <c r="B43" s="68"/>
      <c r="C43" s="68"/>
      <c r="D43" s="68"/>
      <c r="E43" s="68"/>
      <c r="F43" s="68"/>
      <c r="G43" s="68"/>
      <c r="H43" s="68"/>
      <c r="I43" s="68"/>
      <c r="J43" s="68"/>
      <c r="K43" s="68"/>
      <c r="L43" s="68"/>
      <c r="M43" s="68"/>
      <c r="N43" s="68"/>
    </row>
    <row r="44">
      <c r="A44" s="68"/>
      <c r="B44" s="68"/>
      <c r="C44" s="68"/>
      <c r="D44" s="68"/>
      <c r="E44" s="68"/>
      <c r="F44" s="68"/>
      <c r="G44" s="68"/>
      <c r="H44" s="68"/>
      <c r="I44" s="68"/>
      <c r="J44" s="68"/>
      <c r="K44" s="68"/>
      <c r="L44" s="68"/>
      <c r="M44" s="68"/>
      <c r="N44" s="68"/>
    </row>
    <row r="45">
      <c r="A45" s="68"/>
      <c r="B45" s="68"/>
      <c r="C45" s="68"/>
      <c r="D45" s="68"/>
      <c r="E45" s="68"/>
      <c r="F45" s="68"/>
      <c r="G45" s="68"/>
      <c r="H45" s="68"/>
      <c r="I45" s="68"/>
      <c r="J45" s="68"/>
      <c r="K45" s="68"/>
      <c r="L45" s="68"/>
      <c r="M45" s="68"/>
      <c r="N45" s="68"/>
    </row>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8">
    <mergeCell ref="B5:F6"/>
    <mergeCell ref="E11:G11"/>
    <mergeCell ref="E13:F13"/>
    <mergeCell ref="E15:G15"/>
    <mergeCell ref="E17:F17"/>
    <mergeCell ref="E19:G19"/>
    <mergeCell ref="J19:M19"/>
    <mergeCell ref="H30:I30"/>
    <mergeCell ref="H31:I31"/>
    <mergeCell ref="H32:I32"/>
    <mergeCell ref="H33:I33"/>
    <mergeCell ref="E21:F21"/>
    <mergeCell ref="E23:G23"/>
    <mergeCell ref="E25:L25"/>
    <mergeCell ref="H27:I27"/>
    <mergeCell ref="B28:C29"/>
    <mergeCell ref="H28:I28"/>
    <mergeCell ref="H29:I29"/>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 type="list" allowBlank="1" showInputMessage="1" prompt="Clique e insira um valor de intervalo" sqref="G28:G33">
      <formula1>$L$28:$L$32</formula1>
    </dataValidation>
  </dataValidations>
  <printOptions/>
  <pageMargins bottom="0.787401575" footer="0.0" header="0.0" left="0.511811024" right="0.511811024" top="0.7874015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75"/>
  <cols>
    <col customWidth="1" min="1" max="1" width="2.25"/>
    <col customWidth="1" min="2" max="2" width="14.38"/>
    <col customWidth="1" min="3" max="3" width="7.25"/>
    <col customWidth="1" min="4" max="4" width="2.25"/>
    <col customWidth="1" min="5" max="5" width="21.63"/>
    <col customWidth="1" min="6" max="7" width="14.38"/>
    <col customWidth="1" min="8" max="9" width="2.25"/>
    <col customWidth="1" min="10" max="10" width="7.25"/>
    <col customWidth="1" min="11" max="11" width="2.25"/>
    <col customWidth="1" min="12" max="12" width="14.38"/>
    <col customWidth="1" min="13" max="13" width="3.0"/>
    <col customWidth="1" min="14" max="14" width="3.13"/>
    <col customWidth="1" min="15" max="53" width="14.38"/>
  </cols>
  <sheetData>
    <row r="1" ht="11.25" customHeight="1">
      <c r="A1" s="68"/>
      <c r="B1" s="68"/>
      <c r="C1" s="68"/>
      <c r="D1" s="68"/>
      <c r="E1" s="68"/>
      <c r="F1" s="68"/>
      <c r="G1" s="68"/>
      <c r="H1" s="68"/>
      <c r="I1" s="68"/>
      <c r="J1" s="68"/>
      <c r="K1" s="68"/>
      <c r="L1" s="68"/>
      <c r="M1" s="68"/>
      <c r="N1" s="68"/>
    </row>
    <row r="2">
      <c r="A2" s="68"/>
      <c r="B2" s="69" t="s">
        <v>72</v>
      </c>
      <c r="C2" s="68"/>
      <c r="D2" s="68"/>
      <c r="E2" s="68"/>
      <c r="F2" s="68"/>
      <c r="G2" s="68"/>
      <c r="H2" s="68"/>
      <c r="I2" s="68"/>
      <c r="J2" s="68"/>
      <c r="K2" s="68"/>
      <c r="L2" s="68"/>
      <c r="M2" s="68"/>
      <c r="N2" s="68"/>
    </row>
    <row r="3">
      <c r="A3" s="68"/>
      <c r="B3" s="70" t="s">
        <v>73</v>
      </c>
      <c r="C3" s="68"/>
      <c r="D3" s="68"/>
      <c r="E3" s="68"/>
      <c r="F3" s="68"/>
      <c r="G3" s="68"/>
      <c r="N3" s="68"/>
    </row>
    <row r="4">
      <c r="A4" s="68"/>
      <c r="B4" s="67" t="s">
        <v>156</v>
      </c>
      <c r="C4" s="68"/>
      <c r="D4" s="68"/>
      <c r="E4" s="68"/>
      <c r="F4" s="68"/>
      <c r="G4" s="68"/>
      <c r="H4" s="68"/>
      <c r="I4" s="71"/>
      <c r="J4" s="72" t="s">
        <v>75</v>
      </c>
      <c r="K4" s="68"/>
      <c r="L4" s="68"/>
      <c r="M4" s="73" t="b">
        <v>1</v>
      </c>
      <c r="N4" s="68"/>
    </row>
    <row r="5" ht="23.25" customHeight="1">
      <c r="A5" s="68"/>
      <c r="B5" s="74" t="s">
        <v>76</v>
      </c>
      <c r="G5" s="68"/>
      <c r="H5" s="68"/>
      <c r="I5" s="71"/>
      <c r="J5" s="72" t="s">
        <v>77</v>
      </c>
      <c r="K5" s="68"/>
      <c r="L5" s="68"/>
      <c r="M5" s="73" t="b">
        <v>0</v>
      </c>
      <c r="N5" s="68"/>
    </row>
    <row r="6" ht="23.25" customHeight="1">
      <c r="A6" s="68"/>
      <c r="G6" s="68"/>
      <c r="H6" s="68"/>
      <c r="I6" s="71"/>
      <c r="J6" s="72" t="s">
        <v>78</v>
      </c>
      <c r="K6" s="68"/>
      <c r="L6" s="68"/>
      <c r="M6" s="73" t="b">
        <v>0</v>
      </c>
      <c r="N6" s="68"/>
    </row>
    <row r="7">
      <c r="A7" s="68"/>
      <c r="B7" s="68"/>
      <c r="C7" s="68"/>
      <c r="D7" s="68"/>
      <c r="E7" s="68"/>
      <c r="F7" s="68"/>
      <c r="G7" s="68"/>
      <c r="H7" s="68"/>
      <c r="I7" s="68"/>
      <c r="J7" s="72"/>
      <c r="K7" s="68"/>
      <c r="L7" s="68"/>
      <c r="M7" s="68"/>
      <c r="N7" s="68"/>
    </row>
    <row r="8">
      <c r="A8" s="68"/>
      <c r="B8" s="69" t="s">
        <v>79</v>
      </c>
      <c r="C8" s="68"/>
      <c r="D8" s="68"/>
      <c r="E8" s="68"/>
      <c r="F8" s="68"/>
      <c r="G8" s="68"/>
      <c r="H8" s="68"/>
      <c r="N8" s="68"/>
    </row>
    <row r="9">
      <c r="A9" s="68"/>
      <c r="B9" s="70" t="s">
        <v>80</v>
      </c>
      <c r="C9" s="68"/>
      <c r="D9" s="68"/>
      <c r="E9" s="68"/>
      <c r="F9" s="68"/>
      <c r="G9" s="68"/>
      <c r="H9" s="68"/>
      <c r="I9" s="68"/>
      <c r="J9" s="68"/>
      <c r="K9" s="68"/>
      <c r="L9" s="68"/>
      <c r="M9" s="68"/>
      <c r="N9" s="68"/>
    </row>
    <row r="10">
      <c r="A10" s="68"/>
      <c r="B10" s="68"/>
      <c r="C10" s="68"/>
      <c r="D10" s="68"/>
      <c r="E10" s="68"/>
      <c r="F10" s="68"/>
      <c r="G10" s="68"/>
      <c r="H10" s="68"/>
      <c r="I10" s="68"/>
      <c r="J10" s="68"/>
      <c r="K10" s="68"/>
      <c r="L10" s="68"/>
      <c r="M10" s="68"/>
      <c r="N10" s="68"/>
    </row>
    <row r="11" ht="13.5" customHeight="1">
      <c r="A11" s="68"/>
      <c r="B11" s="75" t="s">
        <v>81</v>
      </c>
      <c r="C11" s="68"/>
      <c r="D11" s="71"/>
      <c r="E11" s="76" t="s">
        <v>157</v>
      </c>
      <c r="F11" s="77"/>
      <c r="G11" s="78"/>
      <c r="H11" s="68"/>
      <c r="I11" s="68"/>
      <c r="J11" s="68"/>
      <c r="K11" s="68"/>
      <c r="L11" s="68"/>
      <c r="M11" s="68"/>
      <c r="N11" s="68"/>
    </row>
    <row r="12">
      <c r="A12" s="68"/>
      <c r="B12" s="68"/>
      <c r="C12" s="68"/>
      <c r="D12" s="68"/>
      <c r="E12" s="68"/>
      <c r="F12" s="68"/>
      <c r="G12" s="68"/>
      <c r="H12" s="68"/>
      <c r="I12" s="71"/>
      <c r="J12" s="72" t="s">
        <v>83</v>
      </c>
      <c r="K12" s="72"/>
      <c r="L12" s="72"/>
      <c r="M12" s="79" t="s">
        <v>84</v>
      </c>
      <c r="N12" s="68"/>
    </row>
    <row r="13">
      <c r="A13" s="68"/>
      <c r="B13" s="75" t="s">
        <v>85</v>
      </c>
      <c r="C13" s="68"/>
      <c r="D13" s="71"/>
      <c r="E13" s="76" t="s">
        <v>86</v>
      </c>
      <c r="F13" s="78"/>
      <c r="G13" s="80"/>
      <c r="H13" s="68"/>
      <c r="I13" s="71"/>
      <c r="J13" s="72" t="s">
        <v>87</v>
      </c>
      <c r="K13" s="72"/>
      <c r="L13" s="72"/>
      <c r="M13" s="79" t="s">
        <v>84</v>
      </c>
      <c r="N13" s="68"/>
    </row>
    <row r="14">
      <c r="A14" s="68"/>
      <c r="B14" s="68"/>
      <c r="C14" s="68"/>
      <c r="D14" s="68"/>
      <c r="E14" s="68"/>
      <c r="F14" s="68"/>
      <c r="G14" s="68"/>
      <c r="H14" s="68"/>
      <c r="I14" s="71"/>
      <c r="J14" s="72" t="s">
        <v>86</v>
      </c>
      <c r="K14" s="72"/>
      <c r="L14" s="72"/>
      <c r="M14" s="79" t="s">
        <v>84</v>
      </c>
      <c r="N14" s="68"/>
    </row>
    <row r="15">
      <c r="A15" s="68"/>
      <c r="B15" s="75" t="s">
        <v>88</v>
      </c>
      <c r="C15" s="68"/>
      <c r="D15" s="71"/>
      <c r="E15" s="81" t="s">
        <v>158</v>
      </c>
      <c r="F15" s="77"/>
      <c r="G15" s="78"/>
      <c r="H15" s="82"/>
      <c r="I15" s="82"/>
      <c r="J15" s="83"/>
      <c r="K15" s="83"/>
      <c r="L15" s="83"/>
      <c r="M15" s="83"/>
      <c r="N15" s="68"/>
    </row>
    <row r="16">
      <c r="A16" s="68"/>
      <c r="B16" s="68"/>
      <c r="C16" s="68"/>
      <c r="D16" s="68"/>
      <c r="E16" s="68"/>
      <c r="F16" s="68"/>
      <c r="G16" s="68"/>
      <c r="H16" s="68"/>
      <c r="I16" s="71"/>
      <c r="J16" s="72" t="s">
        <v>90</v>
      </c>
      <c r="K16" s="72"/>
      <c r="L16" s="72"/>
      <c r="M16" s="79" t="s">
        <v>84</v>
      </c>
      <c r="N16" s="68"/>
    </row>
    <row r="17">
      <c r="A17" s="68"/>
      <c r="B17" s="75" t="s">
        <v>91</v>
      </c>
      <c r="C17" s="68"/>
      <c r="D17" s="71"/>
      <c r="E17" s="76" t="s">
        <v>90</v>
      </c>
      <c r="F17" s="78"/>
      <c r="G17" s="80"/>
      <c r="H17" s="68"/>
      <c r="I17" s="71"/>
      <c r="J17" s="72" t="s">
        <v>92</v>
      </c>
      <c r="K17" s="72"/>
      <c r="L17" s="72"/>
      <c r="M17" s="79" t="s">
        <v>84</v>
      </c>
      <c r="N17" s="68"/>
    </row>
    <row r="18">
      <c r="A18" s="68"/>
      <c r="B18" s="84"/>
      <c r="C18" s="85"/>
      <c r="D18" s="85"/>
      <c r="E18" s="85"/>
      <c r="F18" s="68"/>
      <c r="G18" s="68"/>
      <c r="H18" s="68"/>
      <c r="I18" s="71"/>
      <c r="J18" s="86" t="s">
        <v>93</v>
      </c>
      <c r="K18" s="86"/>
      <c r="L18" s="86"/>
      <c r="M18" s="87" t="s">
        <v>84</v>
      </c>
      <c r="N18" s="68"/>
    </row>
    <row r="19">
      <c r="A19" s="68"/>
      <c r="B19" s="75" t="s">
        <v>94</v>
      </c>
      <c r="C19" s="68"/>
      <c r="D19" s="71"/>
      <c r="E19" s="81" t="s">
        <v>159</v>
      </c>
      <c r="F19" s="77"/>
      <c r="G19" s="78"/>
      <c r="H19" s="68"/>
      <c r="I19" s="68"/>
      <c r="J19" s="88" t="s">
        <v>96</v>
      </c>
      <c r="N19" s="68"/>
    </row>
    <row r="20">
      <c r="A20" s="68"/>
      <c r="B20" s="68"/>
      <c r="C20" s="68"/>
      <c r="D20" s="68"/>
      <c r="E20" s="68"/>
      <c r="F20" s="68"/>
      <c r="G20" s="68"/>
      <c r="H20" s="68"/>
      <c r="I20" s="71"/>
      <c r="J20" s="72" t="s">
        <v>97</v>
      </c>
      <c r="K20" s="72"/>
      <c r="L20" s="72"/>
      <c r="M20" s="79" t="s">
        <v>84</v>
      </c>
      <c r="N20" s="68"/>
    </row>
    <row r="21">
      <c r="A21" s="68"/>
      <c r="B21" s="75" t="s">
        <v>98</v>
      </c>
      <c r="C21" s="68"/>
      <c r="D21" s="71"/>
      <c r="E21" s="76" t="s">
        <v>97</v>
      </c>
      <c r="F21" s="78"/>
      <c r="G21" s="80"/>
      <c r="H21" s="68"/>
      <c r="I21" s="71"/>
      <c r="J21" s="72" t="s">
        <v>99</v>
      </c>
      <c r="K21" s="72"/>
      <c r="L21" s="72"/>
      <c r="M21" s="79" t="s">
        <v>84</v>
      </c>
      <c r="N21" s="68"/>
    </row>
    <row r="22">
      <c r="A22" s="68"/>
      <c r="B22" s="68"/>
      <c r="C22" s="68"/>
      <c r="D22" s="68"/>
      <c r="E22" s="68"/>
      <c r="F22" s="68"/>
      <c r="G22" s="68"/>
      <c r="H22" s="68"/>
      <c r="I22" s="71"/>
      <c r="J22" s="72" t="s">
        <v>100</v>
      </c>
      <c r="K22" s="72"/>
      <c r="L22" s="72"/>
      <c r="M22" s="79" t="s">
        <v>84</v>
      </c>
      <c r="N22" s="68"/>
    </row>
    <row r="23">
      <c r="A23" s="68"/>
      <c r="B23" s="75" t="s">
        <v>101</v>
      </c>
      <c r="C23" s="68"/>
      <c r="D23" s="71"/>
      <c r="E23" s="81" t="s">
        <v>160</v>
      </c>
      <c r="F23" s="77"/>
      <c r="G23" s="78"/>
      <c r="H23" s="68"/>
      <c r="I23" s="68"/>
      <c r="J23" s="68"/>
      <c r="K23" s="68"/>
      <c r="L23" s="68"/>
      <c r="M23" s="68"/>
      <c r="N23" s="68"/>
    </row>
    <row r="24">
      <c r="A24" s="68"/>
      <c r="B24" s="68"/>
      <c r="C24" s="68"/>
      <c r="D24" s="68"/>
      <c r="E24" s="68"/>
      <c r="F24" s="68"/>
      <c r="G24" s="68"/>
      <c r="H24" s="68"/>
      <c r="I24" s="68"/>
      <c r="J24" s="68"/>
      <c r="K24" s="68"/>
      <c r="L24" s="68"/>
      <c r="M24" s="68"/>
      <c r="N24" s="68"/>
    </row>
    <row r="25" ht="41.25" customHeight="1">
      <c r="A25" s="68"/>
      <c r="B25" s="75" t="s">
        <v>103</v>
      </c>
      <c r="C25" s="68"/>
      <c r="D25" s="71"/>
      <c r="E25" s="81" t="s">
        <v>161</v>
      </c>
      <c r="F25" s="77"/>
      <c r="G25" s="77"/>
      <c r="H25" s="77"/>
      <c r="I25" s="77"/>
      <c r="J25" s="77"/>
      <c r="K25" s="77"/>
      <c r="L25" s="78"/>
      <c r="M25" s="68"/>
      <c r="N25" s="68"/>
    </row>
    <row r="26">
      <c r="A26" s="68"/>
      <c r="B26" s="68"/>
      <c r="C26" s="68"/>
      <c r="D26" s="68"/>
      <c r="E26" s="68"/>
      <c r="F26" s="68"/>
      <c r="G26" s="68"/>
      <c r="H26" s="68"/>
      <c r="I26" s="68"/>
      <c r="J26" s="68"/>
      <c r="K26" s="68"/>
      <c r="L26" s="68"/>
      <c r="M26" s="68"/>
      <c r="N26" s="68"/>
    </row>
    <row r="27">
      <c r="A27" s="68"/>
      <c r="B27" s="75" t="s">
        <v>105</v>
      </c>
      <c r="C27" s="68"/>
      <c r="D27" s="71"/>
      <c r="E27" s="89" t="s">
        <v>106</v>
      </c>
      <c r="F27" s="90" t="s">
        <v>107</v>
      </c>
      <c r="G27" s="89" t="s">
        <v>108</v>
      </c>
      <c r="H27" s="91" t="s">
        <v>109</v>
      </c>
      <c r="I27" s="92"/>
      <c r="J27" s="84"/>
      <c r="K27" s="84"/>
      <c r="L27" s="80"/>
      <c r="M27" s="68"/>
      <c r="N27" s="68"/>
    </row>
    <row r="28">
      <c r="A28" s="68"/>
      <c r="B28" s="93" t="s">
        <v>71</v>
      </c>
      <c r="D28" s="71"/>
      <c r="E28" s="94" t="s">
        <v>144</v>
      </c>
      <c r="F28" s="95" t="s">
        <v>162</v>
      </c>
      <c r="G28" s="95" t="s">
        <v>41</v>
      </c>
      <c r="H28" s="96"/>
      <c r="I28" s="78"/>
      <c r="J28" s="84"/>
      <c r="K28" s="71"/>
      <c r="L28" s="72" t="s">
        <v>37</v>
      </c>
      <c r="M28" s="79" t="s">
        <v>84</v>
      </c>
      <c r="N28" s="68"/>
    </row>
    <row r="29">
      <c r="A29" s="68"/>
      <c r="D29" s="71"/>
      <c r="E29" s="94" t="s">
        <v>163</v>
      </c>
      <c r="F29" s="95" t="s">
        <v>111</v>
      </c>
      <c r="G29" s="95" t="s">
        <v>42</v>
      </c>
      <c r="H29" s="96"/>
      <c r="I29" s="78"/>
      <c r="J29" s="84"/>
      <c r="K29" s="71"/>
      <c r="L29" s="72" t="s">
        <v>115</v>
      </c>
      <c r="M29" s="68"/>
      <c r="N29" s="68"/>
    </row>
    <row r="30">
      <c r="A30" s="68"/>
      <c r="B30" s="68"/>
      <c r="C30" s="68"/>
      <c r="D30" s="71"/>
      <c r="E30" s="94" t="s">
        <v>146</v>
      </c>
      <c r="F30" s="97" t="s">
        <v>147</v>
      </c>
      <c r="G30" s="95" t="s">
        <v>41</v>
      </c>
      <c r="H30" s="96"/>
      <c r="I30" s="78"/>
      <c r="J30" s="84"/>
      <c r="K30" s="71"/>
      <c r="L30" s="72" t="s">
        <v>112</v>
      </c>
      <c r="M30" s="68"/>
      <c r="N30" s="68"/>
    </row>
    <row r="31">
      <c r="A31" s="68"/>
      <c r="B31" s="68"/>
      <c r="C31" s="68"/>
      <c r="D31" s="71"/>
      <c r="E31" s="94" t="s">
        <v>129</v>
      </c>
      <c r="F31" s="95" t="s">
        <v>164</v>
      </c>
      <c r="G31" s="95" t="s">
        <v>41</v>
      </c>
      <c r="H31" s="96"/>
      <c r="I31" s="78"/>
      <c r="J31" s="84"/>
      <c r="K31" s="71"/>
      <c r="L31" s="72" t="s">
        <v>41</v>
      </c>
      <c r="M31" s="68"/>
      <c r="N31" s="68"/>
    </row>
    <row r="32">
      <c r="A32" s="68"/>
      <c r="B32" s="68"/>
      <c r="C32" s="68"/>
      <c r="D32" s="71"/>
      <c r="E32" s="94" t="s">
        <v>113</v>
      </c>
      <c r="F32" s="95" t="s">
        <v>114</v>
      </c>
      <c r="G32" s="95" t="s">
        <v>112</v>
      </c>
      <c r="H32" s="96"/>
      <c r="I32" s="78"/>
      <c r="J32" s="68"/>
      <c r="K32" s="71"/>
      <c r="L32" s="72" t="s">
        <v>42</v>
      </c>
      <c r="M32" s="68"/>
      <c r="N32" s="68"/>
    </row>
    <row r="33">
      <c r="A33" s="68"/>
      <c r="B33" s="68"/>
      <c r="C33" s="68"/>
      <c r="D33" s="71"/>
      <c r="E33" s="94" t="s">
        <v>128</v>
      </c>
      <c r="F33" s="95" t="s">
        <v>111</v>
      </c>
      <c r="G33" s="95" t="s">
        <v>112</v>
      </c>
      <c r="H33" s="96"/>
      <c r="I33" s="78"/>
      <c r="J33" s="68"/>
      <c r="K33" s="68"/>
      <c r="L33" s="68"/>
      <c r="M33" s="68"/>
      <c r="N33" s="68"/>
    </row>
    <row r="34">
      <c r="A34" s="68"/>
      <c r="B34" s="75"/>
      <c r="C34" s="68"/>
      <c r="D34" s="68"/>
      <c r="E34" s="68"/>
      <c r="F34" s="68"/>
      <c r="G34" s="68"/>
      <c r="H34" s="68"/>
      <c r="I34" s="68"/>
      <c r="J34" s="68"/>
      <c r="K34" s="68"/>
      <c r="L34" s="68"/>
      <c r="M34" s="68"/>
      <c r="N34" s="68"/>
    </row>
    <row r="35">
      <c r="A35" s="68"/>
      <c r="B35" s="75" t="s">
        <v>118</v>
      </c>
      <c r="C35" s="68"/>
      <c r="D35" s="68"/>
      <c r="E35" s="68"/>
      <c r="F35" s="68"/>
      <c r="G35" s="68"/>
      <c r="H35" s="68"/>
      <c r="I35" s="68"/>
      <c r="J35" s="68"/>
      <c r="K35" s="68"/>
      <c r="L35" s="68"/>
      <c r="M35" s="68"/>
      <c r="N35" s="68"/>
    </row>
    <row r="36">
      <c r="A36" s="68"/>
      <c r="B36" s="72" t="s">
        <v>119</v>
      </c>
      <c r="C36" s="68"/>
      <c r="D36" s="68"/>
      <c r="E36" s="68"/>
      <c r="F36" s="68"/>
      <c r="G36" s="68"/>
      <c r="H36" s="68"/>
      <c r="I36" s="68"/>
      <c r="J36" s="68"/>
      <c r="K36" s="68"/>
      <c r="L36" s="68"/>
      <c r="M36" s="68"/>
      <c r="N36" s="68"/>
    </row>
    <row r="37">
      <c r="A37" s="68"/>
      <c r="B37" s="68"/>
      <c r="C37" s="68"/>
      <c r="D37" s="68"/>
      <c r="E37" s="68"/>
      <c r="F37" s="68"/>
      <c r="G37" s="68"/>
      <c r="H37" s="68"/>
      <c r="I37" s="68"/>
      <c r="J37" s="68"/>
      <c r="K37" s="68"/>
      <c r="L37" s="68"/>
      <c r="M37" s="68"/>
      <c r="N37" s="68"/>
    </row>
    <row r="38">
      <c r="A38" s="68"/>
      <c r="B38" s="68"/>
      <c r="C38" s="68"/>
      <c r="D38" s="68"/>
      <c r="E38" s="68"/>
      <c r="F38" s="68"/>
      <c r="G38" s="68"/>
      <c r="H38" s="68"/>
      <c r="I38" s="68"/>
      <c r="J38" s="68"/>
      <c r="K38" s="68"/>
      <c r="L38" s="68"/>
      <c r="M38" s="68"/>
      <c r="N38" s="68"/>
    </row>
    <row r="39">
      <c r="A39" s="68"/>
      <c r="B39" s="68"/>
      <c r="C39" s="68"/>
      <c r="D39" s="68"/>
      <c r="E39" s="68"/>
      <c r="F39" s="68"/>
      <c r="G39" s="68"/>
      <c r="H39" s="68"/>
      <c r="I39" s="68"/>
      <c r="J39" s="68"/>
      <c r="K39" s="68"/>
      <c r="L39" s="68"/>
      <c r="M39" s="68"/>
      <c r="N39" s="68"/>
    </row>
    <row r="40">
      <c r="A40" s="68"/>
      <c r="B40" s="68"/>
      <c r="C40" s="68"/>
      <c r="D40" s="68"/>
      <c r="E40" s="68"/>
      <c r="F40" s="68"/>
      <c r="G40" s="68"/>
      <c r="H40" s="68"/>
      <c r="I40" s="68"/>
      <c r="J40" s="68"/>
      <c r="K40" s="68"/>
      <c r="L40" s="68"/>
      <c r="M40" s="68"/>
      <c r="N40" s="68"/>
    </row>
    <row r="41">
      <c r="A41" s="68"/>
      <c r="B41" s="68"/>
      <c r="C41" s="68"/>
      <c r="D41" s="68"/>
      <c r="E41" s="68"/>
      <c r="F41" s="68"/>
      <c r="G41" s="68"/>
      <c r="H41" s="68"/>
      <c r="I41" s="68"/>
      <c r="J41" s="68"/>
      <c r="K41" s="68"/>
      <c r="L41" s="68"/>
      <c r="M41" s="68"/>
      <c r="N41" s="68"/>
    </row>
    <row r="42">
      <c r="A42" s="68"/>
      <c r="B42" s="68"/>
      <c r="C42" s="68"/>
      <c r="D42" s="68"/>
      <c r="E42" s="68"/>
      <c r="F42" s="68"/>
      <c r="G42" s="68"/>
      <c r="H42" s="68"/>
      <c r="I42" s="68"/>
      <c r="J42" s="68"/>
      <c r="K42" s="68"/>
      <c r="L42" s="68"/>
      <c r="M42" s="68"/>
      <c r="N42" s="68"/>
    </row>
    <row r="43">
      <c r="A43" s="68"/>
      <c r="B43" s="68"/>
      <c r="C43" s="68"/>
      <c r="D43" s="68"/>
      <c r="E43" s="68"/>
      <c r="F43" s="68"/>
      <c r="G43" s="68"/>
      <c r="H43" s="68"/>
      <c r="I43" s="68"/>
      <c r="J43" s="68"/>
      <c r="K43" s="68"/>
      <c r="L43" s="68"/>
      <c r="M43" s="68"/>
      <c r="N43" s="68"/>
    </row>
    <row r="44">
      <c r="A44" s="68"/>
      <c r="B44" s="68"/>
      <c r="C44" s="68"/>
      <c r="D44" s="68"/>
      <c r="E44" s="68"/>
      <c r="F44" s="68"/>
      <c r="G44" s="68"/>
      <c r="H44" s="68"/>
      <c r="I44" s="68"/>
      <c r="J44" s="68"/>
      <c r="K44" s="68"/>
      <c r="L44" s="68"/>
      <c r="M44" s="68"/>
      <c r="N44" s="68"/>
    </row>
    <row r="45">
      <c r="A45" s="68"/>
      <c r="B45" s="68"/>
      <c r="C45" s="68"/>
      <c r="D45" s="68"/>
      <c r="E45" s="68"/>
      <c r="F45" s="68"/>
      <c r="G45" s="68"/>
      <c r="H45" s="68"/>
      <c r="I45" s="68"/>
      <c r="J45" s="68"/>
      <c r="K45" s="68"/>
      <c r="L45" s="68"/>
      <c r="M45" s="68"/>
      <c r="N45" s="68"/>
    </row>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8">
    <mergeCell ref="B5:F6"/>
    <mergeCell ref="E11:G11"/>
    <mergeCell ref="E13:F13"/>
    <mergeCell ref="E15:G15"/>
    <mergeCell ref="E17:F17"/>
    <mergeCell ref="E19:G19"/>
    <mergeCell ref="J19:M19"/>
    <mergeCell ref="H30:I30"/>
    <mergeCell ref="H31:I31"/>
    <mergeCell ref="H32:I32"/>
    <mergeCell ref="H33:I33"/>
    <mergeCell ref="E21:F21"/>
    <mergeCell ref="E23:G23"/>
    <mergeCell ref="E25:L25"/>
    <mergeCell ref="H27:I27"/>
    <mergeCell ref="B28:C29"/>
    <mergeCell ref="H28:I28"/>
    <mergeCell ref="H29:I29"/>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 type="list" allowBlank="1" showInputMessage="1" prompt="Clique e insira um valor de intervalo" sqref="G28:G33">
      <formula1>$L$28:$L$32</formula1>
    </dataValidation>
  </dataValidations>
  <printOptions/>
  <pageMargins bottom="0.787401575" footer="0.0" header="0.0" left="0.511811024" right="0.511811024" top="0.7874015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75"/>
  <cols>
    <col customWidth="1" min="1" max="1" width="2.25"/>
    <col customWidth="1" min="2" max="2" width="14.38"/>
    <col customWidth="1" min="3" max="3" width="7.25"/>
    <col customWidth="1" min="4" max="4" width="2.25"/>
    <col customWidth="1" min="5" max="5" width="21.63"/>
    <col customWidth="1" min="6" max="7" width="14.38"/>
    <col customWidth="1" min="8" max="9" width="2.25"/>
    <col customWidth="1" min="10" max="10" width="7.25"/>
    <col customWidth="1" min="11" max="11" width="2.25"/>
    <col customWidth="1" min="12" max="12" width="14.38"/>
    <col customWidth="1" min="13" max="13" width="3.0"/>
    <col customWidth="1" min="14" max="14" width="3.13"/>
    <col customWidth="1" min="15" max="26" width="14.38"/>
  </cols>
  <sheetData>
    <row r="1" ht="11.25" customHeight="1">
      <c r="A1" s="68"/>
      <c r="B1" s="68"/>
      <c r="C1" s="68"/>
      <c r="D1" s="68"/>
      <c r="E1" s="68"/>
      <c r="F1" s="68"/>
      <c r="G1" s="68"/>
      <c r="H1" s="68"/>
      <c r="I1" s="68"/>
      <c r="J1" s="68"/>
      <c r="K1" s="68"/>
      <c r="L1" s="68"/>
      <c r="M1" s="68"/>
      <c r="N1" s="68"/>
    </row>
    <row r="2">
      <c r="A2" s="68"/>
      <c r="B2" s="69" t="s">
        <v>72</v>
      </c>
      <c r="C2" s="68"/>
      <c r="D2" s="68"/>
      <c r="E2" s="68"/>
      <c r="F2" s="68"/>
      <c r="G2" s="68"/>
      <c r="H2" s="68"/>
      <c r="I2" s="68"/>
      <c r="J2" s="68"/>
      <c r="K2" s="68"/>
      <c r="L2" s="68"/>
      <c r="M2" s="68"/>
      <c r="N2" s="68"/>
    </row>
    <row r="3">
      <c r="A3" s="68"/>
      <c r="B3" s="70" t="s">
        <v>73</v>
      </c>
      <c r="C3" s="68"/>
      <c r="D3" s="68"/>
      <c r="E3" s="68"/>
      <c r="F3" s="68"/>
      <c r="G3" s="68"/>
      <c r="N3" s="68"/>
    </row>
    <row r="4">
      <c r="A4" s="68"/>
      <c r="B4" s="67" t="s">
        <v>165</v>
      </c>
      <c r="C4" s="68"/>
      <c r="D4" s="68"/>
      <c r="E4" s="68"/>
      <c r="F4" s="68"/>
      <c r="G4" s="68"/>
      <c r="H4" s="68"/>
      <c r="I4" s="71"/>
      <c r="J4" s="72" t="s">
        <v>75</v>
      </c>
      <c r="K4" s="68"/>
      <c r="L4" s="68"/>
      <c r="M4" s="73" t="b">
        <v>1</v>
      </c>
      <c r="N4" s="68"/>
    </row>
    <row r="5" ht="23.25" customHeight="1">
      <c r="A5" s="68"/>
      <c r="B5" s="74" t="s">
        <v>76</v>
      </c>
      <c r="G5" s="68"/>
      <c r="H5" s="68"/>
      <c r="I5" s="71"/>
      <c r="J5" s="72" t="s">
        <v>77</v>
      </c>
      <c r="K5" s="68"/>
      <c r="L5" s="68"/>
      <c r="M5" s="73" t="b">
        <v>0</v>
      </c>
      <c r="N5" s="68"/>
    </row>
    <row r="6" ht="23.25" customHeight="1">
      <c r="A6" s="68"/>
      <c r="G6" s="68"/>
      <c r="H6" s="68"/>
      <c r="I6" s="71"/>
      <c r="J6" s="72" t="s">
        <v>78</v>
      </c>
      <c r="K6" s="68"/>
      <c r="L6" s="68"/>
      <c r="M6" s="73" t="b">
        <v>0</v>
      </c>
      <c r="N6" s="68"/>
    </row>
    <row r="7">
      <c r="A7" s="68"/>
      <c r="B7" s="68"/>
      <c r="C7" s="68"/>
      <c r="D7" s="68"/>
      <c r="E7" s="68"/>
      <c r="F7" s="68"/>
      <c r="G7" s="68"/>
      <c r="H7" s="68"/>
      <c r="I7" s="68"/>
      <c r="J7" s="72"/>
      <c r="K7" s="68"/>
      <c r="L7" s="68"/>
      <c r="M7" s="68"/>
      <c r="N7" s="68"/>
    </row>
    <row r="8">
      <c r="A8" s="68"/>
      <c r="B8" s="69" t="s">
        <v>79</v>
      </c>
      <c r="C8" s="68"/>
      <c r="D8" s="68"/>
      <c r="E8" s="68"/>
      <c r="F8" s="68"/>
      <c r="G8" s="68"/>
      <c r="H8" s="68"/>
      <c r="N8" s="68"/>
    </row>
    <row r="9">
      <c r="A9" s="68"/>
      <c r="B9" s="70" t="s">
        <v>80</v>
      </c>
      <c r="C9" s="68"/>
      <c r="D9" s="68"/>
      <c r="E9" s="68"/>
      <c r="F9" s="68"/>
      <c r="G9" s="68"/>
      <c r="H9" s="68"/>
      <c r="I9" s="68"/>
      <c r="J9" s="68"/>
      <c r="K9" s="68"/>
      <c r="L9" s="68"/>
      <c r="M9" s="68"/>
      <c r="N9" s="68"/>
    </row>
    <row r="10">
      <c r="A10" s="68"/>
      <c r="B10" s="68"/>
      <c r="C10" s="68"/>
      <c r="D10" s="68"/>
      <c r="E10" s="68"/>
      <c r="F10" s="68"/>
      <c r="G10" s="68"/>
      <c r="H10" s="68"/>
      <c r="I10" s="68"/>
      <c r="J10" s="68"/>
      <c r="K10" s="68"/>
      <c r="L10" s="68"/>
      <c r="M10" s="68"/>
      <c r="N10" s="68"/>
    </row>
    <row r="11" ht="13.5" customHeight="1">
      <c r="A11" s="68"/>
      <c r="B11" s="75" t="s">
        <v>81</v>
      </c>
      <c r="C11" s="68"/>
      <c r="D11" s="71"/>
      <c r="E11" s="76" t="s">
        <v>166</v>
      </c>
      <c r="F11" s="77"/>
      <c r="G11" s="78"/>
      <c r="H11" s="68"/>
      <c r="I11" s="68"/>
      <c r="J11" s="68"/>
      <c r="K11" s="68"/>
      <c r="L11" s="68"/>
      <c r="M11" s="68"/>
      <c r="N11" s="68"/>
    </row>
    <row r="12">
      <c r="A12" s="68"/>
      <c r="B12" s="68"/>
      <c r="C12" s="68"/>
      <c r="D12" s="68"/>
      <c r="E12" s="68"/>
      <c r="F12" s="68"/>
      <c r="G12" s="68"/>
      <c r="H12" s="68"/>
      <c r="I12" s="71"/>
      <c r="J12" s="72" t="s">
        <v>83</v>
      </c>
      <c r="K12" s="72"/>
      <c r="L12" s="72"/>
      <c r="M12" s="79" t="s">
        <v>84</v>
      </c>
      <c r="N12" s="68"/>
    </row>
    <row r="13">
      <c r="A13" s="68"/>
      <c r="B13" s="75" t="s">
        <v>85</v>
      </c>
      <c r="C13" s="68"/>
      <c r="D13" s="71"/>
      <c r="E13" s="76" t="s">
        <v>86</v>
      </c>
      <c r="F13" s="78"/>
      <c r="G13" s="80"/>
      <c r="H13" s="68"/>
      <c r="I13" s="71"/>
      <c r="J13" s="72" t="s">
        <v>87</v>
      </c>
      <c r="K13" s="72"/>
      <c r="L13" s="72"/>
      <c r="M13" s="79" t="s">
        <v>84</v>
      </c>
      <c r="N13" s="68"/>
    </row>
    <row r="14">
      <c r="A14" s="68"/>
      <c r="B14" s="68"/>
      <c r="C14" s="68"/>
      <c r="D14" s="68"/>
      <c r="E14" s="68"/>
      <c r="F14" s="68"/>
      <c r="G14" s="68"/>
      <c r="H14" s="68"/>
      <c r="I14" s="71"/>
      <c r="J14" s="72" t="s">
        <v>86</v>
      </c>
      <c r="K14" s="72"/>
      <c r="L14" s="72"/>
      <c r="M14" s="79" t="s">
        <v>84</v>
      </c>
      <c r="N14" s="68"/>
    </row>
    <row r="15" ht="30.75" customHeight="1">
      <c r="A15" s="68"/>
      <c r="B15" s="75" t="s">
        <v>88</v>
      </c>
      <c r="C15" s="68"/>
      <c r="D15" s="71"/>
      <c r="E15" s="81" t="s">
        <v>167</v>
      </c>
      <c r="F15" s="77"/>
      <c r="G15" s="78"/>
      <c r="H15" s="82"/>
      <c r="I15" s="82"/>
      <c r="J15" s="83"/>
      <c r="K15" s="83"/>
      <c r="L15" s="83"/>
      <c r="M15" s="83"/>
      <c r="N15" s="68"/>
    </row>
    <row r="16">
      <c r="A16" s="68"/>
      <c r="B16" s="68"/>
      <c r="C16" s="68"/>
      <c r="D16" s="68"/>
      <c r="E16" s="68"/>
      <c r="F16" s="68"/>
      <c r="G16" s="68"/>
      <c r="H16" s="68"/>
      <c r="I16" s="71"/>
      <c r="J16" s="72" t="s">
        <v>90</v>
      </c>
      <c r="K16" s="72"/>
      <c r="L16" s="72"/>
      <c r="M16" s="79" t="s">
        <v>84</v>
      </c>
      <c r="N16" s="68"/>
    </row>
    <row r="17">
      <c r="A17" s="68"/>
      <c r="B17" s="75" t="s">
        <v>91</v>
      </c>
      <c r="C17" s="68"/>
      <c r="D17" s="71"/>
      <c r="E17" s="76" t="s">
        <v>90</v>
      </c>
      <c r="F17" s="78"/>
      <c r="G17" s="80"/>
      <c r="H17" s="68"/>
      <c r="I17" s="71"/>
      <c r="J17" s="72" t="s">
        <v>92</v>
      </c>
      <c r="K17" s="72"/>
      <c r="L17" s="72"/>
      <c r="M17" s="79" t="s">
        <v>84</v>
      </c>
      <c r="N17" s="68"/>
    </row>
    <row r="18">
      <c r="A18" s="68"/>
      <c r="B18" s="84"/>
      <c r="C18" s="85"/>
      <c r="D18" s="85"/>
      <c r="E18" s="85"/>
      <c r="F18" s="68"/>
      <c r="G18" s="68"/>
      <c r="H18" s="68"/>
      <c r="I18" s="71"/>
      <c r="J18" s="86" t="s">
        <v>93</v>
      </c>
      <c r="K18" s="86"/>
      <c r="L18" s="86"/>
      <c r="M18" s="87" t="s">
        <v>84</v>
      </c>
      <c r="N18" s="68"/>
    </row>
    <row r="19" ht="29.25" customHeight="1">
      <c r="A19" s="68"/>
      <c r="B19" s="75" t="s">
        <v>94</v>
      </c>
      <c r="C19" s="68"/>
      <c r="D19" s="71"/>
      <c r="E19" s="81" t="s">
        <v>168</v>
      </c>
      <c r="F19" s="77"/>
      <c r="G19" s="78"/>
      <c r="H19" s="68"/>
      <c r="I19" s="68"/>
      <c r="J19" s="88" t="s">
        <v>96</v>
      </c>
      <c r="N19" s="68"/>
    </row>
    <row r="20">
      <c r="A20" s="68"/>
      <c r="B20" s="68"/>
      <c r="C20" s="68"/>
      <c r="D20" s="68"/>
      <c r="E20" s="68"/>
      <c r="F20" s="68"/>
      <c r="G20" s="68"/>
      <c r="H20" s="68"/>
      <c r="I20" s="71"/>
      <c r="J20" s="72" t="s">
        <v>97</v>
      </c>
      <c r="K20" s="72"/>
      <c r="L20" s="72"/>
      <c r="M20" s="79" t="s">
        <v>84</v>
      </c>
      <c r="N20" s="68"/>
    </row>
    <row r="21">
      <c r="A21" s="68"/>
      <c r="B21" s="75" t="s">
        <v>98</v>
      </c>
      <c r="C21" s="68"/>
      <c r="D21" s="71"/>
      <c r="E21" s="76" t="s">
        <v>99</v>
      </c>
      <c r="F21" s="78"/>
      <c r="G21" s="80"/>
      <c r="H21" s="68"/>
      <c r="I21" s="71"/>
      <c r="J21" s="72" t="s">
        <v>99</v>
      </c>
      <c r="K21" s="72"/>
      <c r="L21" s="72"/>
      <c r="M21" s="79" t="s">
        <v>84</v>
      </c>
      <c r="N21" s="68"/>
    </row>
    <row r="22">
      <c r="A22" s="68"/>
      <c r="B22" s="68"/>
      <c r="C22" s="68"/>
      <c r="D22" s="68"/>
      <c r="E22" s="68"/>
      <c r="F22" s="68"/>
      <c r="G22" s="68"/>
      <c r="H22" s="68"/>
      <c r="I22" s="71"/>
      <c r="J22" s="72" t="s">
        <v>100</v>
      </c>
      <c r="K22" s="72"/>
      <c r="L22" s="72"/>
      <c r="M22" s="79" t="s">
        <v>84</v>
      </c>
      <c r="N22" s="68"/>
    </row>
    <row r="23" ht="39.75" customHeight="1">
      <c r="A23" s="68"/>
      <c r="B23" s="75" t="s">
        <v>101</v>
      </c>
      <c r="C23" s="68"/>
      <c r="D23" s="71"/>
      <c r="E23" s="81" t="s">
        <v>169</v>
      </c>
      <c r="F23" s="77"/>
      <c r="G23" s="78"/>
      <c r="H23" s="68"/>
      <c r="I23" s="68"/>
      <c r="J23" s="68"/>
      <c r="K23" s="68"/>
      <c r="L23" s="68"/>
      <c r="M23" s="68"/>
      <c r="N23" s="68"/>
    </row>
    <row r="24">
      <c r="A24" s="68"/>
      <c r="B24" s="68"/>
      <c r="C24" s="68"/>
      <c r="D24" s="68"/>
      <c r="E24" s="68"/>
      <c r="F24" s="68"/>
      <c r="G24" s="68"/>
      <c r="H24" s="68"/>
      <c r="I24" s="68"/>
      <c r="J24" s="68"/>
      <c r="K24" s="68"/>
      <c r="L24" s="68"/>
      <c r="M24" s="68"/>
      <c r="N24" s="68"/>
    </row>
    <row r="25" ht="41.25" customHeight="1">
      <c r="A25" s="68"/>
      <c r="B25" s="75" t="s">
        <v>103</v>
      </c>
      <c r="C25" s="68"/>
      <c r="D25" s="71"/>
      <c r="E25" s="81" t="s">
        <v>170</v>
      </c>
      <c r="F25" s="77"/>
      <c r="G25" s="77"/>
      <c r="H25" s="77"/>
      <c r="I25" s="77"/>
      <c r="J25" s="77"/>
      <c r="K25" s="77"/>
      <c r="L25" s="78"/>
      <c r="M25" s="68"/>
      <c r="N25" s="68"/>
    </row>
    <row r="26">
      <c r="A26" s="68"/>
      <c r="B26" s="68"/>
      <c r="C26" s="68"/>
      <c r="D26" s="68"/>
      <c r="E26" s="68"/>
      <c r="F26" s="68"/>
      <c r="G26" s="68"/>
      <c r="H26" s="68"/>
      <c r="I26" s="68"/>
      <c r="J26" s="68"/>
      <c r="K26" s="68"/>
      <c r="L26" s="68"/>
      <c r="M26" s="68"/>
      <c r="N26" s="68"/>
    </row>
    <row r="27">
      <c r="A27" s="68"/>
      <c r="B27" s="75" t="s">
        <v>105</v>
      </c>
      <c r="C27" s="68"/>
      <c r="D27" s="71"/>
      <c r="E27" s="89" t="s">
        <v>106</v>
      </c>
      <c r="F27" s="90" t="s">
        <v>107</v>
      </c>
      <c r="G27" s="89" t="s">
        <v>108</v>
      </c>
      <c r="H27" s="91" t="s">
        <v>109</v>
      </c>
      <c r="I27" s="92"/>
      <c r="J27" s="84"/>
      <c r="K27" s="84"/>
      <c r="L27" s="80"/>
      <c r="M27" s="68"/>
      <c r="N27" s="68"/>
    </row>
    <row r="28">
      <c r="A28" s="68"/>
      <c r="B28" s="93" t="s">
        <v>71</v>
      </c>
      <c r="D28" s="71"/>
      <c r="E28" s="94" t="s">
        <v>171</v>
      </c>
      <c r="F28" s="95" t="s">
        <v>111</v>
      </c>
      <c r="G28" s="95" t="s">
        <v>115</v>
      </c>
      <c r="H28" s="96"/>
      <c r="I28" s="78"/>
      <c r="J28" s="84"/>
      <c r="K28" s="71"/>
      <c r="L28" s="72" t="s">
        <v>37</v>
      </c>
      <c r="M28" s="79" t="s">
        <v>84</v>
      </c>
      <c r="N28" s="68"/>
    </row>
    <row r="29">
      <c r="A29" s="68"/>
      <c r="D29" s="71"/>
      <c r="E29" s="94" t="s">
        <v>116</v>
      </c>
      <c r="F29" s="95" t="s">
        <v>117</v>
      </c>
      <c r="G29" s="95" t="s">
        <v>112</v>
      </c>
      <c r="H29" s="96"/>
      <c r="I29" s="78"/>
      <c r="J29" s="84"/>
      <c r="K29" s="71"/>
      <c r="L29" s="72" t="s">
        <v>115</v>
      </c>
      <c r="M29" s="68"/>
      <c r="N29" s="68"/>
    </row>
    <row r="30">
      <c r="A30" s="68"/>
      <c r="B30" s="68"/>
      <c r="C30" s="68"/>
      <c r="D30" s="71"/>
      <c r="E30" s="94"/>
      <c r="F30" s="95"/>
      <c r="G30" s="95"/>
      <c r="H30" s="96"/>
      <c r="I30" s="78"/>
      <c r="J30" s="84"/>
      <c r="K30" s="71"/>
      <c r="L30" s="72" t="s">
        <v>112</v>
      </c>
      <c r="M30" s="68"/>
      <c r="N30" s="68"/>
    </row>
    <row r="31">
      <c r="A31" s="68"/>
      <c r="B31" s="68"/>
      <c r="C31" s="68"/>
      <c r="D31" s="71"/>
      <c r="E31" s="94"/>
      <c r="F31" s="95"/>
      <c r="G31" s="95"/>
      <c r="H31" s="96"/>
      <c r="I31" s="78"/>
      <c r="J31" s="84"/>
      <c r="K31" s="71"/>
      <c r="L31" s="72" t="s">
        <v>41</v>
      </c>
      <c r="M31" s="68"/>
      <c r="N31" s="68"/>
    </row>
    <row r="32">
      <c r="A32" s="68"/>
      <c r="B32" s="68"/>
      <c r="C32" s="68"/>
      <c r="D32" s="71"/>
      <c r="E32" s="94"/>
      <c r="F32" s="95"/>
      <c r="G32" s="95"/>
      <c r="H32" s="96"/>
      <c r="I32" s="78"/>
      <c r="J32" s="68"/>
      <c r="K32" s="71"/>
      <c r="L32" s="72" t="s">
        <v>42</v>
      </c>
      <c r="M32" s="68"/>
      <c r="N32" s="68"/>
    </row>
    <row r="33">
      <c r="A33" s="68"/>
      <c r="B33" s="68"/>
      <c r="C33" s="68"/>
      <c r="D33" s="71"/>
      <c r="E33" s="94"/>
      <c r="F33" s="95"/>
      <c r="G33" s="95"/>
      <c r="H33" s="96"/>
      <c r="I33" s="78"/>
      <c r="J33" s="68"/>
      <c r="K33" s="68"/>
      <c r="L33" s="68"/>
      <c r="M33" s="68"/>
      <c r="N33" s="68"/>
    </row>
    <row r="34">
      <c r="A34" s="68"/>
      <c r="B34" s="75"/>
      <c r="C34" s="68"/>
      <c r="D34" s="68"/>
      <c r="E34" s="68"/>
      <c r="F34" s="68"/>
      <c r="G34" s="68"/>
      <c r="H34" s="68"/>
      <c r="I34" s="68"/>
      <c r="J34" s="68"/>
      <c r="K34" s="68"/>
      <c r="L34" s="68"/>
      <c r="M34" s="68"/>
      <c r="N34" s="68"/>
    </row>
    <row r="35">
      <c r="A35" s="68"/>
      <c r="B35" s="75" t="s">
        <v>118</v>
      </c>
      <c r="C35" s="68"/>
      <c r="D35" s="68"/>
      <c r="E35" s="68"/>
      <c r="F35" s="68"/>
      <c r="G35" s="68"/>
      <c r="H35" s="68"/>
      <c r="I35" s="68"/>
      <c r="J35" s="68"/>
      <c r="K35" s="68"/>
      <c r="L35" s="68"/>
      <c r="M35" s="68"/>
      <c r="N35" s="68"/>
    </row>
    <row r="36">
      <c r="A36" s="68"/>
      <c r="B36" s="72" t="s">
        <v>119</v>
      </c>
      <c r="C36" s="68"/>
      <c r="D36" s="68"/>
      <c r="E36" s="68"/>
      <c r="F36" s="68"/>
      <c r="G36" s="68"/>
      <c r="H36" s="68"/>
      <c r="I36" s="68"/>
      <c r="J36" s="68"/>
      <c r="K36" s="68"/>
      <c r="L36" s="68"/>
      <c r="M36" s="68"/>
      <c r="N36" s="68"/>
    </row>
    <row r="37">
      <c r="A37" s="68"/>
      <c r="B37" s="68"/>
      <c r="C37" s="68"/>
      <c r="D37" s="68"/>
      <c r="E37" s="68"/>
      <c r="F37" s="68"/>
      <c r="G37" s="68"/>
      <c r="H37" s="68"/>
      <c r="I37" s="68"/>
      <c r="J37" s="68"/>
      <c r="K37" s="68"/>
      <c r="L37" s="68"/>
      <c r="M37" s="68"/>
      <c r="N37" s="68"/>
    </row>
    <row r="38">
      <c r="A38" s="68"/>
      <c r="B38" s="68"/>
      <c r="C38" s="68"/>
      <c r="D38" s="68"/>
      <c r="E38" s="68"/>
      <c r="F38" s="68"/>
      <c r="G38" s="68"/>
      <c r="H38" s="68"/>
      <c r="I38" s="68"/>
      <c r="J38" s="68"/>
      <c r="K38" s="68"/>
      <c r="L38" s="68"/>
      <c r="M38" s="68"/>
      <c r="N38" s="68"/>
    </row>
    <row r="39">
      <c r="A39" s="68"/>
      <c r="B39" s="68"/>
      <c r="C39" s="68"/>
      <c r="D39" s="68"/>
      <c r="E39" s="68"/>
      <c r="F39" s="68"/>
      <c r="G39" s="68"/>
      <c r="H39" s="68"/>
      <c r="I39" s="68"/>
      <c r="J39" s="68"/>
      <c r="K39" s="68"/>
      <c r="L39" s="68"/>
      <c r="M39" s="68"/>
      <c r="N39" s="68"/>
    </row>
    <row r="40">
      <c r="A40" s="68"/>
      <c r="B40" s="68"/>
      <c r="C40" s="68"/>
      <c r="D40" s="68"/>
      <c r="E40" s="68"/>
      <c r="F40" s="68"/>
      <c r="G40" s="68"/>
      <c r="H40" s="68"/>
      <c r="I40" s="68"/>
      <c r="J40" s="68"/>
      <c r="K40" s="68"/>
      <c r="L40" s="68"/>
      <c r="M40" s="68"/>
      <c r="N40" s="68"/>
    </row>
    <row r="41">
      <c r="A41" s="68"/>
      <c r="B41" s="68"/>
      <c r="C41" s="68"/>
      <c r="D41" s="68"/>
      <c r="E41" s="68"/>
      <c r="F41" s="68"/>
      <c r="G41" s="68"/>
      <c r="H41" s="68"/>
      <c r="I41" s="68"/>
      <c r="J41" s="68"/>
      <c r="K41" s="68"/>
      <c r="L41" s="68"/>
      <c r="M41" s="68"/>
      <c r="N41" s="68"/>
    </row>
    <row r="42">
      <c r="A42" s="68"/>
      <c r="B42" s="68"/>
      <c r="C42" s="68"/>
      <c r="D42" s="68"/>
      <c r="E42" s="68"/>
      <c r="F42" s="68"/>
      <c r="G42" s="68"/>
      <c r="H42" s="68"/>
      <c r="I42" s="68"/>
      <c r="J42" s="68"/>
      <c r="K42" s="68"/>
      <c r="L42" s="68"/>
      <c r="M42" s="68"/>
      <c r="N42" s="68"/>
    </row>
    <row r="43">
      <c r="A43" s="68"/>
      <c r="B43" s="68"/>
      <c r="C43" s="68"/>
      <c r="D43" s="68"/>
      <c r="E43" s="68"/>
      <c r="F43" s="68"/>
      <c r="G43" s="68"/>
      <c r="H43" s="68"/>
      <c r="I43" s="68"/>
      <c r="J43" s="68"/>
      <c r="K43" s="68"/>
      <c r="L43" s="68"/>
      <c r="M43" s="68"/>
      <c r="N43" s="68"/>
    </row>
    <row r="44">
      <c r="A44" s="68"/>
      <c r="B44" s="68"/>
      <c r="C44" s="68"/>
      <c r="D44" s="68"/>
      <c r="E44" s="68"/>
      <c r="F44" s="68"/>
      <c r="G44" s="68"/>
      <c r="H44" s="68"/>
      <c r="I44" s="68"/>
      <c r="J44" s="68"/>
      <c r="K44" s="68"/>
      <c r="L44" s="68"/>
      <c r="M44" s="68"/>
      <c r="N44" s="68"/>
    </row>
    <row r="45">
      <c r="A45" s="68"/>
      <c r="B45" s="68"/>
      <c r="C45" s="68"/>
      <c r="D45" s="68"/>
      <c r="E45" s="68"/>
      <c r="F45" s="68"/>
      <c r="G45" s="68"/>
      <c r="H45" s="68"/>
      <c r="I45" s="68"/>
      <c r="J45" s="68"/>
      <c r="K45" s="68"/>
      <c r="L45" s="68"/>
      <c r="M45" s="68"/>
      <c r="N45" s="68"/>
    </row>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8">
    <mergeCell ref="B5:F6"/>
    <mergeCell ref="E11:G11"/>
    <mergeCell ref="E13:F13"/>
    <mergeCell ref="E15:G15"/>
    <mergeCell ref="E17:F17"/>
    <mergeCell ref="E19:G19"/>
    <mergeCell ref="J19:M19"/>
    <mergeCell ref="H30:I30"/>
    <mergeCell ref="H31:I31"/>
    <mergeCell ref="H32:I32"/>
    <mergeCell ref="H33:I33"/>
    <mergeCell ref="E21:F21"/>
    <mergeCell ref="E23:G23"/>
    <mergeCell ref="E25:L25"/>
    <mergeCell ref="H27:I27"/>
    <mergeCell ref="B28:C29"/>
    <mergeCell ref="H28:I28"/>
    <mergeCell ref="H29:I29"/>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 type="list" allowBlank="1" showInputMessage="1" prompt="Clique e insira um valor de intervalo" sqref="G28:G33">
      <formula1>$L$28:$L$32</formula1>
    </dataValidation>
  </dataValidations>
  <printOptions/>
  <pageMargins bottom="0.787401575" footer="0.0" header="0.0" left="0.511811024" right="0.511811024" top="0.7874015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75"/>
  <cols>
    <col customWidth="1" min="1" max="1" width="2.25"/>
    <col customWidth="1" min="2" max="2" width="14.38"/>
    <col customWidth="1" min="3" max="3" width="7.25"/>
    <col customWidth="1" min="4" max="4" width="2.25"/>
    <col customWidth="1" min="5" max="5" width="21.63"/>
    <col customWidth="1" min="6" max="7" width="14.38"/>
    <col customWidth="1" min="8" max="9" width="2.25"/>
    <col customWidth="1" min="10" max="10" width="7.25"/>
    <col customWidth="1" min="11" max="11" width="2.25"/>
    <col customWidth="1" min="12" max="12" width="14.38"/>
    <col customWidth="1" min="13" max="13" width="3.0"/>
    <col customWidth="1" min="14" max="14" width="3.13"/>
    <col customWidth="1" min="15" max="32" width="14.38"/>
  </cols>
  <sheetData>
    <row r="1" ht="11.25" customHeight="1">
      <c r="A1" s="67" t="s">
        <v>71</v>
      </c>
      <c r="B1" s="68"/>
      <c r="C1" s="68"/>
      <c r="D1" s="68"/>
      <c r="E1" s="68"/>
      <c r="F1" s="68"/>
      <c r="G1" s="68"/>
      <c r="H1" s="68"/>
      <c r="I1" s="68"/>
      <c r="J1" s="68"/>
      <c r="K1" s="68"/>
      <c r="L1" s="68"/>
      <c r="M1" s="68"/>
      <c r="N1" s="68"/>
    </row>
    <row r="2">
      <c r="A2" s="68"/>
      <c r="B2" s="69" t="s">
        <v>72</v>
      </c>
      <c r="C2" s="68"/>
      <c r="D2" s="68"/>
      <c r="E2" s="68"/>
      <c r="F2" s="68"/>
      <c r="G2" s="68"/>
      <c r="H2" s="68"/>
      <c r="I2" s="68"/>
      <c r="J2" s="68"/>
      <c r="K2" s="68"/>
      <c r="L2" s="68"/>
      <c r="M2" s="68"/>
      <c r="N2" s="68"/>
    </row>
    <row r="3">
      <c r="A3" s="68"/>
      <c r="B3" s="70" t="s">
        <v>73</v>
      </c>
      <c r="C3" s="68"/>
      <c r="D3" s="68"/>
      <c r="E3" s="68"/>
      <c r="F3" s="68"/>
      <c r="G3" s="68"/>
      <c r="N3" s="68"/>
    </row>
    <row r="4">
      <c r="A4" s="68"/>
      <c r="B4" s="67" t="s">
        <v>172</v>
      </c>
      <c r="C4" s="68"/>
      <c r="D4" s="68"/>
      <c r="E4" s="68"/>
      <c r="F4" s="68"/>
      <c r="G4" s="68"/>
      <c r="H4" s="68"/>
      <c r="I4" s="71"/>
      <c r="J4" s="72" t="s">
        <v>75</v>
      </c>
      <c r="K4" s="68"/>
      <c r="L4" s="68"/>
      <c r="M4" s="73" t="b">
        <v>1</v>
      </c>
      <c r="N4" s="68"/>
    </row>
    <row r="5" ht="23.25" customHeight="1">
      <c r="A5" s="68"/>
      <c r="B5" s="74" t="s">
        <v>76</v>
      </c>
      <c r="G5" s="68"/>
      <c r="H5" s="68"/>
      <c r="I5" s="71"/>
      <c r="J5" s="72" t="s">
        <v>77</v>
      </c>
      <c r="K5" s="68"/>
      <c r="L5" s="68"/>
      <c r="M5" s="73" t="b">
        <v>0</v>
      </c>
      <c r="N5" s="68"/>
    </row>
    <row r="6" ht="23.25" customHeight="1">
      <c r="A6" s="68"/>
      <c r="G6" s="68"/>
      <c r="H6" s="68"/>
      <c r="I6" s="71"/>
      <c r="J6" s="72" t="s">
        <v>78</v>
      </c>
      <c r="K6" s="68"/>
      <c r="L6" s="68"/>
      <c r="M6" s="73" t="b">
        <v>0</v>
      </c>
      <c r="N6" s="68"/>
    </row>
    <row r="7">
      <c r="A7" s="68"/>
      <c r="B7" s="68"/>
      <c r="C7" s="68"/>
      <c r="D7" s="68"/>
      <c r="E7" s="68"/>
      <c r="F7" s="68"/>
      <c r="G7" s="68"/>
      <c r="H7" s="68"/>
      <c r="I7" s="68"/>
      <c r="J7" s="72"/>
      <c r="K7" s="68"/>
      <c r="L7" s="68"/>
      <c r="M7" s="68"/>
      <c r="N7" s="68"/>
    </row>
    <row r="8">
      <c r="A8" s="68"/>
      <c r="B8" s="69" t="s">
        <v>79</v>
      </c>
      <c r="C8" s="68"/>
      <c r="D8" s="68"/>
      <c r="E8" s="68"/>
      <c r="F8" s="68"/>
      <c r="G8" s="68"/>
      <c r="H8" s="68"/>
      <c r="N8" s="68"/>
    </row>
    <row r="9">
      <c r="A9" s="68"/>
      <c r="B9" s="70" t="s">
        <v>80</v>
      </c>
      <c r="C9" s="68"/>
      <c r="D9" s="68"/>
      <c r="E9" s="68"/>
      <c r="F9" s="68"/>
      <c r="G9" s="68"/>
      <c r="H9" s="68"/>
      <c r="I9" s="68"/>
      <c r="J9" s="68"/>
      <c r="K9" s="68"/>
      <c r="L9" s="68"/>
      <c r="M9" s="68"/>
      <c r="N9" s="68"/>
    </row>
    <row r="10">
      <c r="A10" s="68"/>
      <c r="B10" s="68"/>
      <c r="C10" s="68"/>
      <c r="D10" s="68"/>
      <c r="E10" s="68"/>
      <c r="F10" s="68"/>
      <c r="G10" s="68"/>
      <c r="H10" s="68"/>
      <c r="I10" s="68"/>
      <c r="J10" s="68"/>
      <c r="K10" s="68"/>
      <c r="L10" s="68"/>
      <c r="M10" s="68"/>
      <c r="N10" s="68"/>
    </row>
    <row r="11" ht="13.5" customHeight="1">
      <c r="A11" s="68"/>
      <c r="B11" s="75" t="s">
        <v>81</v>
      </c>
      <c r="C11" s="68"/>
      <c r="D11" s="71"/>
      <c r="E11" s="76" t="s">
        <v>173</v>
      </c>
      <c r="F11" s="77"/>
      <c r="G11" s="78"/>
      <c r="H11" s="68"/>
      <c r="I11" s="68"/>
      <c r="J11" s="68"/>
      <c r="K11" s="68"/>
      <c r="L11" s="68"/>
      <c r="M11" s="68"/>
      <c r="N11" s="68"/>
    </row>
    <row r="12">
      <c r="A12" s="68"/>
      <c r="B12" s="68"/>
      <c r="C12" s="68"/>
      <c r="D12" s="68"/>
      <c r="E12" s="68"/>
      <c r="F12" s="68"/>
      <c r="G12" s="68"/>
      <c r="H12" s="68"/>
      <c r="I12" s="71"/>
      <c r="J12" s="72" t="s">
        <v>83</v>
      </c>
      <c r="K12" s="72"/>
      <c r="L12" s="72"/>
      <c r="M12" s="79" t="s">
        <v>84</v>
      </c>
      <c r="N12" s="68"/>
    </row>
    <row r="13">
      <c r="A13" s="68"/>
      <c r="B13" s="75" t="s">
        <v>85</v>
      </c>
      <c r="C13" s="68"/>
      <c r="D13" s="71"/>
      <c r="E13" s="76" t="s">
        <v>86</v>
      </c>
      <c r="F13" s="78"/>
      <c r="G13" s="80"/>
      <c r="H13" s="68"/>
      <c r="I13" s="71"/>
      <c r="J13" s="72" t="s">
        <v>87</v>
      </c>
      <c r="K13" s="72"/>
      <c r="L13" s="72"/>
      <c r="M13" s="79" t="s">
        <v>84</v>
      </c>
      <c r="N13" s="68"/>
    </row>
    <row r="14">
      <c r="A14" s="68"/>
      <c r="B14" s="68"/>
      <c r="C14" s="68"/>
      <c r="D14" s="68"/>
      <c r="E14" s="68"/>
      <c r="F14" s="68"/>
      <c r="G14" s="68"/>
      <c r="H14" s="68"/>
      <c r="I14" s="71"/>
      <c r="J14" s="72" t="s">
        <v>86</v>
      </c>
      <c r="K14" s="72"/>
      <c r="L14" s="72"/>
      <c r="M14" s="79" t="s">
        <v>84</v>
      </c>
      <c r="N14" s="68"/>
    </row>
    <row r="15" ht="35.25" customHeight="1">
      <c r="A15" s="68"/>
      <c r="B15" s="75" t="s">
        <v>88</v>
      </c>
      <c r="C15" s="68"/>
      <c r="D15" s="71"/>
      <c r="E15" s="81" t="s">
        <v>174</v>
      </c>
      <c r="F15" s="77"/>
      <c r="G15" s="78"/>
      <c r="H15" s="82"/>
      <c r="I15" s="82"/>
      <c r="J15" s="83"/>
      <c r="K15" s="83"/>
      <c r="L15" s="83"/>
      <c r="M15" s="83"/>
      <c r="N15" s="68"/>
    </row>
    <row r="16">
      <c r="A16" s="68"/>
      <c r="B16" s="68"/>
      <c r="C16" s="68"/>
      <c r="D16" s="68"/>
      <c r="E16" s="68"/>
      <c r="F16" s="68"/>
      <c r="G16" s="68"/>
      <c r="H16" s="68"/>
      <c r="I16" s="71"/>
      <c r="J16" s="72" t="s">
        <v>90</v>
      </c>
      <c r="K16" s="72"/>
      <c r="L16" s="72"/>
      <c r="M16" s="79" t="s">
        <v>84</v>
      </c>
      <c r="N16" s="68"/>
    </row>
    <row r="17">
      <c r="A17" s="68"/>
      <c r="B17" s="75" t="s">
        <v>91</v>
      </c>
      <c r="C17" s="68"/>
      <c r="D17" s="71"/>
      <c r="E17" s="76" t="s">
        <v>90</v>
      </c>
      <c r="F17" s="78"/>
      <c r="G17" s="80"/>
      <c r="H17" s="68"/>
      <c r="I17" s="71"/>
      <c r="J17" s="72" t="s">
        <v>92</v>
      </c>
      <c r="K17" s="72"/>
      <c r="L17" s="72"/>
      <c r="M17" s="79" t="s">
        <v>84</v>
      </c>
      <c r="N17" s="68"/>
    </row>
    <row r="18">
      <c r="A18" s="68"/>
      <c r="B18" s="84"/>
      <c r="C18" s="85"/>
      <c r="D18" s="85"/>
      <c r="E18" s="85"/>
      <c r="F18" s="68"/>
      <c r="G18" s="68"/>
      <c r="H18" s="68"/>
      <c r="I18" s="71"/>
      <c r="J18" s="86" t="s">
        <v>93</v>
      </c>
      <c r="K18" s="86"/>
      <c r="L18" s="86"/>
      <c r="M18" s="87" t="s">
        <v>84</v>
      </c>
      <c r="N18" s="68"/>
    </row>
    <row r="19" ht="52.5" customHeight="1">
      <c r="A19" s="68"/>
      <c r="B19" s="75" t="s">
        <v>94</v>
      </c>
      <c r="C19" s="68"/>
      <c r="D19" s="71"/>
      <c r="E19" s="81" t="s">
        <v>175</v>
      </c>
      <c r="F19" s="77"/>
      <c r="G19" s="78"/>
      <c r="H19" s="68"/>
      <c r="I19" s="68"/>
      <c r="J19" s="88" t="s">
        <v>96</v>
      </c>
      <c r="N19" s="68"/>
    </row>
    <row r="20">
      <c r="A20" s="68"/>
      <c r="B20" s="68"/>
      <c r="C20" s="68"/>
      <c r="D20" s="68"/>
      <c r="E20" s="68"/>
      <c r="F20" s="68"/>
      <c r="G20" s="68"/>
      <c r="H20" s="68"/>
      <c r="I20" s="71"/>
      <c r="J20" s="72" t="s">
        <v>97</v>
      </c>
      <c r="K20" s="72"/>
      <c r="L20" s="72"/>
      <c r="M20" s="79" t="s">
        <v>84</v>
      </c>
      <c r="N20" s="68"/>
    </row>
    <row r="21">
      <c r="A21" s="68"/>
      <c r="B21" s="75" t="s">
        <v>98</v>
      </c>
      <c r="C21" s="68"/>
      <c r="D21" s="71"/>
      <c r="E21" s="76" t="s">
        <v>97</v>
      </c>
      <c r="F21" s="78"/>
      <c r="G21" s="80"/>
      <c r="H21" s="68"/>
      <c r="I21" s="71"/>
      <c r="J21" s="72" t="s">
        <v>99</v>
      </c>
      <c r="K21" s="72"/>
      <c r="L21" s="72"/>
      <c r="M21" s="79" t="s">
        <v>84</v>
      </c>
      <c r="N21" s="68"/>
    </row>
    <row r="22">
      <c r="A22" s="68"/>
      <c r="B22" s="68"/>
      <c r="C22" s="68"/>
      <c r="D22" s="68"/>
      <c r="E22" s="68"/>
      <c r="F22" s="68"/>
      <c r="G22" s="68"/>
      <c r="H22" s="68"/>
      <c r="I22" s="71"/>
      <c r="J22" s="72" t="s">
        <v>100</v>
      </c>
      <c r="K22" s="72"/>
      <c r="L22" s="72"/>
      <c r="M22" s="79" t="s">
        <v>84</v>
      </c>
      <c r="N22" s="68"/>
    </row>
    <row r="23" ht="105.0" customHeight="1">
      <c r="A23" s="68"/>
      <c r="B23" s="75" t="s">
        <v>101</v>
      </c>
      <c r="C23" s="68"/>
      <c r="D23" s="71"/>
      <c r="E23" s="81" t="s">
        <v>176</v>
      </c>
      <c r="F23" s="77"/>
      <c r="G23" s="78"/>
      <c r="H23" s="68"/>
      <c r="I23" s="68"/>
      <c r="J23" s="68"/>
      <c r="K23" s="68"/>
      <c r="L23" s="68"/>
      <c r="M23" s="68"/>
      <c r="N23" s="68"/>
    </row>
    <row r="24">
      <c r="A24" s="68"/>
      <c r="B24" s="68"/>
      <c r="C24" s="68"/>
      <c r="D24" s="68"/>
      <c r="E24" s="68"/>
      <c r="F24" s="68"/>
      <c r="G24" s="68"/>
      <c r="H24" s="68"/>
      <c r="I24" s="68"/>
      <c r="J24" s="68"/>
      <c r="K24" s="68"/>
      <c r="L24" s="68"/>
      <c r="M24" s="68"/>
      <c r="N24" s="68"/>
    </row>
    <row r="25" ht="63.0" customHeight="1">
      <c r="A25" s="68"/>
      <c r="B25" s="75" t="s">
        <v>103</v>
      </c>
      <c r="C25" s="68"/>
      <c r="D25" s="71"/>
      <c r="E25" s="81" t="s">
        <v>177</v>
      </c>
      <c r="F25" s="77"/>
      <c r="G25" s="77"/>
      <c r="H25" s="77"/>
      <c r="I25" s="77"/>
      <c r="J25" s="77"/>
      <c r="K25" s="77"/>
      <c r="L25" s="78"/>
      <c r="M25" s="68"/>
      <c r="N25" s="68"/>
    </row>
    <row r="26">
      <c r="A26" s="68"/>
      <c r="B26" s="68"/>
      <c r="C26" s="68"/>
      <c r="D26" s="68"/>
      <c r="E26" s="68"/>
      <c r="F26" s="68"/>
      <c r="G26" s="68"/>
      <c r="H26" s="68"/>
      <c r="I26" s="68"/>
      <c r="J26" s="68"/>
      <c r="K26" s="68"/>
      <c r="L26" s="68"/>
      <c r="M26" s="68"/>
      <c r="N26" s="68"/>
    </row>
    <row r="27">
      <c r="A27" s="68"/>
      <c r="B27" s="75" t="s">
        <v>105</v>
      </c>
      <c r="C27" s="68"/>
      <c r="D27" s="71"/>
      <c r="E27" s="89" t="s">
        <v>106</v>
      </c>
      <c r="F27" s="90" t="s">
        <v>107</v>
      </c>
      <c r="G27" s="89" t="s">
        <v>108</v>
      </c>
      <c r="H27" s="91" t="s">
        <v>109</v>
      </c>
      <c r="I27" s="92"/>
      <c r="J27" s="84"/>
      <c r="K27" s="84"/>
      <c r="L27" s="80"/>
      <c r="M27" s="68"/>
      <c r="N27" s="68"/>
    </row>
    <row r="28">
      <c r="A28" s="68"/>
      <c r="B28" s="93" t="s">
        <v>71</v>
      </c>
      <c r="D28" s="71"/>
      <c r="E28" s="94" t="s">
        <v>137</v>
      </c>
      <c r="F28" s="95" t="s">
        <v>178</v>
      </c>
      <c r="G28" s="95" t="s">
        <v>115</v>
      </c>
      <c r="H28" s="96"/>
      <c r="I28" s="78"/>
      <c r="J28" s="84"/>
      <c r="K28" s="71"/>
      <c r="L28" s="72" t="s">
        <v>37</v>
      </c>
      <c r="M28" s="79" t="s">
        <v>84</v>
      </c>
      <c r="N28" s="68"/>
    </row>
    <row r="29">
      <c r="A29" s="68"/>
      <c r="D29" s="71"/>
      <c r="E29" s="94" t="s">
        <v>116</v>
      </c>
      <c r="F29" s="95" t="s">
        <v>117</v>
      </c>
      <c r="G29" s="95" t="s">
        <v>112</v>
      </c>
      <c r="H29" s="96"/>
      <c r="I29" s="78"/>
      <c r="J29" s="84"/>
      <c r="K29" s="71"/>
      <c r="L29" s="72" t="s">
        <v>115</v>
      </c>
      <c r="M29" s="68"/>
      <c r="N29" s="68"/>
    </row>
    <row r="30">
      <c r="A30" s="68"/>
      <c r="B30" s="68"/>
      <c r="C30" s="68"/>
      <c r="D30" s="71"/>
      <c r="E30" s="94" t="s">
        <v>113</v>
      </c>
      <c r="F30" s="95" t="s">
        <v>114</v>
      </c>
      <c r="G30" s="95" t="s">
        <v>112</v>
      </c>
      <c r="H30" s="96"/>
      <c r="I30" s="78"/>
      <c r="J30" s="84"/>
      <c r="K30" s="71"/>
      <c r="L30" s="72" t="s">
        <v>112</v>
      </c>
      <c r="M30" s="68"/>
      <c r="N30" s="68"/>
    </row>
    <row r="31">
      <c r="A31" s="68"/>
      <c r="B31" s="68"/>
      <c r="C31" s="68"/>
      <c r="D31" s="71"/>
      <c r="E31" s="94"/>
      <c r="F31" s="95"/>
      <c r="G31" s="95"/>
      <c r="H31" s="96"/>
      <c r="I31" s="78"/>
      <c r="J31" s="84"/>
      <c r="K31" s="71"/>
      <c r="L31" s="72" t="s">
        <v>41</v>
      </c>
      <c r="M31" s="68"/>
      <c r="N31" s="68"/>
    </row>
    <row r="32">
      <c r="A32" s="68"/>
      <c r="B32" s="68"/>
      <c r="C32" s="68"/>
      <c r="D32" s="71"/>
      <c r="E32" s="94"/>
      <c r="F32" s="95"/>
      <c r="G32" s="95"/>
      <c r="H32" s="96"/>
      <c r="I32" s="78"/>
      <c r="J32" s="68"/>
      <c r="K32" s="71"/>
      <c r="L32" s="72" t="s">
        <v>42</v>
      </c>
      <c r="M32" s="68"/>
      <c r="N32" s="68"/>
    </row>
    <row r="33">
      <c r="A33" s="68"/>
      <c r="B33" s="68"/>
      <c r="C33" s="68"/>
      <c r="D33" s="71"/>
      <c r="E33" s="94"/>
      <c r="F33" s="95"/>
      <c r="G33" s="95"/>
      <c r="H33" s="96"/>
      <c r="I33" s="78"/>
      <c r="J33" s="68"/>
      <c r="K33" s="68"/>
      <c r="L33" s="68"/>
      <c r="M33" s="68"/>
      <c r="N33" s="68"/>
    </row>
    <row r="34">
      <c r="A34" s="68"/>
      <c r="B34" s="75"/>
      <c r="C34" s="68"/>
      <c r="D34" s="68"/>
      <c r="E34" s="68"/>
      <c r="F34" s="68"/>
      <c r="G34" s="68"/>
      <c r="H34" s="68"/>
      <c r="I34" s="68"/>
      <c r="J34" s="68"/>
      <c r="K34" s="68"/>
      <c r="L34" s="68"/>
      <c r="M34" s="68"/>
      <c r="N34" s="68"/>
    </row>
    <row r="35">
      <c r="A35" s="68"/>
      <c r="B35" s="75" t="s">
        <v>118</v>
      </c>
      <c r="C35" s="68"/>
      <c r="D35" s="68"/>
      <c r="E35" s="68"/>
      <c r="F35" s="68"/>
      <c r="G35" s="68"/>
      <c r="H35" s="68"/>
      <c r="I35" s="68"/>
      <c r="J35" s="68"/>
      <c r="K35" s="68"/>
      <c r="L35" s="68"/>
      <c r="M35" s="68"/>
      <c r="N35" s="68"/>
    </row>
    <row r="36">
      <c r="A36" s="68"/>
      <c r="B36" s="72" t="s">
        <v>119</v>
      </c>
      <c r="C36" s="68"/>
      <c r="D36" s="68"/>
      <c r="E36" s="68"/>
      <c r="F36" s="68"/>
      <c r="G36" s="68"/>
      <c r="H36" s="68"/>
      <c r="I36" s="68"/>
      <c r="J36" s="68"/>
      <c r="K36" s="68"/>
      <c r="L36" s="68"/>
      <c r="M36" s="68"/>
      <c r="N36" s="68"/>
    </row>
    <row r="37">
      <c r="A37" s="68"/>
      <c r="B37" s="68"/>
      <c r="C37" s="68"/>
      <c r="D37" s="68"/>
      <c r="E37" s="68"/>
      <c r="F37" s="68"/>
      <c r="G37" s="68"/>
      <c r="H37" s="68"/>
      <c r="I37" s="68"/>
      <c r="J37" s="68"/>
      <c r="K37" s="68"/>
      <c r="L37" s="68"/>
      <c r="M37" s="68"/>
      <c r="N37" s="68"/>
    </row>
    <row r="38">
      <c r="A38" s="68"/>
      <c r="B38" s="68"/>
      <c r="C38" s="68"/>
      <c r="D38" s="68"/>
      <c r="E38" s="68"/>
      <c r="F38" s="68"/>
      <c r="G38" s="68"/>
      <c r="H38" s="68"/>
      <c r="I38" s="68"/>
      <c r="J38" s="68"/>
      <c r="K38" s="68"/>
      <c r="L38" s="68"/>
      <c r="M38" s="68"/>
      <c r="N38" s="68"/>
    </row>
    <row r="39">
      <c r="A39" s="68"/>
      <c r="B39" s="68"/>
      <c r="C39" s="68"/>
      <c r="D39" s="68"/>
      <c r="E39" s="68"/>
      <c r="F39" s="68"/>
      <c r="G39" s="68"/>
      <c r="H39" s="68"/>
      <c r="I39" s="68"/>
      <c r="J39" s="68"/>
      <c r="K39" s="68"/>
      <c r="L39" s="68"/>
      <c r="M39" s="68"/>
      <c r="N39" s="68"/>
    </row>
    <row r="40">
      <c r="A40" s="68"/>
      <c r="B40" s="68"/>
      <c r="C40" s="68"/>
      <c r="D40" s="68"/>
      <c r="E40" s="68"/>
      <c r="F40" s="68"/>
      <c r="G40" s="68"/>
      <c r="H40" s="68"/>
      <c r="I40" s="68"/>
      <c r="J40" s="68"/>
      <c r="K40" s="68"/>
      <c r="L40" s="68"/>
      <c r="M40" s="68"/>
      <c r="N40" s="68"/>
    </row>
    <row r="41">
      <c r="A41" s="68"/>
      <c r="B41" s="68"/>
      <c r="C41" s="68"/>
      <c r="D41" s="68"/>
      <c r="E41" s="68"/>
      <c r="F41" s="68"/>
      <c r="G41" s="68"/>
      <c r="H41" s="68"/>
      <c r="I41" s="68"/>
      <c r="J41" s="68"/>
      <c r="K41" s="68"/>
      <c r="L41" s="68"/>
      <c r="M41" s="68"/>
      <c r="N41" s="68"/>
    </row>
    <row r="42">
      <c r="A42" s="68"/>
      <c r="B42" s="68"/>
      <c r="C42" s="68"/>
      <c r="D42" s="68"/>
      <c r="E42" s="68"/>
      <c r="F42" s="68"/>
      <c r="G42" s="68"/>
      <c r="H42" s="68"/>
      <c r="I42" s="68"/>
      <c r="J42" s="68"/>
      <c r="K42" s="68"/>
      <c r="L42" s="68"/>
      <c r="M42" s="68"/>
      <c r="N42" s="68"/>
    </row>
    <row r="43">
      <c r="A43" s="68"/>
      <c r="B43" s="68"/>
      <c r="C43" s="68"/>
      <c r="D43" s="68"/>
      <c r="E43" s="68"/>
      <c r="F43" s="68"/>
      <c r="G43" s="68"/>
      <c r="H43" s="68"/>
      <c r="I43" s="68"/>
      <c r="J43" s="68"/>
      <c r="K43" s="68"/>
      <c r="L43" s="68"/>
      <c r="M43" s="68"/>
      <c r="N43" s="68"/>
    </row>
    <row r="44">
      <c r="A44" s="68"/>
      <c r="B44" s="68"/>
      <c r="C44" s="68"/>
      <c r="D44" s="68"/>
      <c r="E44" s="68"/>
      <c r="F44" s="68"/>
      <c r="G44" s="68"/>
      <c r="H44" s="68"/>
      <c r="I44" s="68"/>
      <c r="J44" s="68"/>
      <c r="K44" s="68"/>
      <c r="L44" s="68"/>
      <c r="M44" s="68"/>
      <c r="N44" s="68"/>
    </row>
    <row r="45">
      <c r="A45" s="68"/>
      <c r="B45" s="68"/>
      <c r="C45" s="68"/>
      <c r="D45" s="68"/>
      <c r="E45" s="68"/>
      <c r="F45" s="68"/>
      <c r="G45" s="68"/>
      <c r="H45" s="68"/>
      <c r="I45" s="68"/>
      <c r="J45" s="68"/>
      <c r="K45" s="68"/>
      <c r="L45" s="68"/>
      <c r="M45" s="68"/>
      <c r="N45" s="68"/>
    </row>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8">
    <mergeCell ref="B5:F6"/>
    <mergeCell ref="E11:G11"/>
    <mergeCell ref="E13:F13"/>
    <mergeCell ref="E15:G15"/>
    <mergeCell ref="E17:F17"/>
    <mergeCell ref="E19:G19"/>
    <mergeCell ref="J19:M19"/>
    <mergeCell ref="H30:I30"/>
    <mergeCell ref="H31:I31"/>
    <mergeCell ref="H32:I32"/>
    <mergeCell ref="H33:I33"/>
    <mergeCell ref="E21:F21"/>
    <mergeCell ref="E23:G23"/>
    <mergeCell ref="E25:L25"/>
    <mergeCell ref="H27:I27"/>
    <mergeCell ref="B28:C29"/>
    <mergeCell ref="H28:I28"/>
    <mergeCell ref="H29:I29"/>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 type="list" allowBlank="1" showInputMessage="1" prompt="Clique e insira um valor de intervalo" sqref="G31:G33">
      <formula1>$L$28:$L$32</formula1>
    </dataValidation>
  </dataValidations>
  <printOptions/>
  <pageMargins bottom="0.787401575" footer="0.0" header="0.0" left="0.511811024" right="0.511811024" top="0.7874015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75"/>
  <cols>
    <col customWidth="1" min="1" max="1" width="2.25"/>
    <col customWidth="1" min="2" max="2" width="14.38"/>
    <col customWidth="1" min="3" max="3" width="7.25"/>
    <col customWidth="1" min="4" max="4" width="2.25"/>
    <col customWidth="1" min="5" max="5" width="21.63"/>
    <col customWidth="1" min="6" max="7" width="14.38"/>
    <col customWidth="1" min="8" max="9" width="2.25"/>
    <col customWidth="1" min="10" max="10" width="7.25"/>
    <col customWidth="1" min="11" max="11" width="2.25"/>
    <col customWidth="1" min="12" max="12" width="14.38"/>
    <col customWidth="1" min="13" max="13" width="3.0"/>
    <col customWidth="1" min="14" max="14" width="3.13"/>
    <col customWidth="1" min="15" max="26" width="14.38"/>
  </cols>
  <sheetData>
    <row r="1" ht="11.25" customHeight="1">
      <c r="A1" s="68"/>
      <c r="B1" s="68"/>
      <c r="C1" s="68"/>
      <c r="D1" s="68"/>
      <c r="E1" s="68"/>
      <c r="F1" s="68"/>
      <c r="G1" s="68"/>
      <c r="H1" s="68"/>
      <c r="I1" s="68"/>
      <c r="J1" s="68"/>
      <c r="K1" s="68"/>
      <c r="L1" s="68"/>
      <c r="M1" s="68"/>
      <c r="N1" s="68"/>
    </row>
    <row r="2">
      <c r="A2" s="68"/>
      <c r="B2" s="69" t="s">
        <v>72</v>
      </c>
      <c r="C2" s="68"/>
      <c r="D2" s="68"/>
      <c r="E2" s="68"/>
      <c r="F2" s="68"/>
      <c r="G2" s="68"/>
      <c r="H2" s="68"/>
      <c r="I2" s="68"/>
      <c r="J2" s="68"/>
      <c r="K2" s="68"/>
      <c r="L2" s="68"/>
      <c r="M2" s="68"/>
      <c r="N2" s="68"/>
    </row>
    <row r="3">
      <c r="A3" s="68"/>
      <c r="B3" s="70" t="s">
        <v>73</v>
      </c>
      <c r="C3" s="68"/>
      <c r="D3" s="68"/>
      <c r="E3" s="68"/>
      <c r="F3" s="68"/>
      <c r="G3" s="68"/>
      <c r="N3" s="68"/>
    </row>
    <row r="4">
      <c r="A4" s="68"/>
      <c r="B4" s="67" t="s">
        <v>179</v>
      </c>
      <c r="C4" s="68"/>
      <c r="D4" s="68"/>
      <c r="E4" s="68"/>
      <c r="F4" s="68"/>
      <c r="G4" s="68"/>
      <c r="H4" s="68"/>
      <c r="I4" s="71"/>
      <c r="J4" s="72" t="s">
        <v>75</v>
      </c>
      <c r="K4" s="68"/>
      <c r="L4" s="68"/>
      <c r="M4" s="73" t="b">
        <v>1</v>
      </c>
      <c r="N4" s="68"/>
    </row>
    <row r="5" ht="23.25" customHeight="1">
      <c r="A5" s="68"/>
      <c r="B5" s="74" t="s">
        <v>76</v>
      </c>
      <c r="G5" s="68"/>
      <c r="H5" s="68"/>
      <c r="I5" s="71"/>
      <c r="J5" s="72" t="s">
        <v>77</v>
      </c>
      <c r="K5" s="68"/>
      <c r="L5" s="68"/>
      <c r="M5" s="73" t="b">
        <v>0</v>
      </c>
      <c r="N5" s="68"/>
    </row>
    <row r="6" ht="23.25" customHeight="1">
      <c r="A6" s="68"/>
      <c r="G6" s="68"/>
      <c r="H6" s="68"/>
      <c r="I6" s="71"/>
      <c r="J6" s="72" t="s">
        <v>78</v>
      </c>
      <c r="K6" s="68"/>
      <c r="L6" s="68"/>
      <c r="M6" s="73" t="b">
        <v>0</v>
      </c>
      <c r="N6" s="68"/>
    </row>
    <row r="7">
      <c r="A7" s="68"/>
      <c r="B7" s="68"/>
      <c r="C7" s="68"/>
      <c r="D7" s="68"/>
      <c r="E7" s="68"/>
      <c r="F7" s="68"/>
      <c r="G7" s="68"/>
      <c r="H7" s="68"/>
      <c r="I7" s="68"/>
      <c r="J7" s="72"/>
      <c r="K7" s="68"/>
      <c r="L7" s="68"/>
      <c r="M7" s="68"/>
      <c r="N7" s="68"/>
    </row>
    <row r="8">
      <c r="A8" s="68"/>
      <c r="B8" s="69" t="s">
        <v>79</v>
      </c>
      <c r="C8" s="68"/>
      <c r="D8" s="68"/>
      <c r="E8" s="68"/>
      <c r="F8" s="68"/>
      <c r="G8" s="68"/>
      <c r="H8" s="68"/>
      <c r="N8" s="68"/>
    </row>
    <row r="9">
      <c r="A9" s="68"/>
      <c r="B9" s="70" t="s">
        <v>80</v>
      </c>
      <c r="C9" s="68"/>
      <c r="D9" s="68"/>
      <c r="E9" s="68"/>
      <c r="F9" s="68"/>
      <c r="G9" s="68"/>
      <c r="H9" s="68"/>
      <c r="I9" s="68"/>
      <c r="J9" s="68"/>
      <c r="K9" s="68"/>
      <c r="L9" s="68"/>
      <c r="M9" s="68"/>
      <c r="N9" s="68"/>
    </row>
    <row r="10">
      <c r="A10" s="68"/>
      <c r="B10" s="68"/>
      <c r="C10" s="68"/>
      <c r="D10" s="68"/>
      <c r="E10" s="68"/>
      <c r="F10" s="68"/>
      <c r="G10" s="68"/>
      <c r="H10" s="68"/>
      <c r="I10" s="68"/>
      <c r="J10" s="68"/>
      <c r="K10" s="68"/>
      <c r="L10" s="68"/>
      <c r="M10" s="68"/>
      <c r="N10" s="68"/>
    </row>
    <row r="11" ht="13.5" customHeight="1">
      <c r="A11" s="68"/>
      <c r="B11" s="75" t="s">
        <v>81</v>
      </c>
      <c r="C11" s="68"/>
      <c r="D11" s="71"/>
      <c r="E11" s="76" t="s">
        <v>180</v>
      </c>
      <c r="F11" s="77"/>
      <c r="G11" s="78"/>
      <c r="H11" s="68"/>
      <c r="I11" s="68"/>
      <c r="J11" s="68"/>
      <c r="K11" s="68"/>
      <c r="L11" s="68"/>
      <c r="M11" s="68"/>
      <c r="N11" s="68"/>
    </row>
    <row r="12">
      <c r="A12" s="68"/>
      <c r="B12" s="68"/>
      <c r="C12" s="68"/>
      <c r="D12" s="68"/>
      <c r="E12" s="68"/>
      <c r="F12" s="68"/>
      <c r="G12" s="68"/>
      <c r="H12" s="68"/>
      <c r="I12" s="71"/>
      <c r="J12" s="72" t="s">
        <v>83</v>
      </c>
      <c r="K12" s="72"/>
      <c r="L12" s="72"/>
      <c r="M12" s="79" t="s">
        <v>84</v>
      </c>
      <c r="N12" s="68"/>
    </row>
    <row r="13">
      <c r="A13" s="68"/>
      <c r="B13" s="75" t="s">
        <v>85</v>
      </c>
      <c r="C13" s="68"/>
      <c r="D13" s="71"/>
      <c r="E13" s="76" t="s">
        <v>86</v>
      </c>
      <c r="F13" s="78"/>
      <c r="G13" s="80"/>
      <c r="H13" s="68"/>
      <c r="I13" s="71"/>
      <c r="J13" s="72" t="s">
        <v>87</v>
      </c>
      <c r="K13" s="72"/>
      <c r="L13" s="72"/>
      <c r="M13" s="79" t="s">
        <v>84</v>
      </c>
      <c r="N13" s="68"/>
    </row>
    <row r="14">
      <c r="A14" s="68"/>
      <c r="B14" s="68"/>
      <c r="C14" s="68"/>
      <c r="D14" s="68"/>
      <c r="E14" s="68"/>
      <c r="F14" s="68"/>
      <c r="G14" s="68"/>
      <c r="H14" s="68"/>
      <c r="I14" s="71"/>
      <c r="J14" s="72" t="s">
        <v>86</v>
      </c>
      <c r="K14" s="72"/>
      <c r="L14" s="72"/>
      <c r="M14" s="79" t="s">
        <v>84</v>
      </c>
      <c r="N14" s="68"/>
    </row>
    <row r="15" ht="30.75" customHeight="1">
      <c r="A15" s="68"/>
      <c r="B15" s="75" t="s">
        <v>88</v>
      </c>
      <c r="C15" s="68"/>
      <c r="D15" s="71"/>
      <c r="E15" s="81" t="s">
        <v>181</v>
      </c>
      <c r="F15" s="77"/>
      <c r="G15" s="78"/>
      <c r="H15" s="82"/>
      <c r="I15" s="82"/>
      <c r="J15" s="83"/>
      <c r="K15" s="83"/>
      <c r="L15" s="83"/>
      <c r="M15" s="83"/>
      <c r="N15" s="68"/>
    </row>
    <row r="16">
      <c r="A16" s="68"/>
      <c r="B16" s="68"/>
      <c r="C16" s="68"/>
      <c r="D16" s="68"/>
      <c r="E16" s="68"/>
      <c r="F16" s="68"/>
      <c r="G16" s="68"/>
      <c r="H16" s="68"/>
      <c r="I16" s="71"/>
      <c r="J16" s="72" t="s">
        <v>90</v>
      </c>
      <c r="K16" s="72"/>
      <c r="L16" s="72"/>
      <c r="M16" s="79" t="s">
        <v>84</v>
      </c>
      <c r="N16" s="68"/>
    </row>
    <row r="17">
      <c r="A17" s="68"/>
      <c r="B17" s="75" t="s">
        <v>91</v>
      </c>
      <c r="C17" s="68"/>
      <c r="D17" s="71"/>
      <c r="E17" s="76" t="s">
        <v>90</v>
      </c>
      <c r="F17" s="78"/>
      <c r="G17" s="80"/>
      <c r="H17" s="68"/>
      <c r="I17" s="71"/>
      <c r="J17" s="72" t="s">
        <v>92</v>
      </c>
      <c r="K17" s="72"/>
      <c r="L17" s="72"/>
      <c r="M17" s="79" t="s">
        <v>84</v>
      </c>
      <c r="N17" s="68"/>
    </row>
    <row r="18">
      <c r="A18" s="68"/>
      <c r="B18" s="84"/>
      <c r="C18" s="85"/>
      <c r="D18" s="85"/>
      <c r="E18" s="85"/>
      <c r="F18" s="68"/>
      <c r="G18" s="68"/>
      <c r="H18" s="68"/>
      <c r="I18" s="71"/>
      <c r="J18" s="86" t="s">
        <v>93</v>
      </c>
      <c r="K18" s="86"/>
      <c r="L18" s="86"/>
      <c r="M18" s="87" t="s">
        <v>84</v>
      </c>
      <c r="N18" s="68"/>
    </row>
    <row r="19" ht="29.25" customHeight="1">
      <c r="A19" s="68"/>
      <c r="B19" s="75" t="s">
        <v>94</v>
      </c>
      <c r="C19" s="68"/>
      <c r="D19" s="71"/>
      <c r="E19" s="81" t="s">
        <v>182</v>
      </c>
      <c r="F19" s="77"/>
      <c r="G19" s="78"/>
      <c r="H19" s="68"/>
      <c r="I19" s="68"/>
      <c r="J19" s="88" t="s">
        <v>96</v>
      </c>
      <c r="N19" s="68"/>
    </row>
    <row r="20">
      <c r="A20" s="68"/>
      <c r="B20" s="68"/>
      <c r="C20" s="68"/>
      <c r="D20" s="68"/>
      <c r="E20" s="68"/>
      <c r="F20" s="68"/>
      <c r="G20" s="68"/>
      <c r="H20" s="68"/>
      <c r="I20" s="71"/>
      <c r="J20" s="72" t="s">
        <v>97</v>
      </c>
      <c r="K20" s="72"/>
      <c r="L20" s="72"/>
      <c r="M20" s="79" t="s">
        <v>84</v>
      </c>
      <c r="N20" s="68"/>
    </row>
    <row r="21">
      <c r="A21" s="68"/>
      <c r="B21" s="75" t="s">
        <v>98</v>
      </c>
      <c r="C21" s="68"/>
      <c r="D21" s="71"/>
      <c r="E21" s="76" t="s">
        <v>99</v>
      </c>
      <c r="F21" s="78"/>
      <c r="G21" s="80"/>
      <c r="H21" s="68"/>
      <c r="I21" s="71"/>
      <c r="J21" s="72" t="s">
        <v>99</v>
      </c>
      <c r="K21" s="72"/>
      <c r="L21" s="72"/>
      <c r="M21" s="79" t="s">
        <v>84</v>
      </c>
      <c r="N21" s="68"/>
    </row>
    <row r="22">
      <c r="A22" s="68"/>
      <c r="B22" s="68"/>
      <c r="C22" s="68"/>
      <c r="D22" s="68"/>
      <c r="E22" s="68"/>
      <c r="F22" s="68"/>
      <c r="G22" s="68"/>
      <c r="H22" s="68"/>
      <c r="I22" s="71"/>
      <c r="J22" s="72" t="s">
        <v>100</v>
      </c>
      <c r="K22" s="72"/>
      <c r="L22" s="72"/>
      <c r="M22" s="79" t="s">
        <v>84</v>
      </c>
      <c r="N22" s="68"/>
    </row>
    <row r="23" ht="39.75" customHeight="1">
      <c r="A23" s="68"/>
      <c r="B23" s="75" t="s">
        <v>101</v>
      </c>
      <c r="C23" s="68"/>
      <c r="D23" s="71"/>
      <c r="E23" s="81" t="s">
        <v>183</v>
      </c>
      <c r="F23" s="77"/>
      <c r="G23" s="78"/>
      <c r="H23" s="68"/>
      <c r="I23" s="68"/>
      <c r="J23" s="68"/>
      <c r="K23" s="68"/>
      <c r="L23" s="68"/>
      <c r="M23" s="68"/>
      <c r="N23" s="68"/>
    </row>
    <row r="24">
      <c r="A24" s="68"/>
      <c r="B24" s="68"/>
      <c r="C24" s="68"/>
      <c r="D24" s="68"/>
      <c r="E24" s="68"/>
      <c r="F24" s="68"/>
      <c r="G24" s="68"/>
      <c r="H24" s="68"/>
      <c r="I24" s="68"/>
      <c r="J24" s="68"/>
      <c r="K24" s="68"/>
      <c r="L24" s="68"/>
      <c r="M24" s="68"/>
      <c r="N24" s="68"/>
    </row>
    <row r="25" ht="41.25" customHeight="1">
      <c r="A25" s="68"/>
      <c r="B25" s="75" t="s">
        <v>103</v>
      </c>
      <c r="C25" s="68"/>
      <c r="D25" s="71"/>
      <c r="E25" s="81" t="s">
        <v>184</v>
      </c>
      <c r="F25" s="77"/>
      <c r="G25" s="77"/>
      <c r="H25" s="77"/>
      <c r="I25" s="77"/>
      <c r="J25" s="77"/>
      <c r="K25" s="77"/>
      <c r="L25" s="78"/>
      <c r="M25" s="68"/>
      <c r="N25" s="68"/>
    </row>
    <row r="26">
      <c r="A26" s="68"/>
      <c r="B26" s="68"/>
      <c r="C26" s="68"/>
      <c r="D26" s="68"/>
      <c r="E26" s="68"/>
      <c r="F26" s="68"/>
      <c r="G26" s="68"/>
      <c r="H26" s="68"/>
      <c r="I26" s="68"/>
      <c r="J26" s="68"/>
      <c r="K26" s="68"/>
      <c r="L26" s="68"/>
      <c r="M26" s="68"/>
      <c r="N26" s="68"/>
    </row>
    <row r="27">
      <c r="A27" s="68"/>
      <c r="B27" s="75" t="s">
        <v>105</v>
      </c>
      <c r="C27" s="68"/>
      <c r="D27" s="71"/>
      <c r="E27" s="89" t="s">
        <v>106</v>
      </c>
      <c r="F27" s="90" t="s">
        <v>107</v>
      </c>
      <c r="G27" s="89" t="s">
        <v>108</v>
      </c>
      <c r="H27" s="91" t="s">
        <v>109</v>
      </c>
      <c r="I27" s="92"/>
      <c r="J27" s="84"/>
      <c r="K27" s="84"/>
      <c r="L27" s="80"/>
      <c r="M27" s="68"/>
      <c r="N27" s="68"/>
    </row>
    <row r="28">
      <c r="A28" s="68"/>
      <c r="B28" s="93" t="s">
        <v>71</v>
      </c>
      <c r="D28" s="71"/>
      <c r="E28" s="94" t="s">
        <v>116</v>
      </c>
      <c r="F28" s="95" t="s">
        <v>185</v>
      </c>
      <c r="G28" s="95" t="s">
        <v>112</v>
      </c>
      <c r="H28" s="96"/>
      <c r="I28" s="78"/>
      <c r="J28" s="84"/>
      <c r="K28" s="71"/>
      <c r="L28" s="72" t="s">
        <v>37</v>
      </c>
      <c r="M28" s="79" t="s">
        <v>84</v>
      </c>
      <c r="N28" s="68"/>
    </row>
    <row r="29">
      <c r="A29" s="68"/>
      <c r="D29" s="71"/>
      <c r="E29" s="94" t="s">
        <v>186</v>
      </c>
      <c r="F29" s="95" t="s">
        <v>187</v>
      </c>
      <c r="G29" s="95" t="s">
        <v>112</v>
      </c>
      <c r="H29" s="96"/>
      <c r="I29" s="78"/>
      <c r="J29" s="84"/>
      <c r="K29" s="71"/>
      <c r="L29" s="72" t="s">
        <v>115</v>
      </c>
      <c r="M29" s="68"/>
      <c r="N29" s="68"/>
    </row>
    <row r="30">
      <c r="A30" s="68"/>
      <c r="B30" s="68"/>
      <c r="C30" s="68"/>
      <c r="D30" s="71"/>
      <c r="E30" s="94" t="s">
        <v>188</v>
      </c>
      <c r="F30" s="95" t="s">
        <v>189</v>
      </c>
      <c r="G30" s="95" t="s">
        <v>115</v>
      </c>
      <c r="H30" s="96"/>
      <c r="I30" s="78"/>
      <c r="J30" s="84"/>
      <c r="K30" s="71"/>
      <c r="L30" s="72" t="s">
        <v>112</v>
      </c>
      <c r="M30" s="68"/>
      <c r="N30" s="68"/>
    </row>
    <row r="31">
      <c r="A31" s="68"/>
      <c r="B31" s="68"/>
      <c r="C31" s="68"/>
      <c r="D31" s="71"/>
      <c r="E31" s="94" t="s">
        <v>190</v>
      </c>
      <c r="F31" s="95" t="s">
        <v>191</v>
      </c>
      <c r="G31" s="95" t="s">
        <v>112</v>
      </c>
      <c r="H31" s="96"/>
      <c r="I31" s="78"/>
      <c r="J31" s="84"/>
      <c r="K31" s="71"/>
      <c r="L31" s="72" t="s">
        <v>41</v>
      </c>
      <c r="M31" s="68"/>
      <c r="N31" s="68"/>
    </row>
    <row r="32">
      <c r="A32" s="68"/>
      <c r="B32" s="68"/>
      <c r="C32" s="68"/>
      <c r="D32" s="71"/>
      <c r="E32" s="94"/>
      <c r="F32" s="95"/>
      <c r="G32" s="95"/>
      <c r="H32" s="96"/>
      <c r="I32" s="78"/>
      <c r="J32" s="68"/>
      <c r="K32" s="71"/>
      <c r="L32" s="72" t="s">
        <v>42</v>
      </c>
      <c r="M32" s="68"/>
      <c r="N32" s="68"/>
    </row>
    <row r="33">
      <c r="A33" s="68"/>
      <c r="B33" s="68"/>
      <c r="C33" s="68"/>
      <c r="D33" s="71"/>
      <c r="E33" s="94"/>
      <c r="F33" s="95"/>
      <c r="G33" s="95"/>
      <c r="H33" s="96"/>
      <c r="I33" s="78"/>
      <c r="J33" s="68"/>
      <c r="K33" s="68"/>
      <c r="L33" s="68"/>
      <c r="M33" s="68"/>
      <c r="N33" s="68"/>
    </row>
    <row r="34">
      <c r="A34" s="68"/>
      <c r="B34" s="75"/>
      <c r="C34" s="68"/>
      <c r="D34" s="68"/>
      <c r="E34" s="68"/>
      <c r="F34" s="68"/>
      <c r="G34" s="68"/>
      <c r="H34" s="68"/>
      <c r="I34" s="68"/>
      <c r="J34" s="68"/>
      <c r="K34" s="68"/>
      <c r="L34" s="68"/>
      <c r="M34" s="68"/>
      <c r="N34" s="68"/>
    </row>
    <row r="35">
      <c r="A35" s="68"/>
      <c r="B35" s="75" t="s">
        <v>118</v>
      </c>
      <c r="C35" s="68"/>
      <c r="D35" s="68"/>
      <c r="E35" s="68"/>
      <c r="F35" s="68"/>
      <c r="G35" s="68"/>
      <c r="H35" s="68"/>
      <c r="I35" s="68"/>
      <c r="J35" s="68"/>
      <c r="K35" s="68"/>
      <c r="L35" s="68"/>
      <c r="M35" s="68"/>
      <c r="N35" s="68"/>
    </row>
    <row r="36">
      <c r="A36" s="68"/>
      <c r="B36" s="72" t="s">
        <v>119</v>
      </c>
      <c r="C36" s="68"/>
      <c r="D36" s="68"/>
      <c r="E36" s="68"/>
      <c r="F36" s="68"/>
      <c r="G36" s="68"/>
      <c r="H36" s="68"/>
      <c r="I36" s="68"/>
      <c r="J36" s="68"/>
      <c r="K36" s="68"/>
      <c r="L36" s="68"/>
      <c r="M36" s="68"/>
      <c r="N36" s="68"/>
    </row>
    <row r="37">
      <c r="A37" s="68"/>
      <c r="B37" s="68"/>
      <c r="C37" s="68"/>
      <c r="D37" s="68"/>
      <c r="E37" s="68"/>
      <c r="F37" s="68"/>
      <c r="G37" s="68"/>
      <c r="H37" s="68"/>
      <c r="I37" s="68"/>
      <c r="J37" s="68"/>
      <c r="K37" s="68"/>
      <c r="L37" s="68"/>
      <c r="M37" s="68"/>
      <c r="N37" s="68"/>
    </row>
    <row r="38">
      <c r="A38" s="68"/>
      <c r="B38" s="68"/>
      <c r="C38" s="68"/>
      <c r="D38" s="68"/>
      <c r="E38" s="68"/>
      <c r="F38" s="68"/>
      <c r="G38" s="68"/>
      <c r="H38" s="68"/>
      <c r="I38" s="68"/>
      <c r="J38" s="68"/>
      <c r="K38" s="68"/>
      <c r="L38" s="68"/>
      <c r="M38" s="68"/>
      <c r="N38" s="68"/>
    </row>
    <row r="39">
      <c r="A39" s="68"/>
      <c r="B39" s="68"/>
      <c r="C39" s="68"/>
      <c r="D39" s="68"/>
      <c r="E39" s="68"/>
      <c r="F39" s="68"/>
      <c r="G39" s="68"/>
      <c r="H39" s="68"/>
      <c r="I39" s="68"/>
      <c r="J39" s="68"/>
      <c r="K39" s="68"/>
      <c r="L39" s="68"/>
      <c r="M39" s="68"/>
      <c r="N39" s="68"/>
    </row>
    <row r="40">
      <c r="A40" s="68"/>
      <c r="B40" s="68"/>
      <c r="C40" s="68"/>
      <c r="D40" s="68"/>
      <c r="E40" s="68"/>
      <c r="F40" s="68"/>
      <c r="G40" s="68"/>
      <c r="H40" s="68"/>
      <c r="I40" s="68"/>
      <c r="J40" s="68"/>
      <c r="K40" s="68"/>
      <c r="L40" s="68"/>
      <c r="M40" s="68"/>
      <c r="N40" s="68"/>
    </row>
    <row r="41">
      <c r="A41" s="68"/>
      <c r="B41" s="68"/>
      <c r="C41" s="68"/>
      <c r="D41" s="68"/>
      <c r="E41" s="68"/>
      <c r="F41" s="68"/>
      <c r="G41" s="68"/>
      <c r="H41" s="68"/>
      <c r="I41" s="68"/>
      <c r="J41" s="68"/>
      <c r="K41" s="68"/>
      <c r="L41" s="68"/>
      <c r="M41" s="68"/>
      <c r="N41" s="68"/>
    </row>
    <row r="42">
      <c r="A42" s="68"/>
      <c r="B42" s="68"/>
      <c r="C42" s="68"/>
      <c r="D42" s="68"/>
      <c r="E42" s="68"/>
      <c r="F42" s="68"/>
      <c r="G42" s="68"/>
      <c r="H42" s="68"/>
      <c r="I42" s="68"/>
      <c r="J42" s="68"/>
      <c r="K42" s="68"/>
      <c r="L42" s="68"/>
      <c r="M42" s="68"/>
      <c r="N42" s="68"/>
    </row>
    <row r="43">
      <c r="A43" s="68"/>
      <c r="B43" s="68"/>
      <c r="C43" s="68"/>
      <c r="D43" s="68"/>
      <c r="E43" s="68"/>
      <c r="F43" s="68"/>
      <c r="G43" s="68"/>
      <c r="H43" s="68"/>
      <c r="I43" s="68"/>
      <c r="J43" s="68"/>
      <c r="K43" s="68"/>
      <c r="L43" s="68"/>
      <c r="M43" s="68"/>
      <c r="N43" s="68"/>
    </row>
    <row r="44">
      <c r="A44" s="68"/>
      <c r="B44" s="68"/>
      <c r="C44" s="68"/>
      <c r="D44" s="68"/>
      <c r="E44" s="68"/>
      <c r="F44" s="68"/>
      <c r="G44" s="68"/>
      <c r="H44" s="68"/>
      <c r="I44" s="68"/>
      <c r="J44" s="68"/>
      <c r="K44" s="68"/>
      <c r="L44" s="68"/>
      <c r="M44" s="68"/>
      <c r="N44" s="68"/>
    </row>
    <row r="45">
      <c r="A45" s="68"/>
      <c r="B45" s="68"/>
      <c r="C45" s="68"/>
      <c r="D45" s="68"/>
      <c r="E45" s="68"/>
      <c r="F45" s="68"/>
      <c r="G45" s="68"/>
      <c r="H45" s="68"/>
      <c r="I45" s="68"/>
      <c r="J45" s="68"/>
      <c r="K45" s="68"/>
      <c r="L45" s="68"/>
      <c r="M45" s="68"/>
      <c r="N45" s="68"/>
    </row>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8">
    <mergeCell ref="B5:F6"/>
    <mergeCell ref="E11:G11"/>
    <mergeCell ref="E13:F13"/>
    <mergeCell ref="E15:G15"/>
    <mergeCell ref="E17:F17"/>
    <mergeCell ref="E19:G19"/>
    <mergeCell ref="J19:M19"/>
    <mergeCell ref="H30:I30"/>
    <mergeCell ref="H31:I31"/>
    <mergeCell ref="H32:I32"/>
    <mergeCell ref="H33:I33"/>
    <mergeCell ref="E21:F21"/>
    <mergeCell ref="E23:G23"/>
    <mergeCell ref="E25:L25"/>
    <mergeCell ref="H27:I27"/>
    <mergeCell ref="B28:C29"/>
    <mergeCell ref="H28:I28"/>
    <mergeCell ref="H29:I29"/>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 type="list" allowBlank="1" showInputMessage="1" prompt="Clique e insira um valor de intervalo" sqref="G28:G33">
      <formula1>$L$28:$L$32</formula1>
    </dataValidation>
  </dataValidations>
  <printOptions/>
  <pageMargins bottom="0.787401575" footer="0.0" header="0.0" left="0.511811024" right="0.511811024" top="0.7874015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75"/>
  <cols>
    <col customWidth="1" min="1" max="1" width="2.25"/>
    <col customWidth="1" min="2" max="2" width="14.38"/>
    <col customWidth="1" min="3" max="3" width="7.25"/>
    <col customWidth="1" min="4" max="4" width="2.25"/>
    <col customWidth="1" min="5" max="5" width="21.63"/>
    <col customWidth="1" min="6" max="7" width="14.38"/>
    <col customWidth="1" min="8" max="9" width="2.25"/>
    <col customWidth="1" min="10" max="10" width="7.25"/>
    <col customWidth="1" min="11" max="11" width="2.25"/>
    <col customWidth="1" min="12" max="12" width="14.38"/>
    <col customWidth="1" min="13" max="13" width="3.0"/>
    <col customWidth="1" min="14" max="14" width="3.13"/>
    <col customWidth="1" min="15" max="26" width="14.38"/>
  </cols>
  <sheetData>
    <row r="1" ht="11.25" customHeight="1">
      <c r="A1" s="68"/>
      <c r="B1" s="68"/>
      <c r="C1" s="68"/>
      <c r="D1" s="68"/>
      <c r="E1" s="68"/>
      <c r="F1" s="68"/>
      <c r="G1" s="68"/>
      <c r="H1" s="68"/>
      <c r="I1" s="68"/>
      <c r="J1" s="68"/>
      <c r="K1" s="68"/>
      <c r="L1" s="68"/>
      <c r="M1" s="68"/>
      <c r="N1" s="68"/>
    </row>
    <row r="2">
      <c r="A2" s="68"/>
      <c r="B2" s="69" t="s">
        <v>72</v>
      </c>
      <c r="C2" s="68"/>
      <c r="D2" s="68"/>
      <c r="E2" s="68"/>
      <c r="F2" s="68"/>
      <c r="G2" s="68"/>
      <c r="H2" s="68"/>
      <c r="I2" s="68"/>
      <c r="J2" s="68"/>
      <c r="K2" s="68"/>
      <c r="L2" s="68"/>
      <c r="M2" s="68"/>
      <c r="N2" s="68"/>
    </row>
    <row r="3">
      <c r="A3" s="68"/>
      <c r="B3" s="70" t="s">
        <v>73</v>
      </c>
      <c r="C3" s="68"/>
      <c r="D3" s="68"/>
      <c r="E3" s="68"/>
      <c r="F3" s="68"/>
      <c r="G3" s="68"/>
      <c r="N3" s="68"/>
    </row>
    <row r="4">
      <c r="A4" s="68"/>
      <c r="B4" s="67" t="s">
        <v>192</v>
      </c>
      <c r="C4" s="68"/>
      <c r="D4" s="68"/>
      <c r="E4" s="68"/>
      <c r="F4" s="68"/>
      <c r="G4" s="68"/>
      <c r="H4" s="68"/>
      <c r="I4" s="71"/>
      <c r="J4" s="72" t="s">
        <v>75</v>
      </c>
      <c r="K4" s="68"/>
      <c r="L4" s="68"/>
      <c r="M4" s="73" t="b">
        <v>1</v>
      </c>
      <c r="N4" s="68"/>
    </row>
    <row r="5" ht="23.25" customHeight="1">
      <c r="A5" s="68"/>
      <c r="B5" s="74" t="s">
        <v>76</v>
      </c>
      <c r="G5" s="68"/>
      <c r="H5" s="68"/>
      <c r="I5" s="71"/>
      <c r="J5" s="72" t="s">
        <v>77</v>
      </c>
      <c r="K5" s="68"/>
      <c r="L5" s="68"/>
      <c r="M5" s="73" t="b">
        <v>0</v>
      </c>
      <c r="N5" s="68"/>
    </row>
    <row r="6" ht="23.25" customHeight="1">
      <c r="A6" s="68"/>
      <c r="G6" s="68"/>
      <c r="H6" s="68"/>
      <c r="I6" s="71"/>
      <c r="J6" s="72" t="s">
        <v>78</v>
      </c>
      <c r="K6" s="68"/>
      <c r="L6" s="68"/>
      <c r="M6" s="73" t="b">
        <v>0</v>
      </c>
      <c r="N6" s="68"/>
    </row>
    <row r="7">
      <c r="A7" s="68"/>
      <c r="B7" s="68"/>
      <c r="C7" s="68"/>
      <c r="D7" s="68"/>
      <c r="E7" s="68"/>
      <c r="F7" s="68"/>
      <c r="G7" s="68"/>
      <c r="H7" s="68"/>
      <c r="I7" s="68"/>
      <c r="J7" s="72"/>
      <c r="K7" s="68"/>
      <c r="L7" s="68"/>
      <c r="M7" s="68"/>
      <c r="N7" s="68"/>
    </row>
    <row r="8">
      <c r="A8" s="68"/>
      <c r="B8" s="69" t="s">
        <v>79</v>
      </c>
      <c r="C8" s="68"/>
      <c r="D8" s="68"/>
      <c r="E8" s="68"/>
      <c r="F8" s="68"/>
      <c r="G8" s="68"/>
      <c r="H8" s="68"/>
      <c r="N8" s="68"/>
    </row>
    <row r="9">
      <c r="A9" s="68"/>
      <c r="B9" s="70" t="s">
        <v>80</v>
      </c>
      <c r="C9" s="68"/>
      <c r="D9" s="68"/>
      <c r="E9" s="68"/>
      <c r="F9" s="68"/>
      <c r="G9" s="68"/>
      <c r="H9" s="68"/>
      <c r="I9" s="68"/>
      <c r="J9" s="68"/>
      <c r="K9" s="68"/>
      <c r="L9" s="68"/>
      <c r="M9" s="68"/>
      <c r="N9" s="68"/>
    </row>
    <row r="10">
      <c r="A10" s="68"/>
      <c r="B10" s="68"/>
      <c r="C10" s="68"/>
      <c r="D10" s="68"/>
      <c r="E10" s="68"/>
      <c r="F10" s="68"/>
      <c r="G10" s="68"/>
      <c r="H10" s="68"/>
      <c r="I10" s="68"/>
      <c r="J10" s="68"/>
      <c r="K10" s="68"/>
      <c r="L10" s="68"/>
      <c r="M10" s="68"/>
      <c r="N10" s="68"/>
    </row>
    <row r="11" ht="13.5" customHeight="1">
      <c r="A11" s="68"/>
      <c r="B11" s="75" t="s">
        <v>81</v>
      </c>
      <c r="C11" s="68"/>
      <c r="D11" s="71"/>
      <c r="E11" s="76" t="s">
        <v>193</v>
      </c>
      <c r="F11" s="77"/>
      <c r="G11" s="78"/>
      <c r="H11" s="68"/>
      <c r="I11" s="68"/>
      <c r="J11" s="68"/>
      <c r="K11" s="68"/>
      <c r="L11" s="68"/>
      <c r="M11" s="68"/>
      <c r="N11" s="68"/>
    </row>
    <row r="12">
      <c r="A12" s="68"/>
      <c r="B12" s="68"/>
      <c r="C12" s="68"/>
      <c r="D12" s="68"/>
      <c r="E12" s="68"/>
      <c r="F12" s="68"/>
      <c r="G12" s="68"/>
      <c r="H12" s="68"/>
      <c r="I12" s="71"/>
      <c r="J12" s="72" t="s">
        <v>83</v>
      </c>
      <c r="K12" s="72"/>
      <c r="L12" s="72"/>
      <c r="M12" s="79" t="s">
        <v>84</v>
      </c>
      <c r="N12" s="68"/>
    </row>
    <row r="13">
      <c r="A13" s="68"/>
      <c r="B13" s="75" t="s">
        <v>85</v>
      </c>
      <c r="C13" s="68"/>
      <c r="D13" s="71"/>
      <c r="E13" s="76" t="s">
        <v>87</v>
      </c>
      <c r="F13" s="78"/>
      <c r="G13" s="80"/>
      <c r="H13" s="68"/>
      <c r="I13" s="71"/>
      <c r="J13" s="72" t="s">
        <v>87</v>
      </c>
      <c r="K13" s="72"/>
      <c r="L13" s="72"/>
      <c r="M13" s="79" t="s">
        <v>84</v>
      </c>
      <c r="N13" s="68"/>
    </row>
    <row r="14">
      <c r="A14" s="68"/>
      <c r="B14" s="68"/>
      <c r="C14" s="68"/>
      <c r="D14" s="68"/>
      <c r="E14" s="68"/>
      <c r="F14" s="68"/>
      <c r="G14" s="68"/>
      <c r="H14" s="68"/>
      <c r="I14" s="71"/>
      <c r="J14" s="72" t="s">
        <v>86</v>
      </c>
      <c r="K14" s="72"/>
      <c r="L14" s="72"/>
      <c r="M14" s="79" t="s">
        <v>84</v>
      </c>
      <c r="N14" s="68"/>
    </row>
    <row r="15" ht="55.5" customHeight="1">
      <c r="A15" s="68"/>
      <c r="B15" s="75" t="s">
        <v>88</v>
      </c>
      <c r="C15" s="68"/>
      <c r="D15" s="71"/>
      <c r="E15" s="81" t="s">
        <v>194</v>
      </c>
      <c r="F15" s="77"/>
      <c r="G15" s="78"/>
      <c r="H15" s="98"/>
      <c r="I15" s="82"/>
      <c r="J15" s="83"/>
      <c r="K15" s="83"/>
      <c r="L15" s="83"/>
      <c r="M15" s="83"/>
      <c r="N15" s="68"/>
    </row>
    <row r="16">
      <c r="A16" s="68"/>
      <c r="B16" s="68"/>
      <c r="C16" s="68"/>
      <c r="D16" s="68"/>
      <c r="E16" s="68"/>
      <c r="F16" s="68"/>
      <c r="G16" s="68"/>
      <c r="H16" s="68"/>
      <c r="I16" s="71"/>
      <c r="J16" s="72" t="s">
        <v>90</v>
      </c>
      <c r="K16" s="72"/>
      <c r="L16" s="72"/>
      <c r="M16" s="79" t="s">
        <v>84</v>
      </c>
      <c r="N16" s="68"/>
    </row>
    <row r="17">
      <c r="A17" s="68"/>
      <c r="B17" s="75" t="s">
        <v>91</v>
      </c>
      <c r="C17" s="68"/>
      <c r="D17" s="71"/>
      <c r="E17" s="76" t="s">
        <v>90</v>
      </c>
      <c r="F17" s="78"/>
      <c r="G17" s="80"/>
      <c r="H17" s="68"/>
      <c r="I17" s="71"/>
      <c r="J17" s="72" t="s">
        <v>92</v>
      </c>
      <c r="K17" s="72"/>
      <c r="L17" s="72"/>
      <c r="M17" s="79" t="s">
        <v>84</v>
      </c>
      <c r="N17" s="68"/>
    </row>
    <row r="18">
      <c r="A18" s="68"/>
      <c r="B18" s="84"/>
      <c r="C18" s="85"/>
      <c r="D18" s="85"/>
      <c r="E18" s="85"/>
      <c r="F18" s="68"/>
      <c r="G18" s="68"/>
      <c r="H18" s="68"/>
      <c r="I18" s="71"/>
      <c r="J18" s="86" t="s">
        <v>93</v>
      </c>
      <c r="K18" s="86"/>
      <c r="L18" s="86"/>
      <c r="M18" s="87" t="s">
        <v>84</v>
      </c>
      <c r="N18" s="68"/>
    </row>
    <row r="19" ht="82.5" customHeight="1">
      <c r="A19" s="68"/>
      <c r="B19" s="75" t="s">
        <v>94</v>
      </c>
      <c r="C19" s="68"/>
      <c r="D19" s="71"/>
      <c r="E19" s="81" t="s">
        <v>195</v>
      </c>
      <c r="F19" s="77"/>
      <c r="G19" s="78"/>
      <c r="H19" s="68"/>
      <c r="I19" s="68"/>
      <c r="J19" s="88" t="s">
        <v>96</v>
      </c>
      <c r="N19" s="68"/>
    </row>
    <row r="20">
      <c r="A20" s="68"/>
      <c r="B20" s="68"/>
      <c r="C20" s="68"/>
      <c r="D20" s="68"/>
      <c r="E20" s="68"/>
      <c r="F20" s="68"/>
      <c r="G20" s="68"/>
      <c r="H20" s="68"/>
      <c r="I20" s="71"/>
      <c r="J20" s="72" t="s">
        <v>97</v>
      </c>
      <c r="K20" s="72"/>
      <c r="L20" s="72"/>
      <c r="M20" s="79" t="s">
        <v>84</v>
      </c>
      <c r="N20" s="68"/>
    </row>
    <row r="21">
      <c r="A21" s="68"/>
      <c r="B21" s="75" t="s">
        <v>98</v>
      </c>
      <c r="C21" s="68"/>
      <c r="D21" s="71"/>
      <c r="E21" s="76" t="s">
        <v>100</v>
      </c>
      <c r="F21" s="78"/>
      <c r="G21" s="80"/>
      <c r="H21" s="68"/>
      <c r="I21" s="71"/>
      <c r="J21" s="72" t="s">
        <v>99</v>
      </c>
      <c r="K21" s="72"/>
      <c r="L21" s="72"/>
      <c r="M21" s="79" t="s">
        <v>84</v>
      </c>
      <c r="N21" s="68"/>
    </row>
    <row r="22">
      <c r="A22" s="68"/>
      <c r="B22" s="68"/>
      <c r="C22" s="68"/>
      <c r="D22" s="68"/>
      <c r="E22" s="68"/>
      <c r="F22" s="68"/>
      <c r="G22" s="68"/>
      <c r="H22" s="68"/>
      <c r="I22" s="71"/>
      <c r="J22" s="72" t="s">
        <v>100</v>
      </c>
      <c r="K22" s="72"/>
      <c r="L22" s="72"/>
      <c r="M22" s="79" t="s">
        <v>84</v>
      </c>
      <c r="N22" s="68"/>
    </row>
    <row r="23" ht="207.0" customHeight="1">
      <c r="A23" s="68"/>
      <c r="B23" s="75" t="s">
        <v>101</v>
      </c>
      <c r="C23" s="68"/>
      <c r="D23" s="71"/>
      <c r="E23" s="81" t="s">
        <v>196</v>
      </c>
      <c r="F23" s="77"/>
      <c r="G23" s="78"/>
      <c r="H23" s="68"/>
      <c r="I23" s="68"/>
      <c r="J23" s="68"/>
      <c r="K23" s="68"/>
      <c r="L23" s="68"/>
      <c r="M23" s="68"/>
      <c r="N23" s="68"/>
    </row>
    <row r="24">
      <c r="A24" s="68"/>
      <c r="B24" s="68"/>
      <c r="C24" s="68"/>
      <c r="D24" s="68"/>
      <c r="E24" s="68"/>
      <c r="F24" s="68"/>
      <c r="G24" s="68"/>
      <c r="H24" s="68"/>
      <c r="I24" s="68"/>
      <c r="J24" s="68"/>
      <c r="K24" s="68"/>
      <c r="L24" s="68"/>
      <c r="M24" s="68"/>
      <c r="N24" s="68"/>
    </row>
    <row r="25" ht="41.25" customHeight="1">
      <c r="A25" s="68"/>
      <c r="B25" s="75" t="s">
        <v>103</v>
      </c>
      <c r="C25" s="68"/>
      <c r="D25" s="71"/>
      <c r="E25" s="81" t="s">
        <v>197</v>
      </c>
      <c r="F25" s="77"/>
      <c r="G25" s="77"/>
      <c r="H25" s="77"/>
      <c r="I25" s="77"/>
      <c r="J25" s="77"/>
      <c r="K25" s="77"/>
      <c r="L25" s="78"/>
      <c r="M25" s="68"/>
      <c r="N25" s="68"/>
    </row>
    <row r="26">
      <c r="A26" s="68"/>
      <c r="B26" s="68"/>
      <c r="C26" s="68"/>
      <c r="D26" s="68"/>
      <c r="E26" s="68"/>
      <c r="F26" s="68"/>
      <c r="G26" s="68"/>
      <c r="H26" s="68"/>
      <c r="I26" s="68"/>
      <c r="J26" s="68"/>
      <c r="K26" s="68"/>
      <c r="L26" s="68"/>
      <c r="M26" s="68"/>
      <c r="N26" s="68"/>
    </row>
    <row r="27">
      <c r="A27" s="68"/>
      <c r="B27" s="75" t="s">
        <v>105</v>
      </c>
      <c r="C27" s="68"/>
      <c r="D27" s="71"/>
      <c r="E27" s="89" t="s">
        <v>106</v>
      </c>
      <c r="F27" s="90" t="s">
        <v>107</v>
      </c>
      <c r="G27" s="89" t="s">
        <v>108</v>
      </c>
      <c r="H27" s="91" t="s">
        <v>109</v>
      </c>
      <c r="I27" s="92"/>
      <c r="J27" s="84"/>
      <c r="K27" s="84"/>
      <c r="L27" s="80"/>
      <c r="M27" s="68"/>
      <c r="N27" s="68"/>
    </row>
    <row r="28">
      <c r="A28" s="68"/>
      <c r="B28" s="93" t="s">
        <v>71</v>
      </c>
      <c r="D28" s="71"/>
      <c r="E28" s="94" t="s">
        <v>129</v>
      </c>
      <c r="F28" s="95" t="s">
        <v>164</v>
      </c>
      <c r="G28" s="95" t="s">
        <v>41</v>
      </c>
      <c r="H28" s="96"/>
      <c r="I28" s="78"/>
      <c r="J28" s="84"/>
      <c r="K28" s="71"/>
      <c r="L28" s="72" t="s">
        <v>37</v>
      </c>
      <c r="M28" s="79" t="s">
        <v>84</v>
      </c>
      <c r="N28" s="68"/>
    </row>
    <row r="29">
      <c r="A29" s="68"/>
      <c r="D29" s="71"/>
      <c r="E29" s="94" t="s">
        <v>113</v>
      </c>
      <c r="F29" s="95" t="s">
        <v>114</v>
      </c>
      <c r="G29" s="95" t="s">
        <v>112</v>
      </c>
      <c r="H29" s="96"/>
      <c r="I29" s="78"/>
      <c r="J29" s="84"/>
      <c r="K29" s="71"/>
      <c r="L29" s="72" t="s">
        <v>115</v>
      </c>
      <c r="M29" s="68"/>
      <c r="N29" s="68"/>
    </row>
    <row r="30">
      <c r="A30" s="68"/>
      <c r="B30" s="68"/>
      <c r="C30" s="68"/>
      <c r="D30" s="71"/>
      <c r="E30" s="94"/>
      <c r="F30" s="95"/>
      <c r="G30" s="95"/>
      <c r="H30" s="96"/>
      <c r="I30" s="78"/>
      <c r="J30" s="84"/>
      <c r="K30" s="71"/>
      <c r="L30" s="72" t="s">
        <v>112</v>
      </c>
      <c r="M30" s="68"/>
      <c r="N30" s="68"/>
    </row>
    <row r="31">
      <c r="A31" s="68"/>
      <c r="B31" s="68"/>
      <c r="C31" s="68"/>
      <c r="D31" s="71"/>
      <c r="E31" s="94"/>
      <c r="F31" s="95"/>
      <c r="G31" s="95"/>
      <c r="H31" s="96"/>
      <c r="I31" s="78"/>
      <c r="J31" s="84"/>
      <c r="K31" s="71"/>
      <c r="L31" s="72" t="s">
        <v>41</v>
      </c>
      <c r="M31" s="68"/>
      <c r="N31" s="68"/>
    </row>
    <row r="32">
      <c r="A32" s="68"/>
      <c r="B32" s="68"/>
      <c r="C32" s="68"/>
      <c r="D32" s="71"/>
      <c r="E32" s="94"/>
      <c r="F32" s="95"/>
      <c r="G32" s="95"/>
      <c r="H32" s="96"/>
      <c r="I32" s="78"/>
      <c r="J32" s="68"/>
      <c r="K32" s="71"/>
      <c r="L32" s="72" t="s">
        <v>42</v>
      </c>
      <c r="M32" s="68"/>
      <c r="N32" s="68"/>
    </row>
    <row r="33">
      <c r="A33" s="68"/>
      <c r="B33" s="68"/>
      <c r="C33" s="68"/>
      <c r="D33" s="71"/>
      <c r="E33" s="94"/>
      <c r="F33" s="95"/>
      <c r="G33" s="95"/>
      <c r="H33" s="96"/>
      <c r="I33" s="78"/>
      <c r="J33" s="68"/>
      <c r="K33" s="68"/>
      <c r="L33" s="68"/>
      <c r="M33" s="68"/>
      <c r="N33" s="68"/>
    </row>
    <row r="34">
      <c r="A34" s="68"/>
      <c r="B34" s="75"/>
      <c r="C34" s="68"/>
      <c r="D34" s="68"/>
      <c r="E34" s="68"/>
      <c r="F34" s="68"/>
      <c r="G34" s="68"/>
      <c r="H34" s="68"/>
      <c r="I34" s="68"/>
      <c r="J34" s="68"/>
      <c r="K34" s="68"/>
      <c r="L34" s="68"/>
      <c r="M34" s="68"/>
      <c r="N34" s="68"/>
    </row>
    <row r="35">
      <c r="A35" s="68"/>
      <c r="B35" s="75" t="s">
        <v>118</v>
      </c>
      <c r="C35" s="68"/>
      <c r="D35" s="68"/>
      <c r="E35" s="68"/>
      <c r="F35" s="68"/>
      <c r="G35" s="68"/>
      <c r="H35" s="68"/>
      <c r="I35" s="68"/>
      <c r="J35" s="68"/>
      <c r="K35" s="68"/>
      <c r="L35" s="68"/>
      <c r="M35" s="68"/>
      <c r="N35" s="68"/>
    </row>
    <row r="36">
      <c r="A36" s="68"/>
      <c r="B36" s="72"/>
      <c r="C36" s="68"/>
      <c r="D36" s="68"/>
      <c r="E36" s="68"/>
      <c r="F36" s="68"/>
      <c r="G36" s="68"/>
      <c r="H36" s="68"/>
      <c r="I36" s="68"/>
      <c r="J36" s="68"/>
      <c r="K36" s="68"/>
      <c r="L36" s="68"/>
      <c r="M36" s="68"/>
      <c r="N36" s="68"/>
    </row>
    <row r="37">
      <c r="A37" s="68"/>
      <c r="B37" s="68"/>
      <c r="C37" s="68"/>
      <c r="D37" s="68"/>
      <c r="E37" s="68"/>
      <c r="F37" s="68"/>
      <c r="G37" s="68"/>
      <c r="H37" s="68"/>
      <c r="I37" s="68"/>
      <c r="J37" s="68"/>
      <c r="K37" s="68"/>
      <c r="L37" s="68"/>
      <c r="M37" s="68"/>
      <c r="N37" s="68"/>
    </row>
    <row r="38">
      <c r="A38" s="68"/>
      <c r="B38" s="68"/>
      <c r="C38" s="68"/>
      <c r="D38" s="68"/>
      <c r="E38" s="68"/>
      <c r="F38" s="68"/>
      <c r="G38" s="68"/>
      <c r="H38" s="68"/>
      <c r="I38" s="68"/>
      <c r="J38" s="68"/>
      <c r="K38" s="68"/>
      <c r="L38" s="68"/>
      <c r="M38" s="68"/>
      <c r="N38" s="68"/>
    </row>
    <row r="39">
      <c r="A39" s="68"/>
      <c r="B39" s="68"/>
      <c r="C39" s="68"/>
      <c r="D39" s="68"/>
      <c r="E39" s="68"/>
      <c r="F39" s="68"/>
      <c r="G39" s="68"/>
      <c r="H39" s="68"/>
      <c r="I39" s="68"/>
      <c r="J39" s="68"/>
      <c r="K39" s="68"/>
      <c r="L39" s="68"/>
      <c r="M39" s="68"/>
      <c r="N39" s="68"/>
    </row>
    <row r="40">
      <c r="A40" s="68"/>
      <c r="B40" s="68"/>
      <c r="C40" s="68"/>
      <c r="D40" s="68"/>
      <c r="E40" s="68"/>
      <c r="F40" s="68"/>
      <c r="G40" s="68"/>
      <c r="H40" s="68"/>
      <c r="I40" s="68"/>
      <c r="J40" s="68"/>
      <c r="K40" s="68"/>
      <c r="L40" s="68"/>
      <c r="M40" s="68"/>
      <c r="N40" s="68"/>
    </row>
    <row r="41">
      <c r="A41" s="68"/>
      <c r="B41" s="68"/>
      <c r="C41" s="68"/>
      <c r="D41" s="68"/>
      <c r="E41" s="68"/>
      <c r="F41" s="68"/>
      <c r="G41" s="68"/>
      <c r="H41" s="68"/>
      <c r="I41" s="68"/>
      <c r="J41" s="68"/>
      <c r="K41" s="68"/>
      <c r="L41" s="68"/>
      <c r="M41" s="68"/>
      <c r="N41" s="68"/>
    </row>
    <row r="42">
      <c r="A42" s="68"/>
      <c r="B42" s="68"/>
      <c r="C42" s="68"/>
      <c r="D42" s="68"/>
      <c r="E42" s="68"/>
      <c r="F42" s="68"/>
      <c r="G42" s="68"/>
      <c r="H42" s="68"/>
      <c r="I42" s="68"/>
      <c r="J42" s="68"/>
      <c r="K42" s="68"/>
      <c r="L42" s="68"/>
      <c r="M42" s="68"/>
      <c r="N42" s="68"/>
    </row>
    <row r="43">
      <c r="A43" s="68"/>
      <c r="B43" s="68"/>
      <c r="C43" s="68"/>
      <c r="D43" s="68"/>
      <c r="E43" s="68"/>
      <c r="F43" s="68"/>
      <c r="G43" s="68"/>
      <c r="H43" s="68"/>
      <c r="I43" s="68"/>
      <c r="J43" s="68"/>
      <c r="K43" s="68"/>
      <c r="L43" s="68"/>
      <c r="M43" s="68"/>
      <c r="N43" s="68"/>
    </row>
    <row r="44">
      <c r="A44" s="68"/>
      <c r="B44" s="68"/>
      <c r="C44" s="68"/>
      <c r="D44" s="68"/>
      <c r="E44" s="68"/>
      <c r="F44" s="68"/>
      <c r="G44" s="68"/>
      <c r="H44" s="68"/>
      <c r="I44" s="68"/>
      <c r="J44" s="68"/>
      <c r="K44" s="68"/>
      <c r="L44" s="68"/>
      <c r="M44" s="68"/>
      <c r="N44" s="68"/>
    </row>
    <row r="45">
      <c r="A45" s="68"/>
      <c r="B45" s="68"/>
      <c r="C45" s="68"/>
      <c r="D45" s="68"/>
      <c r="E45" s="68"/>
      <c r="F45" s="68"/>
      <c r="G45" s="68"/>
      <c r="H45" s="68"/>
      <c r="I45" s="68"/>
      <c r="J45" s="68"/>
      <c r="K45" s="68"/>
      <c r="L45" s="68"/>
      <c r="M45" s="68"/>
      <c r="N45" s="68"/>
    </row>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8">
    <mergeCell ref="B5:F6"/>
    <mergeCell ref="E11:G11"/>
    <mergeCell ref="E13:F13"/>
    <mergeCell ref="E15:G15"/>
    <mergeCell ref="E17:F17"/>
    <mergeCell ref="E19:G19"/>
    <mergeCell ref="J19:M19"/>
    <mergeCell ref="H30:I30"/>
    <mergeCell ref="H31:I31"/>
    <mergeCell ref="H32:I32"/>
    <mergeCell ref="H33:I33"/>
    <mergeCell ref="E21:F21"/>
    <mergeCell ref="E23:G23"/>
    <mergeCell ref="E25:L25"/>
    <mergeCell ref="H27:I27"/>
    <mergeCell ref="B28:C29"/>
    <mergeCell ref="H28:I28"/>
    <mergeCell ref="H29:I29"/>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 type="list" allowBlank="1" showInputMessage="1" prompt="Clique e insira um valor de intervalo" sqref="G28:G33">
      <formula1>$L$28:$L$32</formula1>
    </dataValidation>
  </dataValidations>
  <printOptions/>
  <pageMargins bottom="0.787401575" footer="0.0" header="0.0" left="0.511811024" right="0.511811024" top="0.7874015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75"/>
  <cols>
    <col customWidth="1" min="1" max="1" width="2.25"/>
    <col customWidth="1" min="2" max="2" width="14.38"/>
    <col customWidth="1" min="3" max="3" width="7.25"/>
    <col customWidth="1" min="4" max="4" width="2.25"/>
    <col customWidth="1" min="5" max="5" width="21.63"/>
    <col customWidth="1" min="6" max="7" width="14.38"/>
    <col customWidth="1" min="8" max="9" width="2.25"/>
    <col customWidth="1" min="10" max="10" width="7.25"/>
    <col customWidth="1" min="11" max="11" width="2.25"/>
    <col customWidth="1" min="12" max="12" width="14.38"/>
    <col customWidth="1" min="13" max="13" width="3.0"/>
    <col customWidth="1" min="14" max="14" width="3.13"/>
    <col customWidth="1" min="15" max="26" width="14.38"/>
  </cols>
  <sheetData>
    <row r="1" ht="11.25" customHeight="1">
      <c r="A1" s="68"/>
      <c r="B1" s="68"/>
      <c r="C1" s="68"/>
      <c r="D1" s="68"/>
      <c r="E1" s="68"/>
      <c r="F1" s="68"/>
      <c r="G1" s="68"/>
      <c r="H1" s="68"/>
      <c r="I1" s="68"/>
      <c r="J1" s="68"/>
      <c r="K1" s="68"/>
      <c r="L1" s="68"/>
      <c r="M1" s="68"/>
      <c r="N1" s="68"/>
    </row>
    <row r="2">
      <c r="A2" s="68"/>
      <c r="B2" s="69" t="s">
        <v>72</v>
      </c>
      <c r="C2" s="68"/>
      <c r="D2" s="68"/>
      <c r="E2" s="68"/>
      <c r="F2" s="68"/>
      <c r="G2" s="68"/>
      <c r="H2" s="68"/>
      <c r="I2" s="68"/>
      <c r="J2" s="68"/>
      <c r="K2" s="68"/>
      <c r="L2" s="68"/>
      <c r="M2" s="68"/>
      <c r="N2" s="68"/>
    </row>
    <row r="3">
      <c r="A3" s="68"/>
      <c r="B3" s="70" t="s">
        <v>73</v>
      </c>
      <c r="C3" s="68"/>
      <c r="D3" s="68"/>
      <c r="E3" s="68"/>
      <c r="F3" s="68"/>
      <c r="G3" s="68"/>
      <c r="N3" s="68"/>
    </row>
    <row r="4">
      <c r="A4" s="68"/>
      <c r="B4" s="67" t="s">
        <v>198</v>
      </c>
      <c r="C4" s="68"/>
      <c r="D4" s="68"/>
      <c r="E4" s="68"/>
      <c r="F4" s="68"/>
      <c r="G4" s="68"/>
      <c r="H4" s="68"/>
      <c r="I4" s="71"/>
      <c r="J4" s="72" t="s">
        <v>75</v>
      </c>
      <c r="K4" s="68"/>
      <c r="L4" s="68"/>
      <c r="M4" s="73" t="b">
        <v>1</v>
      </c>
      <c r="N4" s="68"/>
    </row>
    <row r="5" ht="23.25" customHeight="1">
      <c r="A5" s="68"/>
      <c r="B5" s="74" t="s">
        <v>76</v>
      </c>
      <c r="G5" s="68"/>
      <c r="H5" s="68"/>
      <c r="I5" s="71"/>
      <c r="J5" s="72" t="s">
        <v>77</v>
      </c>
      <c r="K5" s="68"/>
      <c r="L5" s="68"/>
      <c r="M5" s="73" t="b">
        <v>0</v>
      </c>
      <c r="N5" s="68"/>
    </row>
    <row r="6" ht="23.25" customHeight="1">
      <c r="A6" s="68"/>
      <c r="G6" s="68"/>
      <c r="H6" s="68"/>
      <c r="I6" s="71"/>
      <c r="J6" s="72" t="s">
        <v>78</v>
      </c>
      <c r="K6" s="68"/>
      <c r="L6" s="68"/>
      <c r="M6" s="73" t="b">
        <v>0</v>
      </c>
      <c r="N6" s="68"/>
    </row>
    <row r="7">
      <c r="A7" s="68"/>
      <c r="B7" s="68"/>
      <c r="C7" s="68"/>
      <c r="D7" s="68"/>
      <c r="E7" s="68"/>
      <c r="F7" s="68"/>
      <c r="G7" s="68"/>
      <c r="H7" s="68"/>
      <c r="I7" s="68"/>
      <c r="J7" s="72"/>
      <c r="K7" s="68"/>
      <c r="L7" s="68"/>
      <c r="M7" s="68"/>
      <c r="N7" s="68"/>
    </row>
    <row r="8">
      <c r="A8" s="68"/>
      <c r="B8" s="69" t="s">
        <v>79</v>
      </c>
      <c r="C8" s="68"/>
      <c r="D8" s="68"/>
      <c r="E8" s="68"/>
      <c r="F8" s="68"/>
      <c r="G8" s="68"/>
      <c r="H8" s="68"/>
      <c r="N8" s="68"/>
    </row>
    <row r="9">
      <c r="A9" s="68"/>
      <c r="B9" s="70" t="s">
        <v>80</v>
      </c>
      <c r="C9" s="68"/>
      <c r="D9" s="68"/>
      <c r="E9" s="68"/>
      <c r="F9" s="68"/>
      <c r="G9" s="68"/>
      <c r="H9" s="68"/>
      <c r="I9" s="68"/>
      <c r="J9" s="68"/>
      <c r="K9" s="68"/>
      <c r="L9" s="68"/>
      <c r="M9" s="68"/>
      <c r="N9" s="68"/>
    </row>
    <row r="10">
      <c r="A10" s="68"/>
      <c r="B10" s="68"/>
      <c r="C10" s="68"/>
      <c r="D10" s="68"/>
      <c r="E10" s="68"/>
      <c r="F10" s="68"/>
      <c r="G10" s="68"/>
      <c r="H10" s="68"/>
      <c r="I10" s="68"/>
      <c r="J10" s="68"/>
      <c r="K10" s="68"/>
      <c r="L10" s="68"/>
      <c r="M10" s="68"/>
      <c r="N10" s="68"/>
    </row>
    <row r="11" ht="13.5" customHeight="1">
      <c r="A11" s="68"/>
      <c r="B11" s="75" t="s">
        <v>81</v>
      </c>
      <c r="C11" s="68"/>
      <c r="D11" s="71"/>
      <c r="E11" s="76" t="s">
        <v>199</v>
      </c>
      <c r="F11" s="77"/>
      <c r="G11" s="78"/>
      <c r="H11" s="68"/>
      <c r="I11" s="68"/>
      <c r="J11" s="68"/>
      <c r="K11" s="68"/>
      <c r="L11" s="68"/>
      <c r="M11" s="68"/>
      <c r="N11" s="68"/>
    </row>
    <row r="12">
      <c r="A12" s="68"/>
      <c r="B12" s="68"/>
      <c r="C12" s="68"/>
      <c r="D12" s="68"/>
      <c r="E12" s="68"/>
      <c r="F12" s="68"/>
      <c r="G12" s="68"/>
      <c r="H12" s="68"/>
      <c r="I12" s="71"/>
      <c r="J12" s="72" t="s">
        <v>83</v>
      </c>
      <c r="K12" s="72"/>
      <c r="L12" s="72"/>
      <c r="M12" s="79" t="s">
        <v>84</v>
      </c>
      <c r="N12" s="68"/>
    </row>
    <row r="13">
      <c r="A13" s="68"/>
      <c r="B13" s="75" t="s">
        <v>85</v>
      </c>
      <c r="C13" s="68"/>
      <c r="D13" s="71"/>
      <c r="E13" s="76" t="s">
        <v>87</v>
      </c>
      <c r="F13" s="78"/>
      <c r="G13" s="80"/>
      <c r="H13" s="68"/>
      <c r="I13" s="71"/>
      <c r="J13" s="72" t="s">
        <v>87</v>
      </c>
      <c r="K13" s="72"/>
      <c r="L13" s="72"/>
      <c r="M13" s="79" t="s">
        <v>84</v>
      </c>
      <c r="N13" s="68"/>
    </row>
    <row r="14">
      <c r="A14" s="68"/>
      <c r="B14" s="68"/>
      <c r="C14" s="68"/>
      <c r="D14" s="68"/>
      <c r="E14" s="68"/>
      <c r="F14" s="68"/>
      <c r="G14" s="68"/>
      <c r="H14" s="68"/>
      <c r="I14" s="71"/>
      <c r="J14" s="72" t="s">
        <v>86</v>
      </c>
      <c r="K14" s="72"/>
      <c r="L14" s="72"/>
      <c r="M14" s="79" t="s">
        <v>84</v>
      </c>
      <c r="N14" s="68"/>
    </row>
    <row r="15" ht="30.75" customHeight="1">
      <c r="A15" s="68"/>
      <c r="B15" s="75" t="s">
        <v>88</v>
      </c>
      <c r="C15" s="68"/>
      <c r="D15" s="71"/>
      <c r="E15" s="81" t="s">
        <v>200</v>
      </c>
      <c r="F15" s="77"/>
      <c r="G15" s="78"/>
      <c r="H15" s="82"/>
      <c r="I15" s="82"/>
      <c r="J15" s="83"/>
      <c r="K15" s="83"/>
      <c r="L15" s="83"/>
      <c r="M15" s="83"/>
      <c r="N15" s="68"/>
    </row>
    <row r="16">
      <c r="A16" s="68"/>
      <c r="B16" s="68"/>
      <c r="C16" s="68"/>
      <c r="D16" s="68"/>
      <c r="E16" s="68"/>
      <c r="F16" s="68"/>
      <c r="G16" s="68"/>
      <c r="H16" s="68"/>
      <c r="I16" s="71"/>
      <c r="J16" s="72" t="s">
        <v>90</v>
      </c>
      <c r="K16" s="72"/>
      <c r="L16" s="72"/>
      <c r="M16" s="79" t="s">
        <v>84</v>
      </c>
      <c r="N16" s="68"/>
    </row>
    <row r="17">
      <c r="A17" s="68"/>
      <c r="B17" s="75" t="s">
        <v>91</v>
      </c>
      <c r="C17" s="68"/>
      <c r="D17" s="71"/>
      <c r="E17" s="76" t="s">
        <v>90</v>
      </c>
      <c r="F17" s="78"/>
      <c r="G17" s="80"/>
      <c r="H17" s="68"/>
      <c r="I17" s="71"/>
      <c r="J17" s="72" t="s">
        <v>92</v>
      </c>
      <c r="K17" s="72"/>
      <c r="L17" s="72"/>
      <c r="M17" s="79" t="s">
        <v>84</v>
      </c>
      <c r="N17" s="68"/>
    </row>
    <row r="18">
      <c r="A18" s="68"/>
      <c r="B18" s="84"/>
      <c r="C18" s="85"/>
      <c r="D18" s="85"/>
      <c r="E18" s="85"/>
      <c r="F18" s="68"/>
      <c r="G18" s="68"/>
      <c r="H18" s="68"/>
      <c r="I18" s="71"/>
      <c r="J18" s="86" t="s">
        <v>93</v>
      </c>
      <c r="K18" s="86"/>
      <c r="L18" s="86"/>
      <c r="M18" s="87" t="s">
        <v>84</v>
      </c>
      <c r="N18" s="68"/>
    </row>
    <row r="19" ht="29.25" customHeight="1">
      <c r="A19" s="68"/>
      <c r="B19" s="75" t="s">
        <v>94</v>
      </c>
      <c r="C19" s="68"/>
      <c r="D19" s="71"/>
      <c r="E19" s="81" t="s">
        <v>201</v>
      </c>
      <c r="F19" s="77"/>
      <c r="G19" s="78"/>
      <c r="H19" s="68"/>
      <c r="I19" s="68"/>
      <c r="J19" s="88" t="s">
        <v>96</v>
      </c>
      <c r="N19" s="68"/>
    </row>
    <row r="20">
      <c r="A20" s="68"/>
      <c r="B20" s="68"/>
      <c r="C20" s="68"/>
      <c r="D20" s="68"/>
      <c r="E20" s="68"/>
      <c r="F20" s="68"/>
      <c r="G20" s="68"/>
      <c r="H20" s="68"/>
      <c r="I20" s="71"/>
      <c r="J20" s="72" t="s">
        <v>97</v>
      </c>
      <c r="K20" s="72"/>
      <c r="L20" s="72"/>
      <c r="M20" s="79" t="s">
        <v>84</v>
      </c>
      <c r="N20" s="68"/>
    </row>
    <row r="21">
      <c r="A21" s="68"/>
      <c r="B21" s="75" t="s">
        <v>98</v>
      </c>
      <c r="C21" s="68"/>
      <c r="D21" s="71"/>
      <c r="E21" s="76" t="s">
        <v>97</v>
      </c>
      <c r="F21" s="78"/>
      <c r="G21" s="80"/>
      <c r="H21" s="68"/>
      <c r="I21" s="71"/>
      <c r="J21" s="72" t="s">
        <v>99</v>
      </c>
      <c r="K21" s="72"/>
      <c r="L21" s="72"/>
      <c r="M21" s="79" t="s">
        <v>84</v>
      </c>
      <c r="N21" s="68"/>
    </row>
    <row r="22">
      <c r="A22" s="68"/>
      <c r="B22" s="68"/>
      <c r="C22" s="68"/>
      <c r="D22" s="68"/>
      <c r="E22" s="68"/>
      <c r="F22" s="68"/>
      <c r="G22" s="68"/>
      <c r="H22" s="68"/>
      <c r="I22" s="71"/>
      <c r="J22" s="72" t="s">
        <v>100</v>
      </c>
      <c r="K22" s="72"/>
      <c r="L22" s="72"/>
      <c r="M22" s="79" t="s">
        <v>84</v>
      </c>
      <c r="N22" s="68"/>
    </row>
    <row r="23" ht="39.75" customHeight="1">
      <c r="A23" s="68"/>
      <c r="B23" s="75" t="s">
        <v>101</v>
      </c>
      <c r="C23" s="68"/>
      <c r="D23" s="71"/>
      <c r="E23" s="81" t="s">
        <v>202</v>
      </c>
      <c r="F23" s="77"/>
      <c r="G23" s="78"/>
      <c r="H23" s="68"/>
      <c r="I23" s="68"/>
      <c r="J23" s="68"/>
      <c r="K23" s="68"/>
      <c r="L23" s="68"/>
      <c r="M23" s="68"/>
      <c r="N23" s="68"/>
    </row>
    <row r="24">
      <c r="A24" s="68"/>
      <c r="B24" s="68"/>
      <c r="C24" s="68"/>
      <c r="D24" s="68"/>
      <c r="E24" s="68"/>
      <c r="F24" s="68"/>
      <c r="G24" s="68"/>
      <c r="H24" s="68"/>
      <c r="I24" s="68"/>
      <c r="J24" s="68"/>
      <c r="K24" s="68"/>
      <c r="L24" s="68"/>
      <c r="M24" s="68"/>
      <c r="N24" s="68"/>
    </row>
    <row r="25" ht="41.25" customHeight="1">
      <c r="A25" s="68"/>
      <c r="B25" s="75" t="s">
        <v>103</v>
      </c>
      <c r="C25" s="68"/>
      <c r="D25" s="71"/>
      <c r="E25" s="81" t="s">
        <v>203</v>
      </c>
      <c r="F25" s="77"/>
      <c r="G25" s="77"/>
      <c r="H25" s="77"/>
      <c r="I25" s="77"/>
      <c r="J25" s="77"/>
      <c r="K25" s="77"/>
      <c r="L25" s="78"/>
      <c r="M25" s="68"/>
      <c r="N25" s="68"/>
    </row>
    <row r="26">
      <c r="A26" s="68"/>
      <c r="B26" s="68"/>
      <c r="C26" s="68"/>
      <c r="D26" s="68"/>
      <c r="E26" s="68"/>
      <c r="F26" s="68"/>
      <c r="G26" s="68"/>
      <c r="H26" s="68"/>
      <c r="I26" s="68"/>
      <c r="J26" s="68"/>
      <c r="K26" s="68"/>
      <c r="L26" s="68"/>
      <c r="M26" s="68"/>
      <c r="N26" s="68"/>
    </row>
    <row r="27">
      <c r="A27" s="68"/>
      <c r="B27" s="75" t="s">
        <v>105</v>
      </c>
      <c r="C27" s="68"/>
      <c r="D27" s="71"/>
      <c r="E27" s="89" t="s">
        <v>106</v>
      </c>
      <c r="F27" s="90" t="s">
        <v>107</v>
      </c>
      <c r="G27" s="89" t="s">
        <v>108</v>
      </c>
      <c r="H27" s="91" t="s">
        <v>109</v>
      </c>
      <c r="I27" s="92"/>
      <c r="J27" s="84"/>
      <c r="K27" s="84"/>
      <c r="L27" s="80"/>
      <c r="M27" s="68"/>
      <c r="N27" s="68"/>
    </row>
    <row r="28">
      <c r="A28" s="68"/>
      <c r="B28" s="93" t="s">
        <v>71</v>
      </c>
      <c r="D28" s="71"/>
      <c r="E28" s="94" t="s">
        <v>144</v>
      </c>
      <c r="F28" s="95" t="s">
        <v>204</v>
      </c>
      <c r="G28" s="95" t="s">
        <v>41</v>
      </c>
      <c r="H28" s="96"/>
      <c r="I28" s="78"/>
      <c r="J28" s="84"/>
      <c r="K28" s="71"/>
      <c r="L28" s="72" t="s">
        <v>37</v>
      </c>
      <c r="M28" s="79" t="s">
        <v>84</v>
      </c>
      <c r="N28" s="68"/>
    </row>
    <row r="29">
      <c r="A29" s="68"/>
      <c r="D29" s="71"/>
      <c r="E29" s="94" t="s">
        <v>205</v>
      </c>
      <c r="F29" s="95" t="s">
        <v>206</v>
      </c>
      <c r="G29" s="95" t="s">
        <v>41</v>
      </c>
      <c r="H29" s="96"/>
      <c r="I29" s="78"/>
      <c r="J29" s="84"/>
      <c r="K29" s="71"/>
      <c r="L29" s="72" t="s">
        <v>115</v>
      </c>
      <c r="M29" s="68"/>
      <c r="N29" s="68"/>
    </row>
    <row r="30">
      <c r="A30" s="68"/>
      <c r="B30" s="68"/>
      <c r="C30" s="68"/>
      <c r="D30" s="71"/>
      <c r="E30" s="94" t="s">
        <v>113</v>
      </c>
      <c r="F30" s="95" t="s">
        <v>114</v>
      </c>
      <c r="G30" s="95" t="s">
        <v>112</v>
      </c>
      <c r="H30" s="96"/>
      <c r="I30" s="78"/>
      <c r="J30" s="84"/>
      <c r="K30" s="71"/>
      <c r="L30" s="72" t="s">
        <v>112</v>
      </c>
      <c r="M30" s="68"/>
      <c r="N30" s="68"/>
    </row>
    <row r="31">
      <c r="A31" s="68"/>
      <c r="B31" s="68"/>
      <c r="C31" s="68"/>
      <c r="D31" s="71"/>
      <c r="E31" s="94"/>
      <c r="F31" s="95"/>
      <c r="G31" s="95"/>
      <c r="H31" s="96"/>
      <c r="I31" s="78"/>
      <c r="J31" s="84"/>
      <c r="K31" s="71"/>
      <c r="L31" s="72" t="s">
        <v>41</v>
      </c>
      <c r="M31" s="68"/>
      <c r="N31" s="68"/>
    </row>
    <row r="32">
      <c r="A32" s="68"/>
      <c r="B32" s="68"/>
      <c r="C32" s="68"/>
      <c r="D32" s="71"/>
      <c r="E32" s="94"/>
      <c r="F32" s="95"/>
      <c r="G32" s="95"/>
      <c r="H32" s="96"/>
      <c r="I32" s="78"/>
      <c r="J32" s="68"/>
      <c r="K32" s="71"/>
      <c r="L32" s="72" t="s">
        <v>42</v>
      </c>
      <c r="M32" s="68"/>
      <c r="N32" s="68"/>
    </row>
    <row r="33">
      <c r="A33" s="68"/>
      <c r="B33" s="68"/>
      <c r="C33" s="68"/>
      <c r="D33" s="71"/>
      <c r="E33" s="94"/>
      <c r="F33" s="95"/>
      <c r="G33" s="95"/>
      <c r="H33" s="96"/>
      <c r="I33" s="78"/>
      <c r="J33" s="68"/>
      <c r="K33" s="68"/>
      <c r="L33" s="68"/>
      <c r="M33" s="68"/>
      <c r="N33" s="68"/>
    </row>
    <row r="34">
      <c r="A34" s="68"/>
      <c r="B34" s="75"/>
      <c r="C34" s="68"/>
      <c r="D34" s="68"/>
      <c r="E34" s="68"/>
      <c r="F34" s="68"/>
      <c r="G34" s="68"/>
      <c r="H34" s="68"/>
      <c r="I34" s="68"/>
      <c r="J34" s="68"/>
      <c r="K34" s="68"/>
      <c r="L34" s="68"/>
      <c r="M34" s="68"/>
      <c r="N34" s="68"/>
    </row>
    <row r="35">
      <c r="A35" s="68"/>
      <c r="B35" s="75" t="s">
        <v>118</v>
      </c>
      <c r="C35" s="68"/>
      <c r="D35" s="68"/>
      <c r="E35" s="68"/>
      <c r="F35" s="68"/>
      <c r="G35" s="68"/>
      <c r="H35" s="68"/>
      <c r="I35" s="68"/>
      <c r="J35" s="68"/>
      <c r="K35" s="68"/>
      <c r="L35" s="68"/>
      <c r="M35" s="68"/>
      <c r="N35" s="68"/>
    </row>
    <row r="36">
      <c r="A36" s="68"/>
      <c r="B36" s="72" t="s">
        <v>119</v>
      </c>
      <c r="C36" s="68"/>
      <c r="D36" s="68"/>
      <c r="E36" s="68"/>
      <c r="F36" s="68"/>
      <c r="G36" s="68"/>
      <c r="H36" s="68"/>
      <c r="I36" s="68"/>
      <c r="J36" s="68"/>
      <c r="K36" s="68"/>
      <c r="L36" s="68"/>
      <c r="M36" s="68"/>
      <c r="N36" s="68"/>
    </row>
    <row r="37">
      <c r="A37" s="68"/>
      <c r="B37" s="68"/>
      <c r="C37" s="68"/>
      <c r="D37" s="68"/>
      <c r="E37" s="68"/>
      <c r="F37" s="68"/>
      <c r="G37" s="68"/>
      <c r="H37" s="68"/>
      <c r="I37" s="68"/>
      <c r="J37" s="68"/>
      <c r="K37" s="68"/>
      <c r="L37" s="68"/>
      <c r="M37" s="68"/>
      <c r="N37" s="68"/>
    </row>
    <row r="38">
      <c r="A38" s="68"/>
      <c r="B38" s="68"/>
      <c r="C38" s="68"/>
      <c r="D38" s="68"/>
      <c r="E38" s="68"/>
      <c r="F38" s="68"/>
      <c r="G38" s="68"/>
      <c r="H38" s="68"/>
      <c r="I38" s="68"/>
      <c r="J38" s="68"/>
      <c r="K38" s="68"/>
      <c r="L38" s="68"/>
      <c r="M38" s="68"/>
      <c r="N38" s="68"/>
    </row>
    <row r="39">
      <c r="A39" s="68"/>
      <c r="B39" s="68"/>
      <c r="C39" s="68"/>
      <c r="D39" s="68"/>
      <c r="E39" s="68"/>
      <c r="F39" s="68"/>
      <c r="G39" s="68"/>
      <c r="H39" s="68"/>
      <c r="I39" s="68"/>
      <c r="J39" s="68"/>
      <c r="K39" s="68"/>
      <c r="L39" s="68"/>
      <c r="M39" s="68"/>
      <c r="N39" s="68"/>
    </row>
    <row r="40">
      <c r="A40" s="68"/>
      <c r="B40" s="68"/>
      <c r="C40" s="68"/>
      <c r="D40" s="68"/>
      <c r="E40" s="68"/>
      <c r="F40" s="68"/>
      <c r="G40" s="68"/>
      <c r="H40" s="68"/>
      <c r="I40" s="68"/>
      <c r="J40" s="68"/>
      <c r="K40" s="68"/>
      <c r="L40" s="68"/>
      <c r="M40" s="68"/>
      <c r="N40" s="68"/>
    </row>
    <row r="41">
      <c r="A41" s="68"/>
      <c r="B41" s="68"/>
      <c r="C41" s="68"/>
      <c r="D41" s="68"/>
      <c r="E41" s="68"/>
      <c r="F41" s="68"/>
      <c r="G41" s="68"/>
      <c r="H41" s="68"/>
      <c r="I41" s="68"/>
      <c r="J41" s="68"/>
      <c r="K41" s="68"/>
      <c r="L41" s="68"/>
      <c r="M41" s="68"/>
      <c r="N41" s="68"/>
    </row>
    <row r="42">
      <c r="A42" s="68"/>
      <c r="B42" s="68"/>
      <c r="C42" s="68"/>
      <c r="D42" s="68"/>
      <c r="E42" s="68"/>
      <c r="F42" s="68"/>
      <c r="G42" s="68"/>
      <c r="H42" s="68"/>
      <c r="I42" s="68"/>
      <c r="J42" s="68"/>
      <c r="K42" s="68"/>
      <c r="L42" s="68"/>
      <c r="M42" s="68"/>
      <c r="N42" s="68"/>
    </row>
    <row r="43">
      <c r="A43" s="68"/>
      <c r="B43" s="68"/>
      <c r="C43" s="68"/>
      <c r="D43" s="68"/>
      <c r="E43" s="68"/>
      <c r="F43" s="68"/>
      <c r="G43" s="68"/>
      <c r="H43" s="68"/>
      <c r="I43" s="68"/>
      <c r="J43" s="68"/>
      <c r="K43" s="68"/>
      <c r="L43" s="68"/>
      <c r="M43" s="68"/>
      <c r="N43" s="68"/>
    </row>
    <row r="44">
      <c r="A44" s="68"/>
      <c r="B44" s="68"/>
      <c r="C44" s="68"/>
      <c r="D44" s="68"/>
      <c r="E44" s="68"/>
      <c r="F44" s="68"/>
      <c r="G44" s="68"/>
      <c r="H44" s="68"/>
      <c r="I44" s="68"/>
      <c r="J44" s="68"/>
      <c r="K44" s="68"/>
      <c r="L44" s="68"/>
      <c r="M44" s="68"/>
      <c r="N44" s="68"/>
    </row>
    <row r="45">
      <c r="A45" s="68"/>
      <c r="B45" s="68"/>
      <c r="C45" s="68"/>
      <c r="D45" s="68"/>
      <c r="E45" s="68"/>
      <c r="F45" s="68"/>
      <c r="G45" s="68"/>
      <c r="H45" s="68"/>
      <c r="I45" s="68"/>
      <c r="J45" s="68"/>
      <c r="K45" s="68"/>
      <c r="L45" s="68"/>
      <c r="M45" s="68"/>
      <c r="N45" s="68"/>
    </row>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8">
    <mergeCell ref="B5:F6"/>
    <mergeCell ref="E11:G11"/>
    <mergeCell ref="E13:F13"/>
    <mergeCell ref="E15:G15"/>
    <mergeCell ref="E17:F17"/>
    <mergeCell ref="E19:G19"/>
    <mergeCell ref="J19:M19"/>
    <mergeCell ref="H30:I30"/>
    <mergeCell ref="H31:I31"/>
    <mergeCell ref="H32:I32"/>
    <mergeCell ref="H33:I33"/>
    <mergeCell ref="E21:F21"/>
    <mergeCell ref="E23:G23"/>
    <mergeCell ref="E25:L25"/>
    <mergeCell ref="H27:I27"/>
    <mergeCell ref="B28:C29"/>
    <mergeCell ref="H28:I28"/>
    <mergeCell ref="H29:I29"/>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 type="list" allowBlank="1" showInputMessage="1" prompt="Clique e insira um valor de intervalo" sqref="G28:G33">
      <formula1>$L$28:$L$32</formula1>
    </dataValidation>
  </dataValidations>
  <printOptions/>
  <pageMargins bottom="0.787401575" footer="0.0" header="0.0" left="0.511811024" right="0.511811024" top="0.7874015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75"/>
  <cols>
    <col customWidth="1" min="1" max="1" width="2.25"/>
    <col customWidth="1" min="2" max="2" width="14.38"/>
    <col customWidth="1" min="3" max="3" width="7.25"/>
    <col customWidth="1" min="4" max="4" width="2.25"/>
    <col customWidth="1" min="5" max="5" width="21.63"/>
    <col customWidth="1" min="6" max="7" width="14.38"/>
    <col customWidth="1" min="8" max="9" width="2.25"/>
    <col customWidth="1" min="10" max="10" width="7.25"/>
    <col customWidth="1" min="11" max="11" width="2.25"/>
    <col customWidth="1" min="12" max="12" width="14.38"/>
    <col customWidth="1" min="13" max="13" width="3.0"/>
    <col customWidth="1" min="14" max="14" width="3.13"/>
    <col customWidth="1" min="15" max="26" width="14.38"/>
  </cols>
  <sheetData>
    <row r="1" ht="11.25" customHeight="1">
      <c r="A1" s="68"/>
      <c r="B1" s="68"/>
      <c r="C1" s="68"/>
      <c r="D1" s="68"/>
      <c r="E1" s="68"/>
      <c r="F1" s="68"/>
      <c r="G1" s="68"/>
      <c r="H1" s="68"/>
      <c r="I1" s="68"/>
      <c r="J1" s="68"/>
      <c r="K1" s="68"/>
      <c r="L1" s="68"/>
      <c r="M1" s="68"/>
      <c r="N1" s="68"/>
    </row>
    <row r="2">
      <c r="A2" s="68"/>
      <c r="B2" s="69" t="s">
        <v>72</v>
      </c>
      <c r="C2" s="68"/>
      <c r="D2" s="68"/>
      <c r="E2" s="68"/>
      <c r="F2" s="68"/>
      <c r="G2" s="68"/>
      <c r="H2" s="68"/>
      <c r="I2" s="68"/>
      <c r="J2" s="68"/>
      <c r="K2" s="68"/>
      <c r="L2" s="68"/>
      <c r="M2" s="68"/>
      <c r="N2" s="68"/>
    </row>
    <row r="3">
      <c r="A3" s="68"/>
      <c r="B3" s="70" t="s">
        <v>73</v>
      </c>
      <c r="C3" s="68"/>
      <c r="D3" s="68"/>
      <c r="E3" s="68"/>
      <c r="F3" s="68"/>
      <c r="G3" s="68"/>
      <c r="N3" s="68"/>
    </row>
    <row r="4">
      <c r="A4" s="68"/>
      <c r="B4" s="67" t="s">
        <v>207</v>
      </c>
      <c r="C4" s="68"/>
      <c r="D4" s="68"/>
      <c r="E4" s="68"/>
      <c r="F4" s="68"/>
      <c r="G4" s="68"/>
      <c r="H4" s="68"/>
      <c r="I4" s="71"/>
      <c r="J4" s="72" t="s">
        <v>75</v>
      </c>
      <c r="K4" s="68"/>
      <c r="L4" s="68"/>
      <c r="M4" s="73" t="b">
        <v>1</v>
      </c>
      <c r="N4" s="68"/>
    </row>
    <row r="5" ht="23.25" customHeight="1">
      <c r="A5" s="68"/>
      <c r="B5" s="74" t="s">
        <v>76</v>
      </c>
      <c r="G5" s="68"/>
      <c r="H5" s="68"/>
      <c r="I5" s="71"/>
      <c r="J5" s="72" t="s">
        <v>77</v>
      </c>
      <c r="K5" s="68"/>
      <c r="L5" s="68"/>
      <c r="M5" s="73" t="b">
        <v>0</v>
      </c>
      <c r="N5" s="68"/>
    </row>
    <row r="6" ht="23.25" customHeight="1">
      <c r="A6" s="68"/>
      <c r="G6" s="68"/>
      <c r="H6" s="68"/>
      <c r="I6" s="71"/>
      <c r="J6" s="72" t="s">
        <v>78</v>
      </c>
      <c r="K6" s="68"/>
      <c r="L6" s="68"/>
      <c r="M6" s="73" t="b">
        <v>0</v>
      </c>
      <c r="N6" s="68"/>
    </row>
    <row r="7">
      <c r="A7" s="68"/>
      <c r="B7" s="68"/>
      <c r="C7" s="68"/>
      <c r="D7" s="68"/>
      <c r="E7" s="68"/>
      <c r="F7" s="68"/>
      <c r="G7" s="68"/>
      <c r="H7" s="68"/>
      <c r="I7" s="68"/>
      <c r="J7" s="72"/>
      <c r="K7" s="68"/>
      <c r="L7" s="68"/>
      <c r="M7" s="68"/>
      <c r="N7" s="68"/>
    </row>
    <row r="8">
      <c r="A8" s="68"/>
      <c r="B8" s="69" t="s">
        <v>79</v>
      </c>
      <c r="C8" s="68"/>
      <c r="D8" s="68"/>
      <c r="E8" s="68"/>
      <c r="F8" s="68"/>
      <c r="G8" s="68"/>
      <c r="H8" s="68"/>
      <c r="N8" s="68"/>
    </row>
    <row r="9">
      <c r="A9" s="68"/>
      <c r="B9" s="70" t="s">
        <v>80</v>
      </c>
      <c r="C9" s="68"/>
      <c r="D9" s="68"/>
      <c r="E9" s="68"/>
      <c r="F9" s="68"/>
      <c r="G9" s="68"/>
      <c r="H9" s="68"/>
      <c r="I9" s="68"/>
      <c r="J9" s="68"/>
      <c r="K9" s="68"/>
      <c r="L9" s="68"/>
      <c r="M9" s="68"/>
      <c r="N9" s="68"/>
    </row>
    <row r="10">
      <c r="A10" s="68"/>
      <c r="B10" s="68"/>
      <c r="C10" s="68"/>
      <c r="D10" s="68"/>
      <c r="E10" s="68"/>
      <c r="F10" s="68"/>
      <c r="G10" s="68"/>
      <c r="H10" s="68"/>
      <c r="I10" s="68"/>
      <c r="J10" s="68"/>
      <c r="K10" s="68"/>
      <c r="L10" s="68"/>
      <c r="M10" s="68"/>
      <c r="N10" s="68"/>
    </row>
    <row r="11" ht="13.5" customHeight="1">
      <c r="A11" s="68"/>
      <c r="B11" s="75" t="s">
        <v>81</v>
      </c>
      <c r="C11" s="68"/>
      <c r="D11" s="71"/>
      <c r="E11" s="76" t="s">
        <v>208</v>
      </c>
      <c r="F11" s="77"/>
      <c r="G11" s="78"/>
      <c r="H11" s="68"/>
      <c r="I11" s="68"/>
      <c r="J11" s="68"/>
      <c r="K11" s="68"/>
      <c r="L11" s="68"/>
      <c r="M11" s="68"/>
      <c r="N11" s="68"/>
    </row>
    <row r="12">
      <c r="A12" s="68"/>
      <c r="B12" s="68"/>
      <c r="C12" s="68"/>
      <c r="D12" s="68"/>
      <c r="E12" s="68"/>
      <c r="F12" s="68"/>
      <c r="G12" s="68"/>
      <c r="H12" s="68"/>
      <c r="I12" s="71"/>
      <c r="J12" s="72" t="s">
        <v>83</v>
      </c>
      <c r="K12" s="72"/>
      <c r="L12" s="72"/>
      <c r="M12" s="79" t="s">
        <v>84</v>
      </c>
      <c r="N12" s="68"/>
    </row>
    <row r="13">
      <c r="A13" s="68"/>
      <c r="B13" s="75" t="s">
        <v>85</v>
      </c>
      <c r="C13" s="68"/>
      <c r="D13" s="71"/>
      <c r="E13" s="76" t="s">
        <v>83</v>
      </c>
      <c r="F13" s="78"/>
      <c r="G13" s="80"/>
      <c r="H13" s="68"/>
      <c r="I13" s="71"/>
      <c r="J13" s="72" t="s">
        <v>87</v>
      </c>
      <c r="K13" s="72"/>
      <c r="L13" s="72"/>
      <c r="M13" s="79" t="s">
        <v>84</v>
      </c>
      <c r="N13" s="68"/>
    </row>
    <row r="14">
      <c r="A14" s="68"/>
      <c r="B14" s="68"/>
      <c r="C14" s="68"/>
      <c r="D14" s="68"/>
      <c r="E14" s="68"/>
      <c r="F14" s="68"/>
      <c r="G14" s="68"/>
      <c r="H14" s="68"/>
      <c r="I14" s="71"/>
      <c r="J14" s="72" t="s">
        <v>86</v>
      </c>
      <c r="K14" s="72"/>
      <c r="L14" s="72"/>
      <c r="M14" s="79" t="s">
        <v>84</v>
      </c>
      <c r="N14" s="68"/>
    </row>
    <row r="15" ht="30.75" customHeight="1">
      <c r="A15" s="68"/>
      <c r="B15" s="75" t="s">
        <v>88</v>
      </c>
      <c r="C15" s="68"/>
      <c r="D15" s="71"/>
      <c r="E15" s="81" t="s">
        <v>209</v>
      </c>
      <c r="F15" s="77"/>
      <c r="G15" s="78"/>
      <c r="H15" s="82"/>
      <c r="I15" s="82"/>
      <c r="J15" s="83"/>
      <c r="K15" s="83"/>
      <c r="L15" s="83"/>
      <c r="M15" s="83"/>
      <c r="N15" s="68"/>
    </row>
    <row r="16">
      <c r="A16" s="68"/>
      <c r="B16" s="68"/>
      <c r="C16" s="68"/>
      <c r="D16" s="68"/>
      <c r="E16" s="68"/>
      <c r="F16" s="68"/>
      <c r="G16" s="68"/>
      <c r="H16" s="68"/>
      <c r="I16" s="71"/>
      <c r="J16" s="72" t="s">
        <v>90</v>
      </c>
      <c r="K16" s="72"/>
      <c r="L16" s="72"/>
      <c r="M16" s="79" t="s">
        <v>84</v>
      </c>
      <c r="N16" s="68"/>
    </row>
    <row r="17">
      <c r="A17" s="68"/>
      <c r="B17" s="75" t="s">
        <v>91</v>
      </c>
      <c r="C17" s="68"/>
      <c r="D17" s="71"/>
      <c r="E17" s="76" t="s">
        <v>93</v>
      </c>
      <c r="F17" s="78"/>
      <c r="G17" s="80"/>
      <c r="H17" s="68"/>
      <c r="I17" s="71"/>
      <c r="J17" s="72" t="s">
        <v>92</v>
      </c>
      <c r="K17" s="72"/>
      <c r="L17" s="72"/>
      <c r="M17" s="79" t="s">
        <v>84</v>
      </c>
      <c r="N17" s="68"/>
    </row>
    <row r="18">
      <c r="A18" s="68"/>
      <c r="B18" s="84"/>
      <c r="C18" s="85"/>
      <c r="D18" s="85"/>
      <c r="E18" s="85"/>
      <c r="F18" s="68"/>
      <c r="G18" s="68"/>
      <c r="H18" s="68"/>
      <c r="I18" s="71"/>
      <c r="J18" s="86" t="s">
        <v>93</v>
      </c>
      <c r="K18" s="86"/>
      <c r="L18" s="86"/>
      <c r="M18" s="87" t="s">
        <v>84</v>
      </c>
      <c r="N18" s="68"/>
    </row>
    <row r="19" ht="29.25" customHeight="1">
      <c r="A19" s="68"/>
      <c r="B19" s="75" t="s">
        <v>94</v>
      </c>
      <c r="C19" s="68"/>
      <c r="D19" s="71"/>
      <c r="E19" s="81" t="s">
        <v>210</v>
      </c>
      <c r="F19" s="77"/>
      <c r="G19" s="78"/>
      <c r="H19" s="68"/>
      <c r="I19" s="68"/>
      <c r="J19" s="88" t="s">
        <v>96</v>
      </c>
      <c r="N19" s="68"/>
    </row>
    <row r="20">
      <c r="A20" s="68"/>
      <c r="B20" s="68"/>
      <c r="C20" s="68"/>
      <c r="D20" s="68"/>
      <c r="E20" s="68"/>
      <c r="F20" s="68"/>
      <c r="G20" s="68"/>
      <c r="H20" s="68"/>
      <c r="I20" s="71"/>
      <c r="J20" s="72" t="s">
        <v>97</v>
      </c>
      <c r="K20" s="72"/>
      <c r="L20" s="72"/>
      <c r="M20" s="79" t="s">
        <v>84</v>
      </c>
      <c r="N20" s="68"/>
    </row>
    <row r="21">
      <c r="A21" s="68"/>
      <c r="B21" s="75" t="s">
        <v>98</v>
      </c>
      <c r="C21" s="68"/>
      <c r="D21" s="71"/>
      <c r="E21" s="76" t="s">
        <v>97</v>
      </c>
      <c r="F21" s="78"/>
      <c r="G21" s="80"/>
      <c r="H21" s="68"/>
      <c r="I21" s="71"/>
      <c r="J21" s="72" t="s">
        <v>99</v>
      </c>
      <c r="K21" s="72"/>
      <c r="L21" s="72"/>
      <c r="M21" s="79" t="s">
        <v>84</v>
      </c>
      <c r="N21" s="68"/>
    </row>
    <row r="22">
      <c r="A22" s="68"/>
      <c r="B22" s="68"/>
      <c r="C22" s="68"/>
      <c r="D22" s="68"/>
      <c r="E22" s="68"/>
      <c r="F22" s="68"/>
      <c r="G22" s="68"/>
      <c r="H22" s="68"/>
      <c r="I22" s="71"/>
      <c r="J22" s="72" t="s">
        <v>100</v>
      </c>
      <c r="K22" s="72"/>
      <c r="L22" s="72"/>
      <c r="M22" s="79" t="s">
        <v>84</v>
      </c>
      <c r="N22" s="68"/>
    </row>
    <row r="23" ht="39.75" customHeight="1">
      <c r="A23" s="68"/>
      <c r="B23" s="75" t="s">
        <v>101</v>
      </c>
      <c r="C23" s="68"/>
      <c r="D23" s="71"/>
      <c r="E23" s="81" t="s">
        <v>211</v>
      </c>
      <c r="F23" s="77"/>
      <c r="G23" s="78"/>
      <c r="H23" s="68"/>
      <c r="I23" s="68"/>
      <c r="J23" s="68"/>
      <c r="K23" s="68"/>
      <c r="L23" s="68"/>
      <c r="M23" s="68"/>
      <c r="N23" s="68"/>
    </row>
    <row r="24">
      <c r="A24" s="68"/>
      <c r="B24" s="68"/>
      <c r="C24" s="68"/>
      <c r="D24" s="68"/>
      <c r="E24" s="68"/>
      <c r="F24" s="68"/>
      <c r="G24" s="68"/>
      <c r="H24" s="68"/>
      <c r="I24" s="68"/>
      <c r="J24" s="68"/>
      <c r="K24" s="68"/>
      <c r="L24" s="68"/>
      <c r="M24" s="68"/>
      <c r="N24" s="68"/>
    </row>
    <row r="25" ht="41.25" customHeight="1">
      <c r="A25" s="68"/>
      <c r="B25" s="75" t="s">
        <v>103</v>
      </c>
      <c r="C25" s="68"/>
      <c r="D25" s="71"/>
      <c r="E25" s="81" t="s">
        <v>212</v>
      </c>
      <c r="F25" s="77"/>
      <c r="G25" s="77"/>
      <c r="H25" s="77"/>
      <c r="I25" s="77"/>
      <c r="J25" s="77"/>
      <c r="K25" s="77"/>
      <c r="L25" s="78"/>
      <c r="M25" s="68"/>
      <c r="N25" s="68"/>
    </row>
    <row r="26">
      <c r="A26" s="68"/>
      <c r="B26" s="68"/>
      <c r="C26" s="68"/>
      <c r="D26" s="68"/>
      <c r="E26" s="68"/>
      <c r="F26" s="68"/>
      <c r="G26" s="68"/>
      <c r="H26" s="68"/>
      <c r="I26" s="68"/>
      <c r="J26" s="68"/>
      <c r="K26" s="68"/>
      <c r="L26" s="68"/>
      <c r="M26" s="68"/>
      <c r="N26" s="68"/>
    </row>
    <row r="27">
      <c r="A27" s="68"/>
      <c r="B27" s="75" t="s">
        <v>105</v>
      </c>
      <c r="C27" s="68"/>
      <c r="D27" s="71"/>
      <c r="E27" s="89" t="s">
        <v>106</v>
      </c>
      <c r="F27" s="90" t="s">
        <v>107</v>
      </c>
      <c r="G27" s="89" t="s">
        <v>108</v>
      </c>
      <c r="H27" s="91" t="s">
        <v>109</v>
      </c>
      <c r="I27" s="92"/>
      <c r="J27" s="84"/>
      <c r="K27" s="84"/>
      <c r="L27" s="80"/>
      <c r="M27" s="68"/>
      <c r="N27" s="68"/>
    </row>
    <row r="28">
      <c r="A28" s="68"/>
      <c r="B28" s="93" t="s">
        <v>71</v>
      </c>
      <c r="D28" s="71"/>
      <c r="E28" s="94" t="s">
        <v>144</v>
      </c>
      <c r="F28" s="95" t="s">
        <v>162</v>
      </c>
      <c r="G28" s="95" t="s">
        <v>41</v>
      </c>
      <c r="H28" s="96"/>
      <c r="I28" s="78"/>
      <c r="J28" s="84"/>
      <c r="K28" s="71"/>
      <c r="L28" s="72" t="s">
        <v>37</v>
      </c>
      <c r="M28" s="79" t="s">
        <v>84</v>
      </c>
      <c r="N28" s="68"/>
    </row>
    <row r="29">
      <c r="A29" s="68"/>
      <c r="D29" s="71"/>
      <c r="E29" s="94" t="s">
        <v>213</v>
      </c>
      <c r="F29" s="95" t="s">
        <v>162</v>
      </c>
      <c r="G29" s="95" t="s">
        <v>112</v>
      </c>
      <c r="H29" s="96"/>
      <c r="I29" s="78"/>
      <c r="J29" s="84"/>
      <c r="K29" s="71"/>
      <c r="L29" s="72" t="s">
        <v>115</v>
      </c>
      <c r="M29" s="68"/>
      <c r="N29" s="68"/>
    </row>
    <row r="30">
      <c r="A30" s="68"/>
      <c r="B30" s="68"/>
      <c r="C30" s="68"/>
      <c r="D30" s="71"/>
      <c r="E30" s="94" t="s">
        <v>129</v>
      </c>
      <c r="F30" s="95" t="s">
        <v>148</v>
      </c>
      <c r="G30" s="95" t="s">
        <v>41</v>
      </c>
      <c r="H30" s="96"/>
      <c r="I30" s="78"/>
      <c r="J30" s="84"/>
      <c r="K30" s="71"/>
      <c r="L30" s="72" t="s">
        <v>112</v>
      </c>
      <c r="M30" s="68"/>
      <c r="N30" s="68"/>
    </row>
    <row r="31">
      <c r="A31" s="68"/>
      <c r="B31" s="68"/>
      <c r="C31" s="68"/>
      <c r="D31" s="71"/>
      <c r="E31" s="94"/>
      <c r="F31" s="95"/>
      <c r="G31" s="95"/>
      <c r="H31" s="96"/>
      <c r="I31" s="78"/>
      <c r="J31" s="84"/>
      <c r="K31" s="71"/>
      <c r="L31" s="72" t="s">
        <v>41</v>
      </c>
      <c r="M31" s="68"/>
      <c r="N31" s="68"/>
    </row>
    <row r="32">
      <c r="A32" s="68"/>
      <c r="B32" s="68"/>
      <c r="C32" s="68"/>
      <c r="D32" s="71"/>
      <c r="E32" s="94"/>
      <c r="F32" s="95"/>
      <c r="G32" s="95"/>
      <c r="H32" s="96"/>
      <c r="I32" s="78"/>
      <c r="J32" s="68"/>
      <c r="K32" s="71"/>
      <c r="L32" s="72" t="s">
        <v>42</v>
      </c>
      <c r="M32" s="68"/>
      <c r="N32" s="68"/>
    </row>
    <row r="33">
      <c r="A33" s="68"/>
      <c r="B33" s="68"/>
      <c r="C33" s="68"/>
      <c r="D33" s="71"/>
      <c r="E33" s="94"/>
      <c r="F33" s="95"/>
      <c r="G33" s="95"/>
      <c r="H33" s="96"/>
      <c r="I33" s="78"/>
      <c r="J33" s="68"/>
      <c r="K33" s="68"/>
      <c r="L33" s="68"/>
      <c r="M33" s="68"/>
      <c r="N33" s="68"/>
    </row>
    <row r="34">
      <c r="A34" s="68"/>
      <c r="B34" s="75"/>
      <c r="C34" s="68"/>
      <c r="D34" s="68"/>
      <c r="E34" s="68"/>
      <c r="F34" s="68"/>
      <c r="G34" s="68"/>
      <c r="H34" s="68"/>
      <c r="I34" s="68"/>
      <c r="J34" s="68"/>
      <c r="K34" s="68"/>
      <c r="L34" s="68"/>
      <c r="M34" s="68"/>
      <c r="N34" s="68"/>
    </row>
    <row r="35">
      <c r="A35" s="68"/>
      <c r="B35" s="75" t="s">
        <v>118</v>
      </c>
      <c r="C35" s="68"/>
      <c r="D35" s="68"/>
      <c r="E35" s="68"/>
      <c r="F35" s="68"/>
      <c r="G35" s="68"/>
      <c r="H35" s="68"/>
      <c r="I35" s="68"/>
      <c r="J35" s="68"/>
      <c r="K35" s="68"/>
      <c r="L35" s="68"/>
      <c r="M35" s="68"/>
      <c r="N35" s="68"/>
    </row>
    <row r="36">
      <c r="A36" s="68"/>
      <c r="B36" s="72" t="s">
        <v>119</v>
      </c>
      <c r="C36" s="68"/>
      <c r="D36" s="68"/>
      <c r="E36" s="68"/>
      <c r="F36" s="68"/>
      <c r="G36" s="68"/>
      <c r="H36" s="68"/>
      <c r="I36" s="68"/>
      <c r="J36" s="68"/>
      <c r="K36" s="68"/>
      <c r="L36" s="68"/>
      <c r="M36" s="68"/>
      <c r="N36" s="68"/>
    </row>
    <row r="37">
      <c r="A37" s="68"/>
      <c r="B37" s="68"/>
      <c r="C37" s="68"/>
      <c r="D37" s="68"/>
      <c r="E37" s="68"/>
      <c r="F37" s="68"/>
      <c r="G37" s="68"/>
      <c r="H37" s="68"/>
      <c r="I37" s="68"/>
      <c r="J37" s="68"/>
      <c r="K37" s="68"/>
      <c r="L37" s="68"/>
      <c r="M37" s="68"/>
      <c r="N37" s="68"/>
    </row>
    <row r="38">
      <c r="A38" s="68"/>
      <c r="B38" s="68"/>
      <c r="C38" s="68"/>
      <c r="D38" s="68"/>
      <c r="E38" s="68"/>
      <c r="F38" s="68"/>
      <c r="G38" s="68"/>
      <c r="H38" s="68"/>
      <c r="I38" s="68"/>
      <c r="J38" s="68"/>
      <c r="K38" s="68"/>
      <c r="L38" s="68"/>
      <c r="M38" s="68"/>
      <c r="N38" s="68"/>
    </row>
    <row r="39">
      <c r="A39" s="68"/>
      <c r="B39" s="68"/>
      <c r="C39" s="68"/>
      <c r="D39" s="68"/>
      <c r="E39" s="68"/>
      <c r="F39" s="68"/>
      <c r="G39" s="68"/>
      <c r="H39" s="68"/>
      <c r="I39" s="68"/>
      <c r="J39" s="68"/>
      <c r="K39" s="68"/>
      <c r="L39" s="68"/>
      <c r="M39" s="68"/>
      <c r="N39" s="68"/>
    </row>
    <row r="40">
      <c r="A40" s="68"/>
      <c r="B40" s="68"/>
      <c r="C40" s="68"/>
      <c r="D40" s="68"/>
      <c r="E40" s="68"/>
      <c r="F40" s="68"/>
      <c r="G40" s="68"/>
      <c r="H40" s="68"/>
      <c r="I40" s="68"/>
      <c r="J40" s="68"/>
      <c r="K40" s="68"/>
      <c r="L40" s="68"/>
      <c r="M40" s="68"/>
      <c r="N40" s="68"/>
    </row>
    <row r="41">
      <c r="A41" s="68"/>
      <c r="B41" s="68"/>
      <c r="C41" s="68"/>
      <c r="D41" s="68"/>
      <c r="E41" s="68"/>
      <c r="F41" s="68"/>
      <c r="G41" s="68"/>
      <c r="H41" s="68"/>
      <c r="I41" s="68"/>
      <c r="J41" s="68"/>
      <c r="K41" s="68"/>
      <c r="L41" s="68"/>
      <c r="M41" s="68"/>
      <c r="N41" s="68"/>
    </row>
    <row r="42">
      <c r="A42" s="68"/>
      <c r="B42" s="68"/>
      <c r="C42" s="68"/>
      <c r="D42" s="68"/>
      <c r="E42" s="68"/>
      <c r="F42" s="68"/>
      <c r="G42" s="68"/>
      <c r="H42" s="68"/>
      <c r="I42" s="68"/>
      <c r="J42" s="68"/>
      <c r="K42" s="68"/>
      <c r="L42" s="68"/>
      <c r="M42" s="68"/>
      <c r="N42" s="68"/>
    </row>
    <row r="43">
      <c r="A43" s="68"/>
      <c r="B43" s="68"/>
      <c r="C43" s="68"/>
      <c r="D43" s="68"/>
      <c r="E43" s="68"/>
      <c r="F43" s="68"/>
      <c r="G43" s="68"/>
      <c r="H43" s="68"/>
      <c r="I43" s="68"/>
      <c r="J43" s="68"/>
      <c r="K43" s="68"/>
      <c r="L43" s="68"/>
      <c r="M43" s="68"/>
      <c r="N43" s="68"/>
    </row>
    <row r="44">
      <c r="A44" s="68"/>
      <c r="B44" s="68"/>
      <c r="C44" s="68"/>
      <c r="D44" s="68"/>
      <c r="E44" s="68"/>
      <c r="F44" s="68"/>
      <c r="G44" s="68"/>
      <c r="H44" s="68"/>
      <c r="I44" s="68"/>
      <c r="J44" s="68"/>
      <c r="K44" s="68"/>
      <c r="L44" s="68"/>
      <c r="M44" s="68"/>
      <c r="N44" s="68"/>
    </row>
    <row r="45">
      <c r="A45" s="68"/>
      <c r="B45" s="68"/>
      <c r="C45" s="68"/>
      <c r="D45" s="68"/>
      <c r="E45" s="68"/>
      <c r="F45" s="68"/>
      <c r="G45" s="68"/>
      <c r="H45" s="68"/>
      <c r="I45" s="68"/>
      <c r="J45" s="68"/>
      <c r="K45" s="68"/>
      <c r="L45" s="68"/>
      <c r="M45" s="68"/>
      <c r="N45" s="68"/>
    </row>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8">
    <mergeCell ref="B5:F6"/>
    <mergeCell ref="E11:G11"/>
    <mergeCell ref="E13:F13"/>
    <mergeCell ref="E15:G15"/>
    <mergeCell ref="E17:F17"/>
    <mergeCell ref="E19:G19"/>
    <mergeCell ref="J19:M19"/>
    <mergeCell ref="H30:I30"/>
    <mergeCell ref="H31:I31"/>
    <mergeCell ref="H32:I32"/>
    <mergeCell ref="H33:I33"/>
    <mergeCell ref="E21:F21"/>
    <mergeCell ref="E23:G23"/>
    <mergeCell ref="E25:L25"/>
    <mergeCell ref="H27:I27"/>
    <mergeCell ref="B28:C29"/>
    <mergeCell ref="H28:I28"/>
    <mergeCell ref="H29:I29"/>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 type="list" allowBlank="1" showInputMessage="1" prompt="Clique e insira um valor de intervalo" sqref="G28:G33">
      <formula1>$L$28:$L$32</formula1>
    </dataValidation>
  </dataValidations>
  <printOptions/>
  <pageMargins bottom="0.787401575" footer="0.0" header="0.0" left="0.511811024" right="0.511811024" top="0.7874015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75"/>
  <cols>
    <col customWidth="1" min="1" max="1" width="2.25"/>
    <col customWidth="1" min="2" max="2" width="14.38"/>
    <col customWidth="1" min="3" max="3" width="7.25"/>
    <col customWidth="1" min="4" max="4" width="2.25"/>
    <col customWidth="1" min="5" max="5" width="21.63"/>
    <col customWidth="1" min="6" max="7" width="14.38"/>
    <col customWidth="1" min="8" max="9" width="2.25"/>
    <col customWidth="1" min="10" max="10" width="7.25"/>
    <col customWidth="1" min="11" max="11" width="2.25"/>
    <col customWidth="1" min="12" max="12" width="14.38"/>
    <col customWidth="1" min="13" max="13" width="3.0"/>
    <col customWidth="1" min="14" max="14" width="3.13"/>
    <col customWidth="1" min="15" max="26" width="14.38"/>
  </cols>
  <sheetData>
    <row r="1" ht="11.25" customHeight="1">
      <c r="A1" s="68"/>
      <c r="B1" s="68"/>
      <c r="C1" s="68"/>
      <c r="D1" s="68"/>
      <c r="E1" s="68"/>
      <c r="F1" s="68"/>
      <c r="G1" s="68"/>
      <c r="H1" s="68"/>
      <c r="I1" s="68"/>
      <c r="J1" s="68"/>
      <c r="K1" s="68"/>
      <c r="L1" s="68"/>
      <c r="M1" s="68"/>
      <c r="N1" s="68"/>
    </row>
    <row r="2">
      <c r="A2" s="68"/>
      <c r="B2" s="69" t="s">
        <v>72</v>
      </c>
      <c r="C2" s="68"/>
      <c r="D2" s="68"/>
      <c r="E2" s="68"/>
      <c r="F2" s="68"/>
      <c r="G2" s="68"/>
      <c r="H2" s="68"/>
      <c r="I2" s="68"/>
      <c r="J2" s="68"/>
      <c r="K2" s="68"/>
      <c r="L2" s="68"/>
      <c r="M2" s="68"/>
      <c r="N2" s="68"/>
    </row>
    <row r="3">
      <c r="A3" s="68"/>
      <c r="B3" s="70" t="s">
        <v>73</v>
      </c>
      <c r="C3" s="68"/>
      <c r="D3" s="68"/>
      <c r="E3" s="68"/>
      <c r="F3" s="68"/>
      <c r="G3" s="68"/>
      <c r="N3" s="68"/>
    </row>
    <row r="4">
      <c r="A4" s="68"/>
      <c r="B4" s="67" t="s">
        <v>214</v>
      </c>
      <c r="C4" s="68"/>
      <c r="D4" s="68"/>
      <c r="E4" s="68"/>
      <c r="F4" s="68"/>
      <c r="G4" s="68"/>
      <c r="H4" s="68"/>
      <c r="I4" s="71"/>
      <c r="J4" s="72" t="s">
        <v>75</v>
      </c>
      <c r="K4" s="68"/>
      <c r="L4" s="68"/>
      <c r="M4" s="73" t="b">
        <v>1</v>
      </c>
      <c r="N4" s="68"/>
    </row>
    <row r="5" ht="23.25" customHeight="1">
      <c r="A5" s="68"/>
      <c r="B5" s="74" t="s">
        <v>76</v>
      </c>
      <c r="G5" s="68"/>
      <c r="H5" s="68"/>
      <c r="I5" s="71"/>
      <c r="J5" s="72" t="s">
        <v>77</v>
      </c>
      <c r="K5" s="68"/>
      <c r="L5" s="68"/>
      <c r="M5" s="73" t="b">
        <v>0</v>
      </c>
      <c r="N5" s="68"/>
    </row>
    <row r="6" ht="23.25" customHeight="1">
      <c r="A6" s="68"/>
      <c r="G6" s="68"/>
      <c r="H6" s="68"/>
      <c r="I6" s="71"/>
      <c r="J6" s="72" t="s">
        <v>78</v>
      </c>
      <c r="K6" s="68"/>
      <c r="L6" s="68"/>
      <c r="M6" s="73" t="b">
        <v>0</v>
      </c>
      <c r="N6" s="68"/>
    </row>
    <row r="7">
      <c r="A7" s="68"/>
      <c r="B7" s="68"/>
      <c r="C7" s="68"/>
      <c r="D7" s="68"/>
      <c r="E7" s="68"/>
      <c r="F7" s="68"/>
      <c r="G7" s="68"/>
      <c r="H7" s="68"/>
      <c r="I7" s="68"/>
      <c r="J7" s="72"/>
      <c r="K7" s="68"/>
      <c r="L7" s="68"/>
      <c r="M7" s="68"/>
      <c r="N7" s="68"/>
    </row>
    <row r="8">
      <c r="A8" s="68"/>
      <c r="B8" s="69" t="s">
        <v>79</v>
      </c>
      <c r="C8" s="68"/>
      <c r="D8" s="68"/>
      <c r="E8" s="68"/>
      <c r="F8" s="68"/>
      <c r="G8" s="68"/>
      <c r="H8" s="68"/>
      <c r="N8" s="68"/>
    </row>
    <row r="9">
      <c r="A9" s="68"/>
      <c r="B9" s="70" t="s">
        <v>80</v>
      </c>
      <c r="C9" s="68"/>
      <c r="D9" s="68"/>
      <c r="E9" s="68"/>
      <c r="F9" s="68"/>
      <c r="G9" s="68"/>
      <c r="H9" s="68"/>
      <c r="I9" s="68"/>
      <c r="J9" s="68"/>
      <c r="K9" s="68"/>
      <c r="L9" s="68"/>
      <c r="M9" s="68"/>
      <c r="N9" s="68"/>
    </row>
    <row r="10">
      <c r="A10" s="68"/>
      <c r="B10" s="68"/>
      <c r="C10" s="68"/>
      <c r="D10" s="68"/>
      <c r="E10" s="68"/>
      <c r="F10" s="68"/>
      <c r="G10" s="68"/>
      <c r="H10" s="68"/>
      <c r="I10" s="68"/>
      <c r="J10" s="68"/>
      <c r="K10" s="68"/>
      <c r="L10" s="68"/>
      <c r="M10" s="68"/>
      <c r="N10" s="68"/>
    </row>
    <row r="11" ht="13.5" customHeight="1">
      <c r="A11" s="68"/>
      <c r="B11" s="75" t="s">
        <v>81</v>
      </c>
      <c r="C11" s="68"/>
      <c r="D11" s="71"/>
      <c r="E11" s="76" t="s">
        <v>215</v>
      </c>
      <c r="F11" s="77"/>
      <c r="G11" s="78"/>
      <c r="H11" s="68"/>
      <c r="I11" s="68"/>
      <c r="J11" s="68"/>
      <c r="K11" s="68"/>
      <c r="L11" s="68"/>
      <c r="M11" s="68"/>
      <c r="N11" s="68"/>
    </row>
    <row r="12">
      <c r="A12" s="68"/>
      <c r="B12" s="68"/>
      <c r="C12" s="68"/>
      <c r="D12" s="68"/>
      <c r="E12" s="68"/>
      <c r="F12" s="68"/>
      <c r="G12" s="68"/>
      <c r="H12" s="68"/>
      <c r="I12" s="71"/>
      <c r="J12" s="72" t="s">
        <v>83</v>
      </c>
      <c r="K12" s="72"/>
      <c r="L12" s="72"/>
      <c r="M12" s="79" t="s">
        <v>84</v>
      </c>
      <c r="N12" s="68"/>
    </row>
    <row r="13">
      <c r="A13" s="68"/>
      <c r="B13" s="75" t="s">
        <v>85</v>
      </c>
      <c r="C13" s="68"/>
      <c r="D13" s="71"/>
      <c r="E13" s="76" t="s">
        <v>83</v>
      </c>
      <c r="F13" s="78"/>
      <c r="G13" s="80"/>
      <c r="H13" s="68"/>
      <c r="I13" s="71"/>
      <c r="J13" s="72" t="s">
        <v>87</v>
      </c>
      <c r="K13" s="72"/>
      <c r="L13" s="72"/>
      <c r="M13" s="79" t="s">
        <v>84</v>
      </c>
      <c r="N13" s="68"/>
    </row>
    <row r="14">
      <c r="A14" s="68"/>
      <c r="B14" s="68"/>
      <c r="C14" s="68"/>
      <c r="D14" s="68"/>
      <c r="E14" s="68"/>
      <c r="F14" s="68"/>
      <c r="G14" s="68"/>
      <c r="H14" s="68"/>
      <c r="I14" s="71"/>
      <c r="J14" s="72" t="s">
        <v>86</v>
      </c>
      <c r="K14" s="72"/>
      <c r="L14" s="72"/>
      <c r="M14" s="79" t="s">
        <v>84</v>
      </c>
      <c r="N14" s="68"/>
    </row>
    <row r="15" ht="30.75" customHeight="1">
      <c r="A15" s="68"/>
      <c r="B15" s="75" t="s">
        <v>88</v>
      </c>
      <c r="C15" s="68"/>
      <c r="D15" s="71"/>
      <c r="E15" s="81" t="s">
        <v>216</v>
      </c>
      <c r="F15" s="77"/>
      <c r="G15" s="78"/>
      <c r="H15" s="82"/>
      <c r="I15" s="82"/>
      <c r="J15" s="83"/>
      <c r="K15" s="83"/>
      <c r="L15" s="83"/>
      <c r="M15" s="83"/>
      <c r="N15" s="68"/>
    </row>
    <row r="16">
      <c r="A16" s="68"/>
      <c r="B16" s="68"/>
      <c r="C16" s="68"/>
      <c r="D16" s="68"/>
      <c r="E16" s="68"/>
      <c r="F16" s="68"/>
      <c r="G16" s="68"/>
      <c r="H16" s="68"/>
      <c r="I16" s="71"/>
      <c r="J16" s="72" t="s">
        <v>90</v>
      </c>
      <c r="K16" s="72"/>
      <c r="L16" s="72"/>
      <c r="M16" s="79" t="s">
        <v>84</v>
      </c>
      <c r="N16" s="68"/>
    </row>
    <row r="17">
      <c r="A17" s="68"/>
      <c r="B17" s="75" t="s">
        <v>91</v>
      </c>
      <c r="C17" s="68"/>
      <c r="D17" s="71"/>
      <c r="E17" s="76" t="s">
        <v>93</v>
      </c>
      <c r="F17" s="78"/>
      <c r="G17" s="80"/>
      <c r="H17" s="68"/>
      <c r="I17" s="71"/>
      <c r="J17" s="72" t="s">
        <v>92</v>
      </c>
      <c r="K17" s="72"/>
      <c r="L17" s="72"/>
      <c r="M17" s="79" t="s">
        <v>84</v>
      </c>
      <c r="N17" s="68"/>
    </row>
    <row r="18">
      <c r="A18" s="68"/>
      <c r="B18" s="84"/>
      <c r="C18" s="85"/>
      <c r="D18" s="85"/>
      <c r="E18" s="85"/>
      <c r="F18" s="68"/>
      <c r="G18" s="68"/>
      <c r="H18" s="68"/>
      <c r="I18" s="71"/>
      <c r="J18" s="86" t="s">
        <v>93</v>
      </c>
      <c r="K18" s="86"/>
      <c r="L18" s="86"/>
      <c r="M18" s="87" t="s">
        <v>84</v>
      </c>
      <c r="N18" s="68"/>
    </row>
    <row r="19" ht="29.25" customHeight="1">
      <c r="A19" s="68"/>
      <c r="B19" s="75" t="s">
        <v>94</v>
      </c>
      <c r="C19" s="68"/>
      <c r="D19" s="71"/>
      <c r="E19" s="81" t="s">
        <v>217</v>
      </c>
      <c r="F19" s="77"/>
      <c r="G19" s="78"/>
      <c r="H19" s="68"/>
      <c r="I19" s="68"/>
      <c r="J19" s="88" t="s">
        <v>96</v>
      </c>
      <c r="N19" s="68"/>
    </row>
    <row r="20">
      <c r="A20" s="68"/>
      <c r="B20" s="68"/>
      <c r="C20" s="68"/>
      <c r="D20" s="68"/>
      <c r="E20" s="68"/>
      <c r="F20" s="68"/>
      <c r="G20" s="68"/>
      <c r="H20" s="68"/>
      <c r="I20" s="71"/>
      <c r="J20" s="72" t="s">
        <v>97</v>
      </c>
      <c r="K20" s="72"/>
      <c r="L20" s="72"/>
      <c r="M20" s="79" t="s">
        <v>84</v>
      </c>
      <c r="N20" s="68"/>
    </row>
    <row r="21">
      <c r="A21" s="68"/>
      <c r="B21" s="75" t="s">
        <v>98</v>
      </c>
      <c r="C21" s="68"/>
      <c r="D21" s="71"/>
      <c r="E21" s="76" t="s">
        <v>97</v>
      </c>
      <c r="F21" s="78"/>
      <c r="G21" s="80"/>
      <c r="H21" s="68"/>
      <c r="I21" s="71"/>
      <c r="J21" s="72" t="s">
        <v>99</v>
      </c>
      <c r="K21" s="72"/>
      <c r="L21" s="72"/>
      <c r="M21" s="79" t="s">
        <v>84</v>
      </c>
      <c r="N21" s="68"/>
    </row>
    <row r="22">
      <c r="A22" s="68"/>
      <c r="B22" s="68"/>
      <c r="C22" s="68"/>
      <c r="D22" s="68"/>
      <c r="E22" s="68"/>
      <c r="F22" s="68"/>
      <c r="G22" s="68"/>
      <c r="H22" s="68"/>
      <c r="I22" s="71"/>
      <c r="J22" s="72" t="s">
        <v>100</v>
      </c>
      <c r="K22" s="72"/>
      <c r="L22" s="72"/>
      <c r="M22" s="79" t="s">
        <v>84</v>
      </c>
      <c r="N22" s="68"/>
    </row>
    <row r="23" ht="39.75" customHeight="1">
      <c r="A23" s="68"/>
      <c r="B23" s="75" t="s">
        <v>101</v>
      </c>
      <c r="C23" s="68"/>
      <c r="D23" s="71"/>
      <c r="E23" s="81" t="s">
        <v>218</v>
      </c>
      <c r="F23" s="77"/>
      <c r="G23" s="78"/>
      <c r="H23" s="68"/>
      <c r="I23" s="68"/>
      <c r="J23" s="68"/>
      <c r="K23" s="68"/>
      <c r="L23" s="68"/>
      <c r="M23" s="68"/>
      <c r="N23" s="68"/>
    </row>
    <row r="24">
      <c r="A24" s="68"/>
      <c r="B24" s="68"/>
      <c r="C24" s="68"/>
      <c r="D24" s="68"/>
      <c r="E24" s="68"/>
      <c r="F24" s="68"/>
      <c r="G24" s="68"/>
      <c r="H24" s="68"/>
      <c r="I24" s="68"/>
      <c r="J24" s="68"/>
      <c r="K24" s="68"/>
      <c r="L24" s="68"/>
      <c r="M24" s="68"/>
      <c r="N24" s="68"/>
    </row>
    <row r="25" ht="41.25" customHeight="1">
      <c r="A25" s="68"/>
      <c r="B25" s="75" t="s">
        <v>103</v>
      </c>
      <c r="C25" s="68"/>
      <c r="D25" s="71"/>
      <c r="E25" s="81" t="s">
        <v>219</v>
      </c>
      <c r="F25" s="77"/>
      <c r="G25" s="77"/>
      <c r="H25" s="77"/>
      <c r="I25" s="77"/>
      <c r="J25" s="77"/>
      <c r="K25" s="77"/>
      <c r="L25" s="78"/>
      <c r="M25" s="68"/>
      <c r="N25" s="68"/>
    </row>
    <row r="26">
      <c r="A26" s="68"/>
      <c r="B26" s="68"/>
      <c r="C26" s="68"/>
      <c r="D26" s="68"/>
      <c r="E26" s="68"/>
      <c r="F26" s="68"/>
      <c r="G26" s="68"/>
      <c r="H26" s="68"/>
      <c r="I26" s="68"/>
      <c r="J26" s="68"/>
      <c r="K26" s="68"/>
      <c r="L26" s="68"/>
      <c r="M26" s="68"/>
      <c r="N26" s="68"/>
    </row>
    <row r="27">
      <c r="A27" s="68"/>
      <c r="B27" s="75" t="s">
        <v>105</v>
      </c>
      <c r="C27" s="68"/>
      <c r="D27" s="71"/>
      <c r="E27" s="89" t="s">
        <v>106</v>
      </c>
      <c r="F27" s="90" t="s">
        <v>107</v>
      </c>
      <c r="G27" s="89" t="s">
        <v>108</v>
      </c>
      <c r="H27" s="91" t="s">
        <v>109</v>
      </c>
      <c r="I27" s="92"/>
      <c r="J27" s="84"/>
      <c r="K27" s="84"/>
      <c r="L27" s="80"/>
      <c r="M27" s="68"/>
      <c r="N27" s="68"/>
    </row>
    <row r="28">
      <c r="A28" s="68"/>
      <c r="B28" s="93" t="s">
        <v>71</v>
      </c>
      <c r="D28" s="71"/>
      <c r="E28" s="94" t="s">
        <v>126</v>
      </c>
      <c r="F28" s="95" t="s">
        <v>127</v>
      </c>
      <c r="G28" s="95" t="s">
        <v>112</v>
      </c>
      <c r="H28" s="96"/>
      <c r="I28" s="78"/>
      <c r="J28" s="84"/>
      <c r="K28" s="71"/>
      <c r="L28" s="72" t="s">
        <v>37</v>
      </c>
      <c r="M28" s="79" t="s">
        <v>84</v>
      </c>
      <c r="N28" s="68"/>
    </row>
    <row r="29">
      <c r="A29" s="68"/>
      <c r="D29" s="71"/>
      <c r="E29" s="94" t="s">
        <v>220</v>
      </c>
      <c r="F29" s="95" t="s">
        <v>127</v>
      </c>
      <c r="G29" s="95" t="s">
        <v>41</v>
      </c>
      <c r="H29" s="96"/>
      <c r="I29" s="78"/>
      <c r="J29" s="84"/>
      <c r="K29" s="71"/>
      <c r="L29" s="72" t="s">
        <v>115</v>
      </c>
      <c r="M29" s="68"/>
      <c r="N29" s="68"/>
    </row>
    <row r="30">
      <c r="A30" s="68"/>
      <c r="B30" s="68"/>
      <c r="C30" s="68"/>
      <c r="D30" s="71"/>
      <c r="E30" s="94" t="s">
        <v>129</v>
      </c>
      <c r="F30" s="95" t="s">
        <v>130</v>
      </c>
      <c r="G30" s="95" t="s">
        <v>41</v>
      </c>
      <c r="H30" s="96"/>
      <c r="I30" s="78"/>
      <c r="J30" s="84"/>
      <c r="K30" s="71"/>
      <c r="L30" s="72" t="s">
        <v>112</v>
      </c>
      <c r="M30" s="68"/>
      <c r="N30" s="68"/>
    </row>
    <row r="31">
      <c r="A31" s="68"/>
      <c r="B31" s="68"/>
      <c r="C31" s="68"/>
      <c r="D31" s="71"/>
      <c r="E31" s="94" t="s">
        <v>221</v>
      </c>
      <c r="F31" s="95" t="s">
        <v>114</v>
      </c>
      <c r="G31" s="95" t="s">
        <v>112</v>
      </c>
      <c r="H31" s="96"/>
      <c r="I31" s="78"/>
      <c r="J31" s="84"/>
      <c r="K31" s="71"/>
      <c r="L31" s="72" t="s">
        <v>41</v>
      </c>
      <c r="M31" s="68"/>
      <c r="N31" s="68"/>
    </row>
    <row r="32">
      <c r="A32" s="68"/>
      <c r="B32" s="68"/>
      <c r="C32" s="68"/>
      <c r="D32" s="71"/>
      <c r="E32" s="94"/>
      <c r="F32" s="95"/>
      <c r="G32" s="95"/>
      <c r="H32" s="96"/>
      <c r="I32" s="78"/>
      <c r="J32" s="68"/>
      <c r="K32" s="71"/>
      <c r="L32" s="72" t="s">
        <v>42</v>
      </c>
      <c r="M32" s="68"/>
      <c r="N32" s="68"/>
    </row>
    <row r="33">
      <c r="A33" s="68"/>
      <c r="B33" s="68"/>
      <c r="C33" s="68"/>
      <c r="D33" s="71"/>
      <c r="E33" s="94"/>
      <c r="F33" s="95"/>
      <c r="G33" s="95"/>
      <c r="H33" s="96"/>
      <c r="I33" s="78"/>
      <c r="J33" s="68"/>
      <c r="K33" s="68"/>
      <c r="L33" s="68"/>
      <c r="M33" s="68"/>
      <c r="N33" s="68"/>
    </row>
    <row r="34">
      <c r="A34" s="68"/>
      <c r="B34" s="75"/>
      <c r="C34" s="68"/>
      <c r="D34" s="68"/>
      <c r="E34" s="68"/>
      <c r="F34" s="68"/>
      <c r="G34" s="68"/>
      <c r="H34" s="68"/>
      <c r="I34" s="68"/>
      <c r="J34" s="68"/>
      <c r="K34" s="68"/>
      <c r="L34" s="68"/>
      <c r="M34" s="68"/>
      <c r="N34" s="68"/>
    </row>
    <row r="35">
      <c r="A35" s="68"/>
      <c r="B35" s="75" t="s">
        <v>118</v>
      </c>
      <c r="C35" s="68"/>
      <c r="D35" s="68"/>
      <c r="E35" s="68"/>
      <c r="F35" s="68"/>
      <c r="G35" s="68"/>
      <c r="H35" s="68"/>
      <c r="I35" s="68"/>
      <c r="J35" s="68"/>
      <c r="K35" s="68"/>
      <c r="L35" s="68"/>
      <c r="M35" s="68"/>
      <c r="N35" s="68"/>
    </row>
    <row r="36">
      <c r="A36" s="68"/>
      <c r="B36" s="72" t="s">
        <v>119</v>
      </c>
      <c r="C36" s="68"/>
      <c r="D36" s="68"/>
      <c r="E36" s="68"/>
      <c r="F36" s="68"/>
      <c r="G36" s="68"/>
      <c r="H36" s="68"/>
      <c r="I36" s="68"/>
      <c r="J36" s="68"/>
      <c r="K36" s="68"/>
      <c r="L36" s="68"/>
      <c r="M36" s="68"/>
      <c r="N36" s="68"/>
    </row>
    <row r="37">
      <c r="A37" s="68"/>
      <c r="B37" s="68"/>
      <c r="C37" s="68"/>
      <c r="D37" s="68"/>
      <c r="E37" s="68"/>
      <c r="F37" s="68"/>
      <c r="G37" s="68"/>
      <c r="H37" s="68"/>
      <c r="I37" s="68"/>
      <c r="J37" s="68"/>
      <c r="K37" s="68"/>
      <c r="L37" s="68"/>
      <c r="M37" s="68"/>
      <c r="N37" s="68"/>
    </row>
    <row r="38">
      <c r="A38" s="68"/>
      <c r="B38" s="68"/>
      <c r="C38" s="68"/>
      <c r="D38" s="68"/>
      <c r="E38" s="68"/>
      <c r="F38" s="68"/>
      <c r="G38" s="68"/>
      <c r="H38" s="68"/>
      <c r="I38" s="68"/>
      <c r="J38" s="68"/>
      <c r="K38" s="68"/>
      <c r="L38" s="68"/>
      <c r="M38" s="68"/>
      <c r="N38" s="68"/>
    </row>
    <row r="39">
      <c r="A39" s="68"/>
      <c r="B39" s="68"/>
      <c r="C39" s="68"/>
      <c r="D39" s="68"/>
      <c r="E39" s="68"/>
      <c r="F39" s="68"/>
      <c r="G39" s="68"/>
      <c r="H39" s="68"/>
      <c r="I39" s="68"/>
      <c r="J39" s="68"/>
      <c r="K39" s="68"/>
      <c r="L39" s="68"/>
      <c r="M39" s="68"/>
      <c r="N39" s="68"/>
    </row>
    <row r="40">
      <c r="A40" s="68"/>
      <c r="B40" s="68"/>
      <c r="C40" s="68"/>
      <c r="D40" s="68"/>
      <c r="E40" s="68"/>
      <c r="F40" s="68"/>
      <c r="G40" s="68"/>
      <c r="H40" s="68"/>
      <c r="I40" s="68"/>
      <c r="J40" s="68"/>
      <c r="K40" s="68"/>
      <c r="L40" s="68"/>
      <c r="M40" s="68"/>
      <c r="N40" s="68"/>
    </row>
    <row r="41">
      <c r="A41" s="68"/>
      <c r="B41" s="68"/>
      <c r="C41" s="68"/>
      <c r="D41" s="68"/>
      <c r="E41" s="68"/>
      <c r="F41" s="68"/>
      <c r="G41" s="68"/>
      <c r="H41" s="68"/>
      <c r="I41" s="68"/>
      <c r="J41" s="68"/>
      <c r="K41" s="68"/>
      <c r="L41" s="68"/>
      <c r="M41" s="68"/>
      <c r="N41" s="68"/>
    </row>
    <row r="42">
      <c r="A42" s="68"/>
      <c r="B42" s="68"/>
      <c r="C42" s="68"/>
      <c r="D42" s="68"/>
      <c r="E42" s="68"/>
      <c r="F42" s="68"/>
      <c r="G42" s="68"/>
      <c r="H42" s="68"/>
      <c r="I42" s="68"/>
      <c r="J42" s="68"/>
      <c r="K42" s="68"/>
      <c r="L42" s="68"/>
      <c r="M42" s="68"/>
      <c r="N42" s="68"/>
    </row>
    <row r="43">
      <c r="A43" s="68"/>
      <c r="B43" s="68"/>
      <c r="C43" s="68"/>
      <c r="D43" s="68"/>
      <c r="E43" s="68"/>
      <c r="F43" s="68"/>
      <c r="G43" s="68"/>
      <c r="H43" s="68"/>
      <c r="I43" s="68"/>
      <c r="J43" s="68"/>
      <c r="K43" s="68"/>
      <c r="L43" s="68"/>
      <c r="M43" s="68"/>
      <c r="N43" s="68"/>
    </row>
    <row r="44">
      <c r="A44" s="68"/>
      <c r="B44" s="68"/>
      <c r="C44" s="68"/>
      <c r="D44" s="68"/>
      <c r="E44" s="68"/>
      <c r="F44" s="68"/>
      <c r="G44" s="68"/>
      <c r="H44" s="68"/>
      <c r="I44" s="68"/>
      <c r="J44" s="68"/>
      <c r="K44" s="68"/>
      <c r="L44" s="68"/>
      <c r="M44" s="68"/>
      <c r="N44" s="68"/>
    </row>
    <row r="45">
      <c r="A45" s="68"/>
      <c r="B45" s="68"/>
      <c r="C45" s="68"/>
      <c r="D45" s="68"/>
      <c r="E45" s="68"/>
      <c r="F45" s="68"/>
      <c r="G45" s="68"/>
      <c r="H45" s="68"/>
      <c r="I45" s="68"/>
      <c r="J45" s="68"/>
      <c r="K45" s="68"/>
      <c r="L45" s="68"/>
      <c r="M45" s="68"/>
      <c r="N45" s="68"/>
    </row>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8">
    <mergeCell ref="B5:F6"/>
    <mergeCell ref="E11:G11"/>
    <mergeCell ref="E13:F13"/>
    <mergeCell ref="E15:G15"/>
    <mergeCell ref="E17:F17"/>
    <mergeCell ref="E19:G19"/>
    <mergeCell ref="J19:M19"/>
    <mergeCell ref="H30:I30"/>
    <mergeCell ref="H31:I31"/>
    <mergeCell ref="H32:I32"/>
    <mergeCell ref="H33:I33"/>
    <mergeCell ref="E21:F21"/>
    <mergeCell ref="E23:G23"/>
    <mergeCell ref="E25:L25"/>
    <mergeCell ref="H27:I27"/>
    <mergeCell ref="B28:C29"/>
    <mergeCell ref="H28:I28"/>
    <mergeCell ref="H29:I29"/>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 type="list" allowBlank="1" showInputMessage="1" prompt="Clique e insira um valor de intervalo" sqref="G28:G33">
      <formula1>$L$28:$L$32</formula1>
    </dataValidation>
  </dataValidations>
  <printOptions/>
  <pageMargins bottom="0.787401575" footer="0.0" header="0.0" left="0.511811024" right="0.511811024" top="0.7874015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75"/>
  <cols>
    <col customWidth="1" min="1" max="1" width="2.25"/>
    <col customWidth="1" min="2" max="2" width="14.38"/>
    <col customWidth="1" min="3" max="3" width="7.25"/>
    <col customWidth="1" min="4" max="4" width="2.25"/>
    <col customWidth="1" min="5" max="5" width="21.63"/>
    <col customWidth="1" min="6" max="7" width="14.38"/>
    <col customWidth="1" min="8" max="9" width="2.25"/>
    <col customWidth="1" min="10" max="10" width="7.25"/>
    <col customWidth="1" min="11" max="11" width="2.25"/>
    <col customWidth="1" min="12" max="12" width="14.38"/>
    <col customWidth="1" min="13" max="13" width="3.0"/>
    <col customWidth="1" min="14" max="14" width="3.13"/>
    <col customWidth="1" min="15" max="31" width="14.38"/>
  </cols>
  <sheetData>
    <row r="1" ht="11.25" customHeight="1">
      <c r="A1" s="68"/>
      <c r="B1" s="68"/>
      <c r="C1" s="68"/>
      <c r="D1" s="68"/>
      <c r="E1" s="68"/>
      <c r="F1" s="68"/>
      <c r="G1" s="68"/>
      <c r="H1" s="68"/>
      <c r="I1" s="68"/>
      <c r="J1" s="68"/>
      <c r="K1" s="68"/>
      <c r="L1" s="68"/>
      <c r="M1" s="68"/>
      <c r="N1" s="68"/>
    </row>
    <row r="2">
      <c r="A2" s="68"/>
      <c r="B2" s="69" t="s">
        <v>72</v>
      </c>
      <c r="C2" s="68"/>
      <c r="D2" s="68"/>
      <c r="E2" s="68"/>
      <c r="F2" s="68"/>
      <c r="G2" s="68"/>
      <c r="H2" s="68"/>
      <c r="I2" s="68"/>
      <c r="J2" s="68"/>
      <c r="K2" s="68"/>
      <c r="L2" s="68"/>
      <c r="M2" s="68"/>
      <c r="N2" s="68"/>
    </row>
    <row r="3">
      <c r="A3" s="68"/>
      <c r="B3" s="70" t="s">
        <v>73</v>
      </c>
      <c r="C3" s="68"/>
      <c r="D3" s="68"/>
      <c r="E3" s="68"/>
      <c r="F3" s="68"/>
      <c r="G3" s="68"/>
      <c r="N3" s="68"/>
    </row>
    <row r="4">
      <c r="A4" s="68"/>
      <c r="B4" s="67" t="s">
        <v>222</v>
      </c>
      <c r="C4" s="68"/>
      <c r="D4" s="68"/>
      <c r="E4" s="68"/>
      <c r="F4" s="68"/>
      <c r="G4" s="68"/>
      <c r="H4" s="68"/>
      <c r="I4" s="71"/>
      <c r="J4" s="72" t="s">
        <v>75</v>
      </c>
      <c r="K4" s="68"/>
      <c r="L4" s="68"/>
      <c r="M4" s="73" t="b">
        <v>1</v>
      </c>
      <c r="N4" s="68"/>
    </row>
    <row r="5" ht="23.25" customHeight="1">
      <c r="A5" s="68"/>
      <c r="B5" s="74" t="s">
        <v>76</v>
      </c>
      <c r="G5" s="68"/>
      <c r="H5" s="68"/>
      <c r="I5" s="71"/>
      <c r="J5" s="72" t="s">
        <v>77</v>
      </c>
      <c r="K5" s="68"/>
      <c r="L5" s="68"/>
      <c r="M5" s="73" t="b">
        <v>0</v>
      </c>
      <c r="N5" s="68"/>
    </row>
    <row r="6" ht="23.25" customHeight="1">
      <c r="A6" s="68"/>
      <c r="G6" s="68"/>
      <c r="H6" s="68"/>
      <c r="I6" s="71"/>
      <c r="J6" s="72" t="s">
        <v>78</v>
      </c>
      <c r="K6" s="68"/>
      <c r="L6" s="68"/>
      <c r="M6" s="73" t="b">
        <v>0</v>
      </c>
      <c r="N6" s="68"/>
    </row>
    <row r="7">
      <c r="A7" s="68"/>
      <c r="B7" s="68"/>
      <c r="C7" s="68"/>
      <c r="D7" s="68"/>
      <c r="E7" s="68"/>
      <c r="F7" s="68"/>
      <c r="G7" s="68"/>
      <c r="H7" s="68"/>
      <c r="I7" s="68"/>
      <c r="J7" s="72"/>
      <c r="K7" s="68"/>
      <c r="L7" s="68"/>
      <c r="M7" s="68"/>
      <c r="N7" s="68"/>
    </row>
    <row r="8">
      <c r="A8" s="68"/>
      <c r="B8" s="69" t="s">
        <v>79</v>
      </c>
      <c r="C8" s="68"/>
      <c r="D8" s="68"/>
      <c r="E8" s="68"/>
      <c r="F8" s="68"/>
      <c r="G8" s="68"/>
      <c r="H8" s="68"/>
      <c r="N8" s="68"/>
    </row>
    <row r="9">
      <c r="A9" s="68"/>
      <c r="B9" s="70" t="s">
        <v>80</v>
      </c>
      <c r="C9" s="68"/>
      <c r="D9" s="68"/>
      <c r="E9" s="68"/>
      <c r="F9" s="68"/>
      <c r="G9" s="68"/>
      <c r="H9" s="68"/>
      <c r="I9" s="68"/>
      <c r="J9" s="68"/>
      <c r="K9" s="68"/>
      <c r="L9" s="68"/>
      <c r="M9" s="68"/>
      <c r="N9" s="68"/>
    </row>
    <row r="10">
      <c r="A10" s="68"/>
      <c r="B10" s="68"/>
      <c r="C10" s="68"/>
      <c r="D10" s="68"/>
      <c r="E10" s="68"/>
      <c r="F10" s="68"/>
      <c r="G10" s="68"/>
      <c r="H10" s="68"/>
      <c r="I10" s="68"/>
      <c r="J10" s="68"/>
      <c r="K10" s="68"/>
      <c r="L10" s="68"/>
      <c r="M10" s="68"/>
      <c r="N10" s="68"/>
    </row>
    <row r="11" ht="13.5" customHeight="1">
      <c r="A11" s="68"/>
      <c r="B11" s="75" t="s">
        <v>81</v>
      </c>
      <c r="C11" s="68"/>
      <c r="D11" s="71"/>
      <c r="E11" s="76" t="s">
        <v>223</v>
      </c>
      <c r="F11" s="77"/>
      <c r="G11" s="78"/>
      <c r="H11" s="68"/>
      <c r="I11" s="68"/>
      <c r="J11" s="68"/>
      <c r="K11" s="68"/>
      <c r="L11" s="68"/>
      <c r="M11" s="68"/>
      <c r="N11" s="68"/>
      <c r="O11" s="99" t="s">
        <v>224</v>
      </c>
    </row>
    <row r="12">
      <c r="A12" s="68"/>
      <c r="B12" s="68"/>
      <c r="C12" s="68"/>
      <c r="D12" s="68"/>
      <c r="E12" s="68"/>
      <c r="F12" s="68"/>
      <c r="G12" s="68"/>
      <c r="H12" s="68"/>
      <c r="I12" s="71"/>
      <c r="J12" s="72" t="s">
        <v>83</v>
      </c>
      <c r="K12" s="72"/>
      <c r="L12" s="72"/>
      <c r="M12" s="79" t="s">
        <v>84</v>
      </c>
      <c r="N12" s="68"/>
    </row>
    <row r="13">
      <c r="A13" s="68"/>
      <c r="B13" s="75" t="s">
        <v>85</v>
      </c>
      <c r="C13" s="68"/>
      <c r="D13" s="71"/>
      <c r="E13" s="76" t="s">
        <v>86</v>
      </c>
      <c r="F13" s="78"/>
      <c r="G13" s="80"/>
      <c r="H13" s="68"/>
      <c r="I13" s="71"/>
      <c r="J13" s="72" t="s">
        <v>87</v>
      </c>
      <c r="K13" s="72"/>
      <c r="L13" s="72"/>
      <c r="M13" s="79" t="s">
        <v>84</v>
      </c>
      <c r="N13" s="68"/>
    </row>
    <row r="14">
      <c r="A14" s="68"/>
      <c r="B14" s="68"/>
      <c r="C14" s="68"/>
      <c r="D14" s="68"/>
      <c r="E14" s="68"/>
      <c r="F14" s="68"/>
      <c r="G14" s="68"/>
      <c r="H14" s="68"/>
      <c r="I14" s="71"/>
      <c r="J14" s="72" t="s">
        <v>86</v>
      </c>
      <c r="K14" s="72"/>
      <c r="L14" s="72"/>
      <c r="M14" s="79" t="s">
        <v>84</v>
      </c>
      <c r="N14" s="68"/>
    </row>
    <row r="15" ht="40.5" customHeight="1">
      <c r="A15" s="68"/>
      <c r="B15" s="75" t="s">
        <v>88</v>
      </c>
      <c r="C15" s="68"/>
      <c r="D15" s="71"/>
      <c r="E15" s="81" t="s">
        <v>225</v>
      </c>
      <c r="F15" s="77"/>
      <c r="G15" s="78"/>
      <c r="H15" s="82"/>
      <c r="I15" s="82"/>
      <c r="J15" s="83"/>
      <c r="K15" s="83"/>
      <c r="L15" s="83"/>
      <c r="M15" s="83"/>
      <c r="N15" s="68"/>
      <c r="O15" s="99" t="s">
        <v>224</v>
      </c>
    </row>
    <row r="16">
      <c r="A16" s="68"/>
      <c r="B16" s="68"/>
      <c r="C16" s="68"/>
      <c r="D16" s="68"/>
      <c r="E16" s="68"/>
      <c r="F16" s="68"/>
      <c r="G16" s="68"/>
      <c r="H16" s="68"/>
      <c r="I16" s="71"/>
      <c r="J16" s="72" t="s">
        <v>90</v>
      </c>
      <c r="K16" s="72"/>
      <c r="L16" s="72"/>
      <c r="M16" s="79" t="s">
        <v>84</v>
      </c>
      <c r="N16" s="68"/>
    </row>
    <row r="17">
      <c r="A17" s="68"/>
      <c r="B17" s="75" t="s">
        <v>91</v>
      </c>
      <c r="C17" s="68"/>
      <c r="D17" s="71"/>
      <c r="E17" s="76" t="s">
        <v>90</v>
      </c>
      <c r="F17" s="78"/>
      <c r="G17" s="80"/>
      <c r="H17" s="68"/>
      <c r="I17" s="71"/>
      <c r="J17" s="72" t="s">
        <v>92</v>
      </c>
      <c r="K17" s="72"/>
      <c r="L17" s="72"/>
      <c r="M17" s="79" t="s">
        <v>84</v>
      </c>
      <c r="N17" s="68"/>
    </row>
    <row r="18">
      <c r="A18" s="68"/>
      <c r="B18" s="84"/>
      <c r="C18" s="85"/>
      <c r="D18" s="85"/>
      <c r="E18" s="85"/>
      <c r="F18" s="68"/>
      <c r="G18" s="68"/>
      <c r="H18" s="68"/>
      <c r="I18" s="71"/>
      <c r="J18" s="86" t="s">
        <v>93</v>
      </c>
      <c r="K18" s="86"/>
      <c r="L18" s="86"/>
      <c r="M18" s="87" t="s">
        <v>84</v>
      </c>
      <c r="N18" s="68"/>
    </row>
    <row r="19" ht="51.0" customHeight="1">
      <c r="A19" s="68"/>
      <c r="B19" s="75" t="s">
        <v>94</v>
      </c>
      <c r="C19" s="68"/>
      <c r="D19" s="71"/>
      <c r="E19" s="81" t="s">
        <v>226</v>
      </c>
      <c r="F19" s="77"/>
      <c r="G19" s="78"/>
      <c r="H19" s="68"/>
      <c r="I19" s="68"/>
      <c r="J19" s="88" t="s">
        <v>96</v>
      </c>
      <c r="N19" s="68"/>
      <c r="O19" s="99" t="s">
        <v>224</v>
      </c>
    </row>
    <row r="20">
      <c r="A20" s="68"/>
      <c r="B20" s="68"/>
      <c r="C20" s="68"/>
      <c r="D20" s="68"/>
      <c r="E20" s="68"/>
      <c r="F20" s="68"/>
      <c r="G20" s="68"/>
      <c r="H20" s="68"/>
      <c r="I20" s="71"/>
      <c r="J20" s="72" t="s">
        <v>97</v>
      </c>
      <c r="K20" s="72"/>
      <c r="L20" s="72"/>
      <c r="M20" s="79" t="s">
        <v>84</v>
      </c>
      <c r="N20" s="68"/>
    </row>
    <row r="21">
      <c r="A21" s="68"/>
      <c r="B21" s="75" t="s">
        <v>98</v>
      </c>
      <c r="C21" s="68"/>
      <c r="D21" s="71"/>
      <c r="E21" s="76" t="s">
        <v>97</v>
      </c>
      <c r="F21" s="78"/>
      <c r="G21" s="80"/>
      <c r="H21" s="68"/>
      <c r="I21" s="71"/>
      <c r="J21" s="72" t="s">
        <v>99</v>
      </c>
      <c r="K21" s="72"/>
      <c r="L21" s="72"/>
      <c r="M21" s="79" t="s">
        <v>84</v>
      </c>
      <c r="N21" s="68"/>
    </row>
    <row r="22">
      <c r="A22" s="68"/>
      <c r="B22" s="68"/>
      <c r="C22" s="68"/>
      <c r="D22" s="68"/>
      <c r="E22" s="68"/>
      <c r="F22" s="68"/>
      <c r="G22" s="68"/>
      <c r="H22" s="68"/>
      <c r="I22" s="71"/>
      <c r="J22" s="72" t="s">
        <v>100</v>
      </c>
      <c r="K22" s="72"/>
      <c r="L22" s="72"/>
      <c r="M22" s="79" t="s">
        <v>84</v>
      </c>
      <c r="N22" s="68"/>
    </row>
    <row r="23" ht="39.75" customHeight="1">
      <c r="A23" s="68"/>
      <c r="B23" s="75" t="s">
        <v>101</v>
      </c>
      <c r="C23" s="68"/>
      <c r="D23" s="71"/>
      <c r="E23" s="81" t="s">
        <v>227</v>
      </c>
      <c r="F23" s="77"/>
      <c r="G23" s="78"/>
      <c r="H23" s="68"/>
      <c r="I23" s="68"/>
      <c r="J23" s="68"/>
      <c r="K23" s="68"/>
      <c r="L23" s="68"/>
      <c r="M23" s="68"/>
      <c r="N23" s="68"/>
      <c r="O23" s="99" t="s">
        <v>224</v>
      </c>
    </row>
    <row r="24">
      <c r="A24" s="68"/>
      <c r="B24" s="68"/>
      <c r="C24" s="68"/>
      <c r="D24" s="68"/>
      <c r="E24" s="68"/>
      <c r="F24" s="68"/>
      <c r="G24" s="68"/>
      <c r="H24" s="68"/>
      <c r="I24" s="68"/>
      <c r="J24" s="68"/>
      <c r="K24" s="68"/>
      <c r="L24" s="68"/>
      <c r="M24" s="68"/>
      <c r="N24" s="68"/>
    </row>
    <row r="25" ht="41.25" customHeight="1">
      <c r="A25" s="68"/>
      <c r="B25" s="75" t="s">
        <v>103</v>
      </c>
      <c r="C25" s="68"/>
      <c r="D25" s="71"/>
      <c r="E25" s="81" t="s">
        <v>228</v>
      </c>
      <c r="F25" s="77"/>
      <c r="G25" s="77"/>
      <c r="H25" s="77"/>
      <c r="I25" s="77"/>
      <c r="J25" s="77"/>
      <c r="K25" s="77"/>
      <c r="L25" s="78"/>
      <c r="M25" s="68"/>
      <c r="N25" s="68"/>
      <c r="O25" s="99" t="s">
        <v>224</v>
      </c>
    </row>
    <row r="26">
      <c r="A26" s="68"/>
      <c r="B26" s="68"/>
      <c r="C26" s="68"/>
      <c r="D26" s="68"/>
      <c r="E26" s="68"/>
      <c r="F26" s="68"/>
      <c r="G26" s="68"/>
      <c r="H26" s="68"/>
      <c r="I26" s="68"/>
      <c r="J26" s="68"/>
      <c r="K26" s="68"/>
      <c r="L26" s="68"/>
      <c r="M26" s="68"/>
      <c r="N26" s="68"/>
    </row>
    <row r="27">
      <c r="A27" s="68"/>
      <c r="B27" s="75" t="s">
        <v>105</v>
      </c>
      <c r="C27" s="68"/>
      <c r="D27" s="71"/>
      <c r="E27" s="89" t="s">
        <v>106</v>
      </c>
      <c r="F27" s="90" t="s">
        <v>107</v>
      </c>
      <c r="G27" s="89" t="s">
        <v>108</v>
      </c>
      <c r="H27" s="91" t="s">
        <v>109</v>
      </c>
      <c r="I27" s="92"/>
      <c r="J27" s="84"/>
      <c r="K27" s="84"/>
      <c r="L27" s="80"/>
      <c r="M27" s="68"/>
      <c r="N27" s="68"/>
    </row>
    <row r="28">
      <c r="A28" s="68"/>
      <c r="B28" s="93" t="s">
        <v>71</v>
      </c>
      <c r="D28" s="71"/>
      <c r="E28" s="94" t="s">
        <v>137</v>
      </c>
      <c r="F28" s="95" t="s">
        <v>111</v>
      </c>
      <c r="G28" s="95" t="s">
        <v>115</v>
      </c>
      <c r="H28" s="96"/>
      <c r="I28" s="78"/>
      <c r="J28" s="84"/>
      <c r="K28" s="71"/>
      <c r="L28" s="72" t="s">
        <v>37</v>
      </c>
      <c r="M28" s="79" t="s">
        <v>84</v>
      </c>
      <c r="N28" s="68"/>
    </row>
    <row r="29">
      <c r="A29" s="68"/>
      <c r="D29" s="71"/>
      <c r="E29" s="94" t="s">
        <v>126</v>
      </c>
      <c r="F29" s="95" t="s">
        <v>127</v>
      </c>
      <c r="G29" s="95" t="s">
        <v>112</v>
      </c>
      <c r="H29" s="96"/>
      <c r="I29" s="78"/>
      <c r="J29" s="84"/>
      <c r="K29" s="71"/>
      <c r="L29" s="72" t="s">
        <v>115</v>
      </c>
      <c r="M29" s="68"/>
      <c r="N29" s="68"/>
    </row>
    <row r="30">
      <c r="A30" s="68"/>
      <c r="B30" s="68"/>
      <c r="C30" s="68"/>
      <c r="D30" s="71"/>
      <c r="E30" s="94" t="s">
        <v>116</v>
      </c>
      <c r="F30" s="95" t="s">
        <v>117</v>
      </c>
      <c r="G30" s="95" t="s">
        <v>112</v>
      </c>
      <c r="H30" s="96"/>
      <c r="I30" s="78"/>
      <c r="J30" s="84"/>
      <c r="K30" s="71"/>
      <c r="L30" s="72" t="s">
        <v>112</v>
      </c>
      <c r="M30" s="68"/>
      <c r="N30" s="68"/>
    </row>
    <row r="31">
      <c r="A31" s="68"/>
      <c r="B31" s="68"/>
      <c r="C31" s="68"/>
      <c r="D31" s="71"/>
      <c r="E31" s="94" t="s">
        <v>146</v>
      </c>
      <c r="F31" s="97" t="s">
        <v>147</v>
      </c>
      <c r="G31" s="95" t="s">
        <v>41</v>
      </c>
      <c r="H31" s="96"/>
      <c r="I31" s="78"/>
      <c r="J31" s="84"/>
      <c r="K31" s="71"/>
      <c r="L31" s="72" t="s">
        <v>41</v>
      </c>
      <c r="M31" s="68"/>
      <c r="N31" s="68"/>
    </row>
    <row r="32">
      <c r="A32" s="68"/>
      <c r="B32" s="68"/>
      <c r="C32" s="68"/>
      <c r="D32" s="71"/>
      <c r="E32" s="94" t="s">
        <v>129</v>
      </c>
      <c r="F32" s="95" t="s">
        <v>130</v>
      </c>
      <c r="G32" s="95" t="s">
        <v>41</v>
      </c>
      <c r="H32" s="96"/>
      <c r="I32" s="78"/>
      <c r="J32" s="68"/>
      <c r="K32" s="71"/>
      <c r="L32" s="72" t="s">
        <v>42</v>
      </c>
      <c r="M32" s="68"/>
      <c r="N32" s="68"/>
    </row>
    <row r="33">
      <c r="A33" s="68"/>
      <c r="B33" s="68"/>
      <c r="C33" s="68"/>
      <c r="D33" s="71"/>
      <c r="E33" s="94" t="s">
        <v>113</v>
      </c>
      <c r="F33" s="95" t="s">
        <v>114</v>
      </c>
      <c r="G33" s="95" t="s">
        <v>112</v>
      </c>
      <c r="H33" s="96"/>
      <c r="I33" s="78"/>
      <c r="J33" s="68"/>
      <c r="K33" s="68"/>
      <c r="L33" s="68"/>
      <c r="M33" s="68"/>
      <c r="N33" s="68"/>
    </row>
    <row r="34">
      <c r="A34" s="68"/>
      <c r="B34" s="75"/>
      <c r="C34" s="68"/>
      <c r="D34" s="68"/>
      <c r="E34" s="68"/>
      <c r="F34" s="68"/>
      <c r="G34" s="68"/>
      <c r="H34" s="68"/>
      <c r="I34" s="68"/>
      <c r="J34" s="68"/>
      <c r="K34" s="68"/>
      <c r="L34" s="68"/>
      <c r="M34" s="68"/>
      <c r="N34" s="68"/>
    </row>
    <row r="35">
      <c r="A35" s="68"/>
      <c r="B35" s="75" t="s">
        <v>118</v>
      </c>
      <c r="C35" s="68"/>
      <c r="D35" s="68"/>
      <c r="E35" s="68"/>
      <c r="F35" s="68"/>
      <c r="G35" s="68"/>
      <c r="H35" s="68"/>
      <c r="I35" s="68"/>
      <c r="J35" s="68"/>
      <c r="K35" s="68"/>
      <c r="L35" s="68"/>
      <c r="M35" s="68"/>
      <c r="N35" s="68"/>
    </row>
    <row r="36">
      <c r="A36" s="68"/>
      <c r="B36" s="72" t="s">
        <v>119</v>
      </c>
      <c r="C36" s="68"/>
      <c r="D36" s="68"/>
      <c r="E36" s="68"/>
      <c r="F36" s="68"/>
      <c r="G36" s="68"/>
      <c r="H36" s="68"/>
      <c r="I36" s="68"/>
      <c r="J36" s="68"/>
      <c r="K36" s="68"/>
      <c r="L36" s="68"/>
      <c r="M36" s="68"/>
      <c r="N36" s="68"/>
    </row>
    <row r="37">
      <c r="A37" s="68"/>
      <c r="B37" s="68"/>
      <c r="C37" s="68"/>
      <c r="D37" s="68"/>
      <c r="E37" s="68"/>
      <c r="F37" s="68"/>
      <c r="G37" s="68"/>
      <c r="H37" s="68"/>
      <c r="I37" s="68"/>
      <c r="J37" s="68"/>
      <c r="K37" s="68"/>
      <c r="L37" s="68"/>
      <c r="M37" s="68"/>
      <c r="N37" s="68"/>
    </row>
    <row r="38">
      <c r="A38" s="68"/>
      <c r="B38" s="68"/>
      <c r="C38" s="68"/>
      <c r="D38" s="68"/>
      <c r="E38" s="68"/>
      <c r="F38" s="68"/>
      <c r="G38" s="68"/>
      <c r="H38" s="68"/>
      <c r="I38" s="68"/>
      <c r="J38" s="68"/>
      <c r="K38" s="68"/>
      <c r="L38" s="68"/>
      <c r="M38" s="68"/>
      <c r="N38" s="68"/>
    </row>
    <row r="39">
      <c r="A39" s="68"/>
      <c r="B39" s="68"/>
      <c r="C39" s="68"/>
      <c r="D39" s="68"/>
      <c r="E39" s="68"/>
      <c r="F39" s="68"/>
      <c r="G39" s="68"/>
      <c r="H39" s="68"/>
      <c r="I39" s="68"/>
      <c r="J39" s="68"/>
      <c r="K39" s="68"/>
      <c r="L39" s="68"/>
      <c r="M39" s="68"/>
      <c r="N39" s="68"/>
    </row>
    <row r="40">
      <c r="A40" s="68"/>
      <c r="B40" s="68"/>
      <c r="C40" s="68"/>
      <c r="D40" s="68"/>
      <c r="E40" s="68"/>
      <c r="F40" s="68"/>
      <c r="G40" s="68"/>
      <c r="H40" s="68"/>
      <c r="I40" s="68"/>
      <c r="J40" s="68"/>
      <c r="K40" s="68"/>
      <c r="L40" s="68"/>
      <c r="M40" s="68"/>
      <c r="N40" s="68"/>
    </row>
    <row r="41">
      <c r="A41" s="68"/>
      <c r="B41" s="68"/>
      <c r="C41" s="68"/>
      <c r="D41" s="68"/>
      <c r="E41" s="68"/>
      <c r="F41" s="68"/>
      <c r="G41" s="68"/>
      <c r="H41" s="68"/>
      <c r="I41" s="68"/>
      <c r="J41" s="68"/>
      <c r="K41" s="68"/>
      <c r="L41" s="68"/>
      <c r="M41" s="68"/>
      <c r="N41" s="68"/>
    </row>
    <row r="42">
      <c r="A42" s="68"/>
      <c r="B42" s="68"/>
      <c r="C42" s="68"/>
      <c r="D42" s="68"/>
      <c r="E42" s="68"/>
      <c r="F42" s="68"/>
      <c r="G42" s="68"/>
      <c r="H42" s="68"/>
      <c r="I42" s="68"/>
      <c r="J42" s="68"/>
      <c r="K42" s="68"/>
      <c r="L42" s="68"/>
      <c r="M42" s="68"/>
      <c r="N42" s="68"/>
    </row>
    <row r="43">
      <c r="A43" s="68"/>
      <c r="B43" s="68"/>
      <c r="C43" s="68"/>
      <c r="D43" s="68"/>
      <c r="E43" s="68"/>
      <c r="F43" s="68"/>
      <c r="G43" s="68"/>
      <c r="H43" s="68"/>
      <c r="I43" s="68"/>
      <c r="J43" s="68"/>
      <c r="K43" s="68"/>
      <c r="L43" s="68"/>
      <c r="M43" s="68"/>
      <c r="N43" s="68"/>
    </row>
    <row r="44">
      <c r="A44" s="68"/>
      <c r="B44" s="68"/>
      <c r="C44" s="68"/>
      <c r="D44" s="68"/>
      <c r="E44" s="68"/>
      <c r="F44" s="68"/>
      <c r="G44" s="68"/>
      <c r="H44" s="68"/>
      <c r="I44" s="68"/>
      <c r="J44" s="68"/>
      <c r="K44" s="68"/>
      <c r="L44" s="68"/>
      <c r="M44" s="68"/>
      <c r="N44" s="68"/>
    </row>
    <row r="45">
      <c r="A45" s="68"/>
      <c r="B45" s="68"/>
      <c r="C45" s="68"/>
      <c r="D45" s="68"/>
      <c r="E45" s="68"/>
      <c r="F45" s="68"/>
      <c r="G45" s="68"/>
      <c r="H45" s="68"/>
      <c r="I45" s="68"/>
      <c r="J45" s="68"/>
      <c r="K45" s="68"/>
      <c r="L45" s="68"/>
      <c r="M45" s="68"/>
      <c r="N45" s="68"/>
    </row>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8">
    <mergeCell ref="B5:F6"/>
    <mergeCell ref="E11:G11"/>
    <mergeCell ref="E13:F13"/>
    <mergeCell ref="E15:G15"/>
    <mergeCell ref="E17:F17"/>
    <mergeCell ref="E19:G19"/>
    <mergeCell ref="J19:M19"/>
    <mergeCell ref="H30:I30"/>
    <mergeCell ref="H31:I31"/>
    <mergeCell ref="H32:I32"/>
    <mergeCell ref="H33:I33"/>
    <mergeCell ref="E21:F21"/>
    <mergeCell ref="E23:G23"/>
    <mergeCell ref="E25:L25"/>
    <mergeCell ref="H27:I27"/>
    <mergeCell ref="B28:C29"/>
    <mergeCell ref="H28:I28"/>
    <mergeCell ref="H29:I29"/>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 type="list" allowBlank="1" showInputMessage="1" prompt="Clique e insira um valor de intervalo" sqref="G28:G33">
      <formula1>$L$28:$L$32</formula1>
    </dataValidation>
  </dataValidations>
  <printOptions/>
  <pageMargins bottom="0.787401575" footer="0.0" header="0.0" left="0.511811024" right="0.511811024" top="0.787401575"/>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75"/>
  <cols>
    <col customWidth="1" min="1" max="1" width="2.25"/>
    <col customWidth="1" min="2" max="2" width="14.38"/>
    <col customWidth="1" min="3" max="3" width="7.25"/>
    <col customWidth="1" min="4" max="4" width="2.25"/>
    <col customWidth="1" min="5" max="5" width="21.63"/>
    <col customWidth="1" min="6" max="7" width="14.38"/>
    <col customWidth="1" min="8" max="9" width="2.25"/>
    <col customWidth="1" min="10" max="10" width="7.25"/>
    <col customWidth="1" min="11" max="11" width="2.25"/>
    <col customWidth="1" min="12" max="12" width="14.38"/>
    <col customWidth="1" min="13" max="13" width="3.0"/>
    <col customWidth="1" min="14" max="14" width="3.13"/>
    <col customWidth="1" min="15" max="26" width="14.38"/>
  </cols>
  <sheetData>
    <row r="1" ht="11.25" customHeight="1">
      <c r="A1" s="68"/>
      <c r="B1" s="68"/>
      <c r="C1" s="68"/>
      <c r="D1" s="68"/>
      <c r="E1" s="68"/>
      <c r="F1" s="68"/>
      <c r="G1" s="68"/>
      <c r="H1" s="68"/>
      <c r="I1" s="68"/>
      <c r="J1" s="68"/>
      <c r="K1" s="68"/>
      <c r="L1" s="68"/>
      <c r="M1" s="68"/>
      <c r="N1" s="68"/>
    </row>
    <row r="2">
      <c r="A2" s="68"/>
      <c r="B2" s="69" t="s">
        <v>72</v>
      </c>
      <c r="C2" s="68"/>
      <c r="D2" s="68"/>
      <c r="E2" s="68"/>
      <c r="F2" s="68"/>
      <c r="G2" s="68"/>
      <c r="H2" s="68"/>
      <c r="I2" s="68"/>
      <c r="J2" s="68"/>
      <c r="K2" s="68"/>
      <c r="L2" s="68"/>
      <c r="M2" s="68"/>
      <c r="N2" s="68"/>
    </row>
    <row r="3">
      <c r="A3" s="68"/>
      <c r="B3" s="70" t="s">
        <v>73</v>
      </c>
      <c r="C3" s="68"/>
      <c r="D3" s="68"/>
      <c r="E3" s="68"/>
      <c r="F3" s="68"/>
      <c r="G3" s="68"/>
      <c r="N3" s="68"/>
    </row>
    <row r="4">
      <c r="A4" s="68"/>
      <c r="B4" s="67" t="s">
        <v>229</v>
      </c>
      <c r="C4" s="68"/>
      <c r="D4" s="68"/>
      <c r="E4" s="68"/>
      <c r="F4" s="68"/>
      <c r="G4" s="68"/>
      <c r="H4" s="68"/>
      <c r="I4" s="71"/>
      <c r="J4" s="72" t="s">
        <v>75</v>
      </c>
      <c r="K4" s="68"/>
      <c r="L4" s="68"/>
      <c r="M4" s="73" t="b">
        <v>1</v>
      </c>
      <c r="N4" s="68"/>
    </row>
    <row r="5" ht="23.25" customHeight="1">
      <c r="A5" s="68"/>
      <c r="B5" s="74" t="s">
        <v>76</v>
      </c>
      <c r="G5" s="68"/>
      <c r="H5" s="68"/>
      <c r="I5" s="71"/>
      <c r="J5" s="72" t="s">
        <v>77</v>
      </c>
      <c r="K5" s="68"/>
      <c r="L5" s="68"/>
      <c r="M5" s="73" t="b">
        <v>0</v>
      </c>
      <c r="N5" s="68"/>
    </row>
    <row r="6" ht="23.25" customHeight="1">
      <c r="A6" s="68"/>
      <c r="G6" s="68"/>
      <c r="H6" s="68"/>
      <c r="I6" s="71"/>
      <c r="J6" s="72" t="s">
        <v>78</v>
      </c>
      <c r="K6" s="68"/>
      <c r="L6" s="68"/>
      <c r="M6" s="73" t="b">
        <v>0</v>
      </c>
      <c r="N6" s="68"/>
    </row>
    <row r="7">
      <c r="A7" s="68"/>
      <c r="B7" s="68"/>
      <c r="C7" s="68"/>
      <c r="D7" s="68"/>
      <c r="E7" s="68"/>
      <c r="F7" s="68"/>
      <c r="G7" s="68"/>
      <c r="H7" s="68"/>
      <c r="I7" s="68"/>
      <c r="J7" s="72"/>
      <c r="K7" s="68"/>
      <c r="L7" s="68"/>
      <c r="M7" s="68"/>
      <c r="N7" s="68"/>
    </row>
    <row r="8">
      <c r="A8" s="68"/>
      <c r="B8" s="69" t="s">
        <v>79</v>
      </c>
      <c r="C8" s="68"/>
      <c r="D8" s="68"/>
      <c r="E8" s="68"/>
      <c r="F8" s="68"/>
      <c r="G8" s="68"/>
      <c r="H8" s="68"/>
      <c r="N8" s="68"/>
    </row>
    <row r="9">
      <c r="A9" s="68"/>
      <c r="B9" s="70" t="s">
        <v>80</v>
      </c>
      <c r="C9" s="68"/>
      <c r="D9" s="68"/>
      <c r="E9" s="68"/>
      <c r="F9" s="68"/>
      <c r="G9" s="68"/>
      <c r="H9" s="68"/>
      <c r="I9" s="68"/>
      <c r="J9" s="68"/>
      <c r="K9" s="68"/>
      <c r="L9" s="68"/>
      <c r="M9" s="68"/>
      <c r="N9" s="68"/>
    </row>
    <row r="10">
      <c r="A10" s="68"/>
      <c r="B10" s="68"/>
      <c r="C10" s="68"/>
      <c r="D10" s="68"/>
      <c r="E10" s="68"/>
      <c r="F10" s="68"/>
      <c r="G10" s="68"/>
      <c r="H10" s="68"/>
      <c r="I10" s="68"/>
      <c r="J10" s="68"/>
      <c r="K10" s="68"/>
      <c r="L10" s="68"/>
      <c r="M10" s="68"/>
      <c r="N10" s="68"/>
    </row>
    <row r="11" ht="13.5" customHeight="1">
      <c r="A11" s="68"/>
      <c r="B11" s="75" t="s">
        <v>81</v>
      </c>
      <c r="C11" s="68"/>
      <c r="D11" s="71"/>
      <c r="E11" s="76" t="s">
        <v>230</v>
      </c>
      <c r="F11" s="77"/>
      <c r="G11" s="78"/>
      <c r="H11" s="68"/>
      <c r="I11" s="68"/>
      <c r="J11" s="68"/>
      <c r="K11" s="68"/>
      <c r="L11" s="68"/>
      <c r="M11" s="68"/>
      <c r="N11" s="68"/>
    </row>
    <row r="12">
      <c r="A12" s="68"/>
      <c r="B12" s="68"/>
      <c r="C12" s="68"/>
      <c r="D12" s="68"/>
      <c r="E12" s="68"/>
      <c r="F12" s="68"/>
      <c r="G12" s="68"/>
      <c r="H12" s="68"/>
      <c r="I12" s="71"/>
      <c r="J12" s="72" t="s">
        <v>83</v>
      </c>
      <c r="K12" s="72"/>
      <c r="L12" s="72"/>
      <c r="M12" s="79" t="s">
        <v>84</v>
      </c>
      <c r="N12" s="68"/>
    </row>
    <row r="13">
      <c r="A13" s="68"/>
      <c r="B13" s="75" t="s">
        <v>85</v>
      </c>
      <c r="C13" s="68"/>
      <c r="D13" s="71"/>
      <c r="E13" s="76" t="s">
        <v>87</v>
      </c>
      <c r="F13" s="78"/>
      <c r="G13" s="80"/>
      <c r="H13" s="68"/>
      <c r="I13" s="71"/>
      <c r="J13" s="72" t="s">
        <v>87</v>
      </c>
      <c r="K13" s="72"/>
      <c r="L13" s="72"/>
      <c r="M13" s="79" t="s">
        <v>84</v>
      </c>
      <c r="N13" s="68"/>
    </row>
    <row r="14">
      <c r="A14" s="68"/>
      <c r="B14" s="68"/>
      <c r="C14" s="68"/>
      <c r="D14" s="68"/>
      <c r="E14" s="68"/>
      <c r="F14" s="68"/>
      <c r="G14" s="68"/>
      <c r="H14" s="68"/>
      <c r="I14" s="71"/>
      <c r="J14" s="72" t="s">
        <v>86</v>
      </c>
      <c r="K14" s="72"/>
      <c r="L14" s="72"/>
      <c r="M14" s="79" t="s">
        <v>84</v>
      </c>
      <c r="N14" s="68"/>
    </row>
    <row r="15">
      <c r="A15" s="68"/>
      <c r="B15" s="75" t="s">
        <v>88</v>
      </c>
      <c r="C15" s="68"/>
      <c r="D15" s="71"/>
      <c r="E15" s="81" t="s">
        <v>231</v>
      </c>
      <c r="F15" s="77"/>
      <c r="G15" s="78"/>
      <c r="H15" s="82"/>
      <c r="I15" s="82"/>
      <c r="J15" s="83"/>
      <c r="K15" s="83"/>
      <c r="L15" s="83"/>
      <c r="M15" s="83"/>
      <c r="N15" s="68"/>
    </row>
    <row r="16">
      <c r="A16" s="68"/>
      <c r="B16" s="68"/>
      <c r="C16" s="68"/>
      <c r="D16" s="68"/>
      <c r="E16" s="68"/>
      <c r="F16" s="68"/>
      <c r="G16" s="68"/>
      <c r="H16" s="68"/>
      <c r="I16" s="71"/>
      <c r="J16" s="72" t="s">
        <v>90</v>
      </c>
      <c r="K16" s="72"/>
      <c r="L16" s="72"/>
      <c r="M16" s="79" t="s">
        <v>84</v>
      </c>
      <c r="N16" s="68"/>
    </row>
    <row r="17">
      <c r="A17" s="68"/>
      <c r="B17" s="75" t="s">
        <v>91</v>
      </c>
      <c r="C17" s="68"/>
      <c r="D17" s="71"/>
      <c r="E17" s="81" t="s">
        <v>90</v>
      </c>
      <c r="F17" s="78"/>
      <c r="G17" s="80"/>
      <c r="H17" s="68"/>
      <c r="I17" s="71"/>
      <c r="J17" s="72" t="s">
        <v>92</v>
      </c>
      <c r="K17" s="72"/>
      <c r="L17" s="72"/>
      <c r="M17" s="79" t="s">
        <v>84</v>
      </c>
      <c r="N17" s="68"/>
    </row>
    <row r="18">
      <c r="A18" s="68"/>
      <c r="B18" s="84"/>
      <c r="C18" s="85"/>
      <c r="D18" s="85"/>
      <c r="E18" s="85"/>
      <c r="F18" s="68"/>
      <c r="G18" s="68"/>
      <c r="H18" s="68"/>
      <c r="I18" s="71"/>
      <c r="J18" s="86" t="s">
        <v>93</v>
      </c>
      <c r="K18" s="86"/>
      <c r="L18" s="86"/>
      <c r="M18" s="87" t="s">
        <v>84</v>
      </c>
      <c r="N18" s="68"/>
    </row>
    <row r="19">
      <c r="A19" s="68"/>
      <c r="B19" s="75" t="s">
        <v>94</v>
      </c>
      <c r="C19" s="68"/>
      <c r="D19" s="71"/>
      <c r="E19" s="81" t="s">
        <v>232</v>
      </c>
      <c r="F19" s="77"/>
      <c r="G19" s="78"/>
      <c r="H19" s="68"/>
      <c r="I19" s="68"/>
      <c r="J19" s="88" t="s">
        <v>96</v>
      </c>
      <c r="N19" s="68"/>
    </row>
    <row r="20">
      <c r="A20" s="68"/>
      <c r="B20" s="68"/>
      <c r="C20" s="68"/>
      <c r="D20" s="68"/>
      <c r="E20" s="68"/>
      <c r="F20" s="68"/>
      <c r="G20" s="68"/>
      <c r="H20" s="68"/>
      <c r="I20" s="71"/>
      <c r="J20" s="72" t="s">
        <v>97</v>
      </c>
      <c r="K20" s="72"/>
      <c r="L20" s="72"/>
      <c r="M20" s="79" t="s">
        <v>84</v>
      </c>
      <c r="N20" s="68"/>
    </row>
    <row r="21">
      <c r="A21" s="68"/>
      <c r="B21" s="75" t="s">
        <v>98</v>
      </c>
      <c r="C21" s="68"/>
      <c r="D21" s="71"/>
      <c r="E21" s="76" t="s">
        <v>99</v>
      </c>
      <c r="F21" s="78"/>
      <c r="G21" s="80"/>
      <c r="H21" s="68"/>
      <c r="I21" s="71"/>
      <c r="J21" s="72" t="s">
        <v>99</v>
      </c>
      <c r="K21" s="72"/>
      <c r="L21" s="72"/>
      <c r="M21" s="79" t="s">
        <v>84</v>
      </c>
      <c r="N21" s="68"/>
    </row>
    <row r="22">
      <c r="A22" s="68"/>
      <c r="B22" s="68"/>
      <c r="C22" s="68"/>
      <c r="D22" s="68"/>
      <c r="E22" s="68"/>
      <c r="F22" s="68"/>
      <c r="G22" s="68"/>
      <c r="H22" s="68"/>
      <c r="I22" s="71"/>
      <c r="J22" s="72" t="s">
        <v>100</v>
      </c>
      <c r="K22" s="72"/>
      <c r="L22" s="72"/>
      <c r="M22" s="79" t="s">
        <v>84</v>
      </c>
      <c r="N22" s="68"/>
    </row>
    <row r="23" ht="39.75" customHeight="1">
      <c r="A23" s="68"/>
      <c r="B23" s="75" t="s">
        <v>101</v>
      </c>
      <c r="C23" s="68"/>
      <c r="D23" s="71"/>
      <c r="E23" s="81" t="s">
        <v>233</v>
      </c>
      <c r="F23" s="77"/>
      <c r="G23" s="78"/>
      <c r="H23" s="68"/>
      <c r="I23" s="68"/>
      <c r="J23" s="68"/>
      <c r="K23" s="68"/>
      <c r="L23" s="68"/>
      <c r="M23" s="68"/>
      <c r="N23" s="68"/>
    </row>
    <row r="24">
      <c r="A24" s="68"/>
      <c r="B24" s="68"/>
      <c r="C24" s="68"/>
      <c r="D24" s="68"/>
      <c r="E24" s="68"/>
      <c r="F24" s="68"/>
      <c r="G24" s="68"/>
      <c r="H24" s="68"/>
      <c r="I24" s="68"/>
      <c r="J24" s="68"/>
      <c r="K24" s="68"/>
      <c r="L24" s="68"/>
      <c r="M24" s="68"/>
      <c r="N24" s="68"/>
    </row>
    <row r="25" ht="41.25" customHeight="1">
      <c r="A25" s="68"/>
      <c r="B25" s="75" t="s">
        <v>103</v>
      </c>
      <c r="C25" s="68"/>
      <c r="D25" s="71"/>
      <c r="E25" s="81" t="s">
        <v>234</v>
      </c>
      <c r="F25" s="77"/>
      <c r="G25" s="77"/>
      <c r="H25" s="77"/>
      <c r="I25" s="77"/>
      <c r="J25" s="77"/>
      <c r="K25" s="77"/>
      <c r="L25" s="78"/>
      <c r="M25" s="68"/>
      <c r="N25" s="68"/>
    </row>
    <row r="26">
      <c r="A26" s="68"/>
      <c r="B26" s="68"/>
      <c r="C26" s="68"/>
      <c r="D26" s="68"/>
      <c r="E26" s="68"/>
      <c r="F26" s="68"/>
      <c r="G26" s="68"/>
      <c r="H26" s="68"/>
      <c r="I26" s="68"/>
      <c r="J26" s="68"/>
      <c r="K26" s="68"/>
      <c r="L26" s="68"/>
      <c r="M26" s="68"/>
      <c r="N26" s="68"/>
    </row>
    <row r="27">
      <c r="A27" s="68"/>
      <c r="B27" s="75" t="s">
        <v>105</v>
      </c>
      <c r="C27" s="68"/>
      <c r="D27" s="71"/>
      <c r="E27" s="89" t="s">
        <v>106</v>
      </c>
      <c r="F27" s="90" t="s">
        <v>107</v>
      </c>
      <c r="G27" s="89" t="s">
        <v>108</v>
      </c>
      <c r="H27" s="91" t="s">
        <v>109</v>
      </c>
      <c r="I27" s="92"/>
      <c r="J27" s="84"/>
      <c r="K27" s="84"/>
      <c r="L27" s="80"/>
      <c r="M27" s="68"/>
      <c r="N27" s="68"/>
    </row>
    <row r="28">
      <c r="A28" s="68"/>
      <c r="B28" s="93" t="s">
        <v>71</v>
      </c>
      <c r="D28" s="71"/>
      <c r="E28" s="94" t="s">
        <v>235</v>
      </c>
      <c r="F28" s="95" t="s">
        <v>127</v>
      </c>
      <c r="G28" s="95" t="s">
        <v>42</v>
      </c>
      <c r="H28" s="96"/>
      <c r="I28" s="78"/>
      <c r="J28" s="84"/>
      <c r="K28" s="71"/>
      <c r="L28" s="72" t="s">
        <v>37</v>
      </c>
      <c r="M28" s="79" t="s">
        <v>84</v>
      </c>
      <c r="N28" s="68"/>
    </row>
    <row r="29">
      <c r="A29" s="68"/>
      <c r="D29" s="71"/>
      <c r="E29" s="94" t="s">
        <v>126</v>
      </c>
      <c r="F29" s="95" t="s">
        <v>127</v>
      </c>
      <c r="G29" s="95" t="s">
        <v>112</v>
      </c>
      <c r="H29" s="96"/>
      <c r="I29" s="78"/>
      <c r="J29" s="84"/>
      <c r="K29" s="71"/>
      <c r="L29" s="72" t="s">
        <v>115</v>
      </c>
      <c r="M29" s="68"/>
      <c r="N29" s="68"/>
    </row>
    <row r="30">
      <c r="A30" s="68"/>
      <c r="B30" s="68"/>
      <c r="C30" s="68"/>
      <c r="D30" s="71"/>
      <c r="E30" s="94" t="s">
        <v>129</v>
      </c>
      <c r="F30" s="95" t="s">
        <v>130</v>
      </c>
      <c r="G30" s="95" t="s">
        <v>41</v>
      </c>
      <c r="H30" s="96"/>
      <c r="I30" s="78"/>
      <c r="J30" s="84"/>
      <c r="K30" s="71"/>
      <c r="L30" s="72" t="s">
        <v>112</v>
      </c>
      <c r="M30" s="68"/>
      <c r="N30" s="68"/>
    </row>
    <row r="31">
      <c r="A31" s="68"/>
      <c r="B31" s="68"/>
      <c r="C31" s="68"/>
      <c r="D31" s="71"/>
      <c r="E31" s="94" t="s">
        <v>221</v>
      </c>
      <c r="F31" s="95" t="s">
        <v>114</v>
      </c>
      <c r="G31" s="95" t="s">
        <v>112</v>
      </c>
      <c r="H31" s="96"/>
      <c r="I31" s="78"/>
      <c r="J31" s="84"/>
      <c r="K31" s="71"/>
      <c r="L31" s="72" t="s">
        <v>41</v>
      </c>
      <c r="M31" s="68"/>
      <c r="N31" s="68"/>
    </row>
    <row r="32">
      <c r="A32" s="68"/>
      <c r="B32" s="68"/>
      <c r="C32" s="68"/>
      <c r="D32" s="71"/>
      <c r="E32" s="94"/>
      <c r="F32" s="95"/>
      <c r="G32" s="95"/>
      <c r="H32" s="96"/>
      <c r="I32" s="78"/>
      <c r="J32" s="68"/>
      <c r="K32" s="71"/>
      <c r="L32" s="72" t="s">
        <v>42</v>
      </c>
      <c r="M32" s="68"/>
      <c r="N32" s="68"/>
    </row>
    <row r="33">
      <c r="A33" s="68"/>
      <c r="B33" s="68"/>
      <c r="C33" s="68"/>
      <c r="D33" s="71"/>
      <c r="E33" s="94"/>
      <c r="F33" s="95"/>
      <c r="G33" s="95"/>
      <c r="H33" s="96"/>
      <c r="I33" s="78"/>
      <c r="J33" s="68"/>
      <c r="K33" s="68"/>
      <c r="L33" s="68"/>
      <c r="M33" s="68"/>
      <c r="N33" s="68"/>
    </row>
    <row r="34">
      <c r="A34" s="68"/>
      <c r="B34" s="75"/>
      <c r="C34" s="68"/>
      <c r="D34" s="68"/>
      <c r="E34" s="68"/>
      <c r="F34" s="68"/>
      <c r="G34" s="68"/>
      <c r="H34" s="68"/>
      <c r="I34" s="68"/>
      <c r="J34" s="68"/>
      <c r="K34" s="68"/>
      <c r="L34" s="68"/>
      <c r="M34" s="68"/>
      <c r="N34" s="68"/>
    </row>
    <row r="35">
      <c r="A35" s="68"/>
      <c r="B35" s="75" t="s">
        <v>118</v>
      </c>
      <c r="C35" s="68"/>
      <c r="D35" s="68"/>
      <c r="E35" s="68"/>
      <c r="F35" s="68"/>
      <c r="G35" s="68"/>
      <c r="H35" s="68"/>
      <c r="I35" s="68"/>
      <c r="J35" s="68"/>
      <c r="K35" s="68"/>
      <c r="L35" s="68"/>
      <c r="M35" s="68"/>
      <c r="N35" s="68"/>
    </row>
    <row r="36">
      <c r="A36" s="68"/>
      <c r="B36" s="72" t="s">
        <v>119</v>
      </c>
      <c r="C36" s="68"/>
      <c r="D36" s="68"/>
      <c r="E36" s="68"/>
      <c r="F36" s="68"/>
      <c r="G36" s="68"/>
      <c r="H36" s="68"/>
      <c r="I36" s="68"/>
      <c r="J36" s="68"/>
      <c r="K36" s="68"/>
      <c r="L36" s="68"/>
      <c r="M36" s="68"/>
      <c r="N36" s="68"/>
    </row>
    <row r="37">
      <c r="A37" s="68"/>
      <c r="B37" s="68"/>
      <c r="C37" s="68"/>
      <c r="D37" s="68"/>
      <c r="E37" s="68"/>
      <c r="F37" s="68"/>
      <c r="G37" s="68"/>
      <c r="H37" s="68"/>
      <c r="I37" s="68"/>
      <c r="J37" s="68"/>
      <c r="K37" s="68"/>
      <c r="L37" s="68"/>
      <c r="M37" s="68"/>
      <c r="N37" s="68"/>
    </row>
    <row r="38">
      <c r="A38" s="68"/>
      <c r="B38" s="68"/>
      <c r="C38" s="68"/>
      <c r="D38" s="68"/>
      <c r="E38" s="68"/>
      <c r="F38" s="68"/>
      <c r="G38" s="68"/>
      <c r="H38" s="68"/>
      <c r="I38" s="68"/>
      <c r="J38" s="68"/>
      <c r="K38" s="68"/>
      <c r="L38" s="68"/>
      <c r="M38" s="68"/>
      <c r="N38" s="68"/>
    </row>
    <row r="39">
      <c r="A39" s="68"/>
      <c r="B39" s="68"/>
      <c r="C39" s="68"/>
      <c r="D39" s="68"/>
      <c r="E39" s="68"/>
      <c r="F39" s="68"/>
      <c r="G39" s="68"/>
      <c r="H39" s="68"/>
      <c r="I39" s="68"/>
      <c r="J39" s="68"/>
      <c r="K39" s="68"/>
      <c r="L39" s="68"/>
      <c r="M39" s="68"/>
      <c r="N39" s="68"/>
    </row>
    <row r="40">
      <c r="A40" s="68"/>
      <c r="B40" s="68"/>
      <c r="C40" s="68"/>
      <c r="D40" s="68"/>
      <c r="E40" s="68"/>
      <c r="F40" s="68"/>
      <c r="G40" s="68"/>
      <c r="H40" s="68"/>
      <c r="I40" s="68"/>
      <c r="J40" s="68"/>
      <c r="K40" s="68"/>
      <c r="L40" s="68"/>
      <c r="M40" s="68"/>
      <c r="N40" s="68"/>
    </row>
    <row r="41">
      <c r="A41" s="68"/>
      <c r="B41" s="68"/>
      <c r="C41" s="68"/>
      <c r="D41" s="68"/>
      <c r="E41" s="68"/>
      <c r="F41" s="68"/>
      <c r="G41" s="68"/>
      <c r="H41" s="68"/>
      <c r="I41" s="68"/>
      <c r="J41" s="68"/>
      <c r="K41" s="68"/>
      <c r="L41" s="68"/>
      <c r="M41" s="68"/>
      <c r="N41" s="68"/>
    </row>
    <row r="42">
      <c r="A42" s="68"/>
      <c r="B42" s="68"/>
      <c r="C42" s="68"/>
      <c r="D42" s="68"/>
      <c r="E42" s="68"/>
      <c r="F42" s="68"/>
      <c r="G42" s="68"/>
      <c r="H42" s="68"/>
      <c r="I42" s="68"/>
      <c r="J42" s="68"/>
      <c r="K42" s="68"/>
      <c r="L42" s="68"/>
      <c r="M42" s="68"/>
      <c r="N42" s="68"/>
    </row>
    <row r="43">
      <c r="A43" s="68"/>
      <c r="B43" s="68"/>
      <c r="C43" s="68"/>
      <c r="D43" s="68"/>
      <c r="E43" s="68"/>
      <c r="F43" s="68"/>
      <c r="G43" s="68"/>
      <c r="H43" s="68"/>
      <c r="I43" s="68"/>
      <c r="J43" s="68"/>
      <c r="K43" s="68"/>
      <c r="L43" s="68"/>
      <c r="M43" s="68"/>
      <c r="N43" s="68"/>
    </row>
    <row r="44">
      <c r="A44" s="68"/>
      <c r="B44" s="68"/>
      <c r="C44" s="68"/>
      <c r="D44" s="68"/>
      <c r="E44" s="68"/>
      <c r="F44" s="68"/>
      <c r="G44" s="68"/>
      <c r="H44" s="68"/>
      <c r="I44" s="68"/>
      <c r="J44" s="68"/>
      <c r="K44" s="68"/>
      <c r="L44" s="68"/>
      <c r="M44" s="68"/>
      <c r="N44" s="68"/>
    </row>
    <row r="45">
      <c r="A45" s="68"/>
      <c r="B45" s="68"/>
      <c r="C45" s="68"/>
      <c r="D45" s="68"/>
      <c r="E45" s="68"/>
      <c r="F45" s="68"/>
      <c r="G45" s="68"/>
      <c r="H45" s="68"/>
      <c r="I45" s="68"/>
      <c r="J45" s="68"/>
      <c r="K45" s="68"/>
      <c r="L45" s="68"/>
      <c r="M45" s="68"/>
      <c r="N45" s="68"/>
    </row>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8">
    <mergeCell ref="B5:F6"/>
    <mergeCell ref="E11:G11"/>
    <mergeCell ref="E13:F13"/>
    <mergeCell ref="E15:G15"/>
    <mergeCell ref="E17:F17"/>
    <mergeCell ref="E19:G19"/>
    <mergeCell ref="J19:M19"/>
    <mergeCell ref="H30:I30"/>
    <mergeCell ref="H31:I31"/>
    <mergeCell ref="H32:I32"/>
    <mergeCell ref="H33:I33"/>
    <mergeCell ref="E21:F21"/>
    <mergeCell ref="E23:G23"/>
    <mergeCell ref="E25:L25"/>
    <mergeCell ref="H27:I27"/>
    <mergeCell ref="B28:C29"/>
    <mergeCell ref="H28:I28"/>
    <mergeCell ref="H29:I29"/>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 type="list" allowBlank="1" showInputMessage="1" prompt="Clique e insira um valor de intervalo" sqref="G28:G33">
      <formula1>$L$28:$L$32</formula1>
    </dataValidation>
  </dataValidations>
  <printOptions/>
  <pageMargins bottom="0.787401575" footer="0.0" header="0.0" left="0.511811024" right="0.511811024" top="0.7874015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75"/>
  <cols>
    <col customWidth="1" min="1" max="1" width="2.25"/>
    <col customWidth="1" min="2" max="2" width="14.38"/>
    <col customWidth="1" min="3" max="3" width="7.25"/>
    <col customWidth="1" min="4" max="4" width="2.25"/>
    <col customWidth="1" min="5" max="5" width="21.63"/>
    <col customWidth="1" min="6" max="7" width="14.38"/>
    <col customWidth="1" min="8" max="9" width="2.25"/>
    <col customWidth="1" min="10" max="10" width="7.25"/>
    <col customWidth="1" min="11" max="11" width="2.25"/>
    <col customWidth="1" min="12" max="12" width="14.38"/>
    <col customWidth="1" min="13" max="13" width="3.0"/>
    <col customWidth="1" min="14" max="14" width="3.13"/>
    <col customWidth="1" min="15" max="26" width="14.38"/>
  </cols>
  <sheetData>
    <row r="1" ht="11.25" customHeight="1">
      <c r="A1" s="68"/>
      <c r="B1" s="68"/>
      <c r="C1" s="68"/>
      <c r="D1" s="68"/>
      <c r="E1" s="68"/>
      <c r="F1" s="68"/>
      <c r="G1" s="68"/>
      <c r="H1" s="68"/>
      <c r="I1" s="68"/>
      <c r="J1" s="68"/>
      <c r="K1" s="68"/>
      <c r="L1" s="68"/>
      <c r="M1" s="68"/>
      <c r="N1" s="68"/>
    </row>
    <row r="2">
      <c r="A2" s="68"/>
      <c r="B2" s="69" t="s">
        <v>72</v>
      </c>
      <c r="C2" s="68"/>
      <c r="D2" s="68"/>
      <c r="E2" s="68"/>
      <c r="F2" s="68"/>
      <c r="G2" s="68"/>
      <c r="H2" s="68"/>
      <c r="I2" s="68"/>
      <c r="J2" s="68"/>
      <c r="K2" s="68"/>
      <c r="L2" s="68"/>
      <c r="M2" s="68"/>
      <c r="N2" s="68"/>
    </row>
    <row r="3">
      <c r="A3" s="68"/>
      <c r="B3" s="70" t="s">
        <v>73</v>
      </c>
      <c r="C3" s="68"/>
      <c r="D3" s="68"/>
      <c r="E3" s="68"/>
      <c r="F3" s="68"/>
      <c r="G3" s="68"/>
      <c r="N3" s="68"/>
    </row>
    <row r="4">
      <c r="A4" s="68"/>
      <c r="B4" s="67" t="s">
        <v>236</v>
      </c>
      <c r="C4" s="68"/>
      <c r="D4" s="68"/>
      <c r="E4" s="68"/>
      <c r="F4" s="68"/>
      <c r="G4" s="68"/>
      <c r="H4" s="68"/>
      <c r="I4" s="71"/>
      <c r="J4" s="72" t="s">
        <v>75</v>
      </c>
      <c r="K4" s="68"/>
      <c r="L4" s="68"/>
      <c r="M4" s="73" t="b">
        <v>1</v>
      </c>
      <c r="N4" s="68"/>
    </row>
    <row r="5" ht="23.25" customHeight="1">
      <c r="A5" s="68"/>
      <c r="B5" s="74" t="s">
        <v>76</v>
      </c>
      <c r="G5" s="68"/>
      <c r="H5" s="68"/>
      <c r="I5" s="71"/>
      <c r="J5" s="72" t="s">
        <v>77</v>
      </c>
      <c r="K5" s="68"/>
      <c r="L5" s="68"/>
      <c r="M5" s="73" t="b">
        <v>0</v>
      </c>
      <c r="N5" s="68"/>
    </row>
    <row r="6" ht="23.25" customHeight="1">
      <c r="A6" s="68"/>
      <c r="G6" s="68"/>
      <c r="H6" s="68"/>
      <c r="I6" s="71"/>
      <c r="J6" s="72" t="s">
        <v>78</v>
      </c>
      <c r="K6" s="68"/>
      <c r="L6" s="68"/>
      <c r="M6" s="73" t="b">
        <v>0</v>
      </c>
      <c r="N6" s="68"/>
    </row>
    <row r="7">
      <c r="A7" s="68"/>
      <c r="B7" s="68"/>
      <c r="C7" s="68"/>
      <c r="D7" s="68"/>
      <c r="E7" s="68"/>
      <c r="F7" s="68"/>
      <c r="G7" s="68"/>
      <c r="H7" s="68"/>
      <c r="I7" s="68"/>
      <c r="J7" s="72"/>
      <c r="K7" s="68"/>
      <c r="L7" s="68"/>
      <c r="M7" s="68"/>
      <c r="N7" s="68"/>
    </row>
    <row r="8">
      <c r="A8" s="68"/>
      <c r="B8" s="69" t="s">
        <v>79</v>
      </c>
      <c r="C8" s="68"/>
      <c r="D8" s="68"/>
      <c r="E8" s="68"/>
      <c r="F8" s="68"/>
      <c r="G8" s="68"/>
      <c r="H8" s="68"/>
      <c r="N8" s="68"/>
    </row>
    <row r="9">
      <c r="A9" s="68"/>
      <c r="B9" s="70" t="s">
        <v>80</v>
      </c>
      <c r="C9" s="68"/>
      <c r="D9" s="68"/>
      <c r="E9" s="68"/>
      <c r="F9" s="68"/>
      <c r="G9" s="68"/>
      <c r="H9" s="68"/>
      <c r="I9" s="68"/>
      <c r="J9" s="68"/>
      <c r="K9" s="68"/>
      <c r="L9" s="68"/>
      <c r="M9" s="68"/>
      <c r="N9" s="68"/>
    </row>
    <row r="10">
      <c r="A10" s="68"/>
      <c r="B10" s="68"/>
      <c r="C10" s="68"/>
      <c r="D10" s="68"/>
      <c r="E10" s="68"/>
      <c r="F10" s="68"/>
      <c r="G10" s="68"/>
      <c r="H10" s="68"/>
      <c r="I10" s="68"/>
      <c r="J10" s="68"/>
      <c r="K10" s="68"/>
      <c r="L10" s="68"/>
      <c r="M10" s="68"/>
      <c r="N10" s="68"/>
    </row>
    <row r="11" ht="13.5" customHeight="1">
      <c r="A11" s="68"/>
      <c r="B11" s="75" t="s">
        <v>81</v>
      </c>
      <c r="C11" s="68"/>
      <c r="D11" s="71"/>
      <c r="E11" s="76" t="s">
        <v>237</v>
      </c>
      <c r="F11" s="77"/>
      <c r="G11" s="78"/>
      <c r="H11" s="68"/>
      <c r="I11" s="68"/>
      <c r="J11" s="68"/>
      <c r="K11" s="68"/>
      <c r="L11" s="68"/>
      <c r="M11" s="68"/>
      <c r="N11" s="68"/>
    </row>
    <row r="12">
      <c r="A12" s="68"/>
      <c r="B12" s="68"/>
      <c r="C12" s="68"/>
      <c r="D12" s="68"/>
      <c r="E12" s="68"/>
      <c r="F12" s="68"/>
      <c r="G12" s="68"/>
      <c r="H12" s="68"/>
      <c r="I12" s="71"/>
      <c r="J12" s="72" t="s">
        <v>83</v>
      </c>
      <c r="K12" s="72"/>
      <c r="L12" s="72"/>
      <c r="M12" s="79" t="s">
        <v>84</v>
      </c>
      <c r="N12" s="68"/>
    </row>
    <row r="13">
      <c r="A13" s="68"/>
      <c r="B13" s="75" t="s">
        <v>85</v>
      </c>
      <c r="C13" s="68"/>
      <c r="D13" s="71"/>
      <c r="E13" s="76" t="s">
        <v>87</v>
      </c>
      <c r="F13" s="78"/>
      <c r="G13" s="80"/>
      <c r="H13" s="68"/>
      <c r="I13" s="71"/>
      <c r="J13" s="72" t="s">
        <v>87</v>
      </c>
      <c r="K13" s="72"/>
      <c r="L13" s="72"/>
      <c r="M13" s="79" t="s">
        <v>84</v>
      </c>
      <c r="N13" s="68"/>
    </row>
    <row r="14">
      <c r="A14" s="68"/>
      <c r="B14" s="68"/>
      <c r="C14" s="68"/>
      <c r="D14" s="68"/>
      <c r="E14" s="68"/>
      <c r="F14" s="68"/>
      <c r="G14" s="68"/>
      <c r="H14" s="68"/>
      <c r="I14" s="71"/>
      <c r="J14" s="72" t="s">
        <v>86</v>
      </c>
      <c r="K14" s="72"/>
      <c r="L14" s="72"/>
      <c r="M14" s="79" t="s">
        <v>84</v>
      </c>
      <c r="N14" s="68"/>
    </row>
    <row r="15" ht="30.75" customHeight="1">
      <c r="A15" s="68"/>
      <c r="B15" s="75" t="s">
        <v>88</v>
      </c>
      <c r="C15" s="68"/>
      <c r="D15" s="71"/>
      <c r="E15" s="81" t="s">
        <v>238</v>
      </c>
      <c r="F15" s="77"/>
      <c r="G15" s="78"/>
      <c r="H15" s="82"/>
      <c r="I15" s="82"/>
      <c r="J15" s="83"/>
      <c r="K15" s="83"/>
      <c r="L15" s="83"/>
      <c r="M15" s="83"/>
      <c r="N15" s="68"/>
    </row>
    <row r="16">
      <c r="A16" s="68"/>
      <c r="B16" s="68"/>
      <c r="C16" s="68"/>
      <c r="D16" s="68"/>
      <c r="E16" s="68"/>
      <c r="F16" s="68"/>
      <c r="G16" s="68"/>
      <c r="H16" s="68"/>
      <c r="I16" s="71"/>
      <c r="J16" s="72" t="s">
        <v>90</v>
      </c>
      <c r="K16" s="72"/>
      <c r="L16" s="72"/>
      <c r="M16" s="79" t="s">
        <v>84</v>
      </c>
      <c r="N16" s="68"/>
    </row>
    <row r="17">
      <c r="A17" s="68"/>
      <c r="B17" s="75" t="s">
        <v>91</v>
      </c>
      <c r="C17" s="68"/>
      <c r="D17" s="71"/>
      <c r="E17" s="81" t="s">
        <v>90</v>
      </c>
      <c r="F17" s="78"/>
      <c r="G17" s="80"/>
      <c r="H17" s="68"/>
      <c r="I17" s="71"/>
      <c r="J17" s="72" t="s">
        <v>92</v>
      </c>
      <c r="K17" s="72"/>
      <c r="L17" s="72"/>
      <c r="M17" s="79" t="s">
        <v>84</v>
      </c>
      <c r="N17" s="68"/>
    </row>
    <row r="18">
      <c r="A18" s="68"/>
      <c r="B18" s="84"/>
      <c r="C18" s="85"/>
      <c r="D18" s="85"/>
      <c r="E18" s="85"/>
      <c r="F18" s="68"/>
      <c r="G18" s="68"/>
      <c r="H18" s="68"/>
      <c r="I18" s="71"/>
      <c r="J18" s="86" t="s">
        <v>93</v>
      </c>
      <c r="K18" s="86"/>
      <c r="L18" s="86"/>
      <c r="M18" s="87" t="s">
        <v>84</v>
      </c>
      <c r="N18" s="68"/>
    </row>
    <row r="19" ht="29.25" customHeight="1">
      <c r="A19" s="68"/>
      <c r="B19" s="75" t="s">
        <v>94</v>
      </c>
      <c r="C19" s="68"/>
      <c r="D19" s="71"/>
      <c r="E19" s="81" t="s">
        <v>239</v>
      </c>
      <c r="F19" s="77"/>
      <c r="G19" s="78"/>
      <c r="H19" s="68"/>
      <c r="I19" s="68"/>
      <c r="J19" s="88" t="s">
        <v>96</v>
      </c>
      <c r="N19" s="68"/>
    </row>
    <row r="20">
      <c r="A20" s="68"/>
      <c r="B20" s="68"/>
      <c r="C20" s="68"/>
      <c r="D20" s="68"/>
      <c r="E20" s="68"/>
      <c r="F20" s="68"/>
      <c r="G20" s="68"/>
      <c r="H20" s="68"/>
      <c r="I20" s="71"/>
      <c r="J20" s="72" t="s">
        <v>97</v>
      </c>
      <c r="K20" s="72"/>
      <c r="L20" s="72"/>
      <c r="M20" s="79" t="s">
        <v>84</v>
      </c>
      <c r="N20" s="68"/>
    </row>
    <row r="21">
      <c r="A21" s="68"/>
      <c r="B21" s="75" t="s">
        <v>98</v>
      </c>
      <c r="C21" s="68"/>
      <c r="D21" s="71"/>
      <c r="E21" s="76" t="s">
        <v>100</v>
      </c>
      <c r="F21" s="78"/>
      <c r="G21" s="80"/>
      <c r="H21" s="68"/>
      <c r="I21" s="71"/>
      <c r="J21" s="72" t="s">
        <v>99</v>
      </c>
      <c r="K21" s="72"/>
      <c r="L21" s="72"/>
      <c r="M21" s="79" t="s">
        <v>84</v>
      </c>
      <c r="N21" s="68"/>
    </row>
    <row r="22">
      <c r="A22" s="68"/>
      <c r="B22" s="68"/>
      <c r="C22" s="68"/>
      <c r="D22" s="68"/>
      <c r="E22" s="68"/>
      <c r="F22" s="68"/>
      <c r="G22" s="68"/>
      <c r="H22" s="68"/>
      <c r="I22" s="71"/>
      <c r="J22" s="72" t="s">
        <v>100</v>
      </c>
      <c r="K22" s="72"/>
      <c r="L22" s="72"/>
      <c r="M22" s="79" t="s">
        <v>84</v>
      </c>
      <c r="N22" s="68"/>
    </row>
    <row r="23" ht="39.75" customHeight="1">
      <c r="A23" s="68"/>
      <c r="B23" s="75" t="s">
        <v>101</v>
      </c>
      <c r="C23" s="68"/>
      <c r="D23" s="71"/>
      <c r="E23" s="81" t="s">
        <v>240</v>
      </c>
      <c r="F23" s="77"/>
      <c r="G23" s="78"/>
      <c r="H23" s="68"/>
      <c r="I23" s="68"/>
      <c r="J23" s="68"/>
      <c r="K23" s="68"/>
      <c r="L23" s="68"/>
      <c r="M23" s="68"/>
      <c r="N23" s="68"/>
    </row>
    <row r="24">
      <c r="A24" s="68"/>
      <c r="B24" s="68"/>
      <c r="C24" s="68"/>
      <c r="D24" s="68"/>
      <c r="E24" s="68"/>
      <c r="F24" s="68"/>
      <c r="G24" s="68"/>
      <c r="H24" s="68"/>
      <c r="I24" s="68"/>
      <c r="J24" s="68"/>
      <c r="K24" s="68"/>
      <c r="L24" s="68"/>
      <c r="M24" s="68"/>
      <c r="N24" s="68"/>
    </row>
    <row r="25" ht="41.25" customHeight="1">
      <c r="A25" s="68"/>
      <c r="B25" s="75" t="s">
        <v>103</v>
      </c>
      <c r="C25" s="68"/>
      <c r="D25" s="71"/>
      <c r="E25" s="81" t="s">
        <v>241</v>
      </c>
      <c r="F25" s="77"/>
      <c r="G25" s="77"/>
      <c r="H25" s="77"/>
      <c r="I25" s="77"/>
      <c r="J25" s="77"/>
      <c r="K25" s="77"/>
      <c r="L25" s="78"/>
      <c r="M25" s="68"/>
      <c r="N25" s="68"/>
    </row>
    <row r="26">
      <c r="A26" s="68"/>
      <c r="B26" s="68"/>
      <c r="C26" s="68"/>
      <c r="D26" s="68"/>
      <c r="E26" s="68"/>
      <c r="F26" s="68"/>
      <c r="G26" s="68"/>
      <c r="H26" s="68"/>
      <c r="I26" s="68"/>
      <c r="J26" s="68"/>
      <c r="K26" s="68"/>
      <c r="L26" s="68"/>
      <c r="M26" s="68"/>
      <c r="N26" s="68"/>
    </row>
    <row r="27">
      <c r="A27" s="68"/>
      <c r="B27" s="75" t="s">
        <v>105</v>
      </c>
      <c r="C27" s="68"/>
      <c r="D27" s="71"/>
      <c r="E27" s="89" t="s">
        <v>106</v>
      </c>
      <c r="F27" s="90" t="s">
        <v>107</v>
      </c>
      <c r="G27" s="89" t="s">
        <v>108</v>
      </c>
      <c r="H27" s="91" t="s">
        <v>109</v>
      </c>
      <c r="I27" s="92"/>
      <c r="J27" s="84"/>
      <c r="K27" s="84"/>
      <c r="L27" s="80"/>
      <c r="M27" s="68"/>
      <c r="N27" s="68"/>
    </row>
    <row r="28">
      <c r="A28" s="68"/>
      <c r="B28" s="93" t="s">
        <v>71</v>
      </c>
      <c r="D28" s="71"/>
      <c r="E28" s="94" t="s">
        <v>213</v>
      </c>
      <c r="F28" s="95" t="s">
        <v>162</v>
      </c>
      <c r="G28" s="95" t="s">
        <v>112</v>
      </c>
      <c r="H28" s="96"/>
      <c r="I28" s="78"/>
      <c r="J28" s="84"/>
      <c r="K28" s="71"/>
      <c r="L28" s="72" t="s">
        <v>37</v>
      </c>
      <c r="M28" s="79" t="s">
        <v>84</v>
      </c>
      <c r="N28" s="68"/>
    </row>
    <row r="29">
      <c r="A29" s="68"/>
      <c r="D29" s="71"/>
      <c r="E29" s="94" t="s">
        <v>129</v>
      </c>
      <c r="F29" s="95" t="s">
        <v>148</v>
      </c>
      <c r="G29" s="95" t="s">
        <v>41</v>
      </c>
      <c r="H29" s="96"/>
      <c r="I29" s="78"/>
      <c r="J29" s="84"/>
      <c r="K29" s="71"/>
      <c r="L29" s="72" t="s">
        <v>115</v>
      </c>
      <c r="M29" s="68"/>
      <c r="N29" s="68"/>
    </row>
    <row r="30">
      <c r="A30" s="68"/>
      <c r="B30" s="68"/>
      <c r="C30" s="68"/>
      <c r="D30" s="71"/>
      <c r="E30" s="94" t="s">
        <v>235</v>
      </c>
      <c r="F30" s="95" t="s">
        <v>162</v>
      </c>
      <c r="G30" s="95" t="s">
        <v>42</v>
      </c>
      <c r="H30" s="96"/>
      <c r="I30" s="78"/>
      <c r="J30" s="84"/>
      <c r="K30" s="71"/>
      <c r="L30" s="72" t="s">
        <v>112</v>
      </c>
      <c r="M30" s="68"/>
      <c r="N30" s="68"/>
    </row>
    <row r="31">
      <c r="A31" s="68"/>
      <c r="B31" s="68"/>
      <c r="C31" s="68"/>
      <c r="D31" s="71"/>
      <c r="E31" s="94"/>
      <c r="F31" s="95"/>
      <c r="G31" s="95"/>
      <c r="H31" s="96"/>
      <c r="I31" s="78"/>
      <c r="J31" s="84"/>
      <c r="K31" s="71"/>
      <c r="L31" s="72" t="s">
        <v>41</v>
      </c>
      <c r="M31" s="68"/>
      <c r="N31" s="68"/>
    </row>
    <row r="32">
      <c r="A32" s="68"/>
      <c r="B32" s="68"/>
      <c r="C32" s="68"/>
      <c r="D32" s="71"/>
      <c r="E32" s="94"/>
      <c r="F32" s="95"/>
      <c r="G32" s="95"/>
      <c r="H32" s="96"/>
      <c r="I32" s="78"/>
      <c r="J32" s="68"/>
      <c r="K32" s="71"/>
      <c r="L32" s="72" t="s">
        <v>42</v>
      </c>
      <c r="M32" s="68"/>
      <c r="N32" s="68"/>
    </row>
    <row r="33">
      <c r="A33" s="68"/>
      <c r="B33" s="68"/>
      <c r="C33" s="68"/>
      <c r="D33" s="71"/>
      <c r="E33" s="94"/>
      <c r="F33" s="95"/>
      <c r="G33" s="95"/>
      <c r="H33" s="96"/>
      <c r="I33" s="78"/>
      <c r="J33" s="68"/>
      <c r="K33" s="68"/>
      <c r="L33" s="68"/>
      <c r="M33" s="68"/>
      <c r="N33" s="68"/>
    </row>
    <row r="34">
      <c r="A34" s="68"/>
      <c r="B34" s="75"/>
      <c r="C34" s="68"/>
      <c r="D34" s="68"/>
      <c r="E34" s="68"/>
      <c r="F34" s="68"/>
      <c r="G34" s="68"/>
      <c r="H34" s="68"/>
      <c r="I34" s="68"/>
      <c r="J34" s="68"/>
      <c r="K34" s="68"/>
      <c r="L34" s="68"/>
      <c r="M34" s="68"/>
      <c r="N34" s="68"/>
    </row>
    <row r="35">
      <c r="A35" s="68"/>
      <c r="B35" s="75" t="s">
        <v>118</v>
      </c>
      <c r="C35" s="68"/>
      <c r="D35" s="68"/>
      <c r="E35" s="68"/>
      <c r="F35" s="68"/>
      <c r="G35" s="68"/>
      <c r="H35" s="68"/>
      <c r="I35" s="68"/>
      <c r="J35" s="68"/>
      <c r="K35" s="68"/>
      <c r="L35" s="68"/>
      <c r="M35" s="68"/>
      <c r="N35" s="68"/>
    </row>
    <row r="36">
      <c r="A36" s="68"/>
      <c r="B36" s="72" t="s">
        <v>119</v>
      </c>
      <c r="C36" s="68"/>
      <c r="D36" s="68"/>
      <c r="E36" s="68"/>
      <c r="F36" s="68"/>
      <c r="G36" s="68"/>
      <c r="H36" s="68"/>
      <c r="I36" s="68"/>
      <c r="J36" s="68"/>
      <c r="K36" s="68"/>
      <c r="L36" s="68"/>
      <c r="M36" s="68"/>
      <c r="N36" s="68"/>
    </row>
    <row r="37">
      <c r="A37" s="68"/>
      <c r="B37" s="68"/>
      <c r="C37" s="68"/>
      <c r="D37" s="68"/>
      <c r="E37" s="68"/>
      <c r="F37" s="68"/>
      <c r="G37" s="68"/>
      <c r="H37" s="68"/>
      <c r="I37" s="68"/>
      <c r="J37" s="68"/>
      <c r="K37" s="68"/>
      <c r="L37" s="68"/>
      <c r="M37" s="68"/>
      <c r="N37" s="68"/>
    </row>
    <row r="38">
      <c r="A38" s="68"/>
      <c r="B38" s="68"/>
      <c r="C38" s="68"/>
      <c r="D38" s="68"/>
      <c r="E38" s="68"/>
      <c r="F38" s="68"/>
      <c r="G38" s="68"/>
      <c r="H38" s="68"/>
      <c r="I38" s="68"/>
      <c r="J38" s="68"/>
      <c r="K38" s="68"/>
      <c r="L38" s="68"/>
      <c r="M38" s="68"/>
      <c r="N38" s="68"/>
    </row>
    <row r="39">
      <c r="A39" s="68"/>
      <c r="B39" s="68"/>
      <c r="C39" s="68"/>
      <c r="D39" s="68"/>
      <c r="E39" s="68"/>
      <c r="F39" s="68"/>
      <c r="G39" s="68"/>
      <c r="H39" s="68"/>
      <c r="I39" s="68"/>
      <c r="J39" s="68"/>
      <c r="K39" s="68"/>
      <c r="L39" s="68"/>
      <c r="M39" s="68"/>
      <c r="N39" s="68"/>
    </row>
    <row r="40">
      <c r="A40" s="68"/>
      <c r="B40" s="68"/>
      <c r="C40" s="68"/>
      <c r="D40" s="68"/>
      <c r="E40" s="68"/>
      <c r="F40" s="68"/>
      <c r="G40" s="68"/>
      <c r="H40" s="68"/>
      <c r="I40" s="68"/>
      <c r="J40" s="68"/>
      <c r="K40" s="68"/>
      <c r="L40" s="68"/>
      <c r="M40" s="68"/>
      <c r="N40" s="68"/>
    </row>
    <row r="41">
      <c r="A41" s="68"/>
      <c r="B41" s="68"/>
      <c r="C41" s="68"/>
      <c r="D41" s="68"/>
      <c r="E41" s="68"/>
      <c r="F41" s="68"/>
      <c r="G41" s="68"/>
      <c r="H41" s="68"/>
      <c r="I41" s="68"/>
      <c r="J41" s="68"/>
      <c r="K41" s="68"/>
      <c r="L41" s="68"/>
      <c r="M41" s="68"/>
      <c r="N41" s="68"/>
    </row>
    <row r="42">
      <c r="A42" s="68"/>
      <c r="B42" s="68"/>
      <c r="C42" s="68"/>
      <c r="D42" s="68"/>
      <c r="E42" s="68"/>
      <c r="F42" s="68"/>
      <c r="G42" s="68"/>
      <c r="H42" s="68"/>
      <c r="I42" s="68"/>
      <c r="J42" s="68"/>
      <c r="K42" s="68"/>
      <c r="L42" s="68"/>
      <c r="M42" s="68"/>
      <c r="N42" s="68"/>
    </row>
    <row r="43">
      <c r="A43" s="68"/>
      <c r="B43" s="68"/>
      <c r="C43" s="68"/>
      <c r="D43" s="68"/>
      <c r="E43" s="68"/>
      <c r="F43" s="68"/>
      <c r="G43" s="68"/>
      <c r="H43" s="68"/>
      <c r="I43" s="68"/>
      <c r="J43" s="68"/>
      <c r="K43" s="68"/>
      <c r="L43" s="68"/>
      <c r="M43" s="68"/>
      <c r="N43" s="68"/>
    </row>
    <row r="44">
      <c r="A44" s="68"/>
      <c r="B44" s="68"/>
      <c r="C44" s="68"/>
      <c r="D44" s="68"/>
      <c r="E44" s="68"/>
      <c r="F44" s="68"/>
      <c r="G44" s="68"/>
      <c r="H44" s="68"/>
      <c r="I44" s="68"/>
      <c r="J44" s="68"/>
      <c r="K44" s="68"/>
      <c r="L44" s="68"/>
      <c r="M44" s="68"/>
      <c r="N44" s="68"/>
    </row>
    <row r="45">
      <c r="A45" s="68"/>
      <c r="B45" s="68"/>
      <c r="C45" s="68"/>
      <c r="D45" s="68"/>
      <c r="E45" s="68"/>
      <c r="F45" s="68"/>
      <c r="G45" s="68"/>
      <c r="H45" s="68"/>
      <c r="I45" s="68"/>
      <c r="J45" s="68"/>
      <c r="K45" s="68"/>
      <c r="L45" s="68"/>
      <c r="M45" s="68"/>
      <c r="N45" s="68"/>
    </row>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8">
    <mergeCell ref="B5:F6"/>
    <mergeCell ref="E11:G11"/>
    <mergeCell ref="E13:F13"/>
    <mergeCell ref="E15:G15"/>
    <mergeCell ref="E17:F17"/>
    <mergeCell ref="E19:G19"/>
    <mergeCell ref="J19:M19"/>
    <mergeCell ref="H30:I30"/>
    <mergeCell ref="H31:I31"/>
    <mergeCell ref="H32:I32"/>
    <mergeCell ref="H33:I33"/>
    <mergeCell ref="E21:F21"/>
    <mergeCell ref="E23:G23"/>
    <mergeCell ref="E25:L25"/>
    <mergeCell ref="H27:I27"/>
    <mergeCell ref="B28:C29"/>
    <mergeCell ref="H28:I28"/>
    <mergeCell ref="H29:I29"/>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 type="list" allowBlank="1" showInputMessage="1" prompt="Clique e insira um valor de intervalo" sqref="G28:G33">
      <formula1>$L$28:$L$32</formula1>
    </dataValidation>
  </dataValidations>
  <printOptions/>
  <pageMargins bottom="0.787401575" footer="0.0" header="0.0" left="0.511811024" right="0.511811024" top="0.7874015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75"/>
  <cols>
    <col customWidth="1" min="1" max="1" width="2.25"/>
    <col customWidth="1" min="2" max="2" width="14.38"/>
    <col customWidth="1" min="3" max="3" width="7.25"/>
    <col customWidth="1" min="4" max="4" width="2.25"/>
    <col customWidth="1" min="5" max="5" width="21.63"/>
    <col customWidth="1" min="6" max="7" width="14.38"/>
    <col customWidth="1" min="8" max="9" width="2.25"/>
    <col customWidth="1" min="10" max="10" width="7.25"/>
    <col customWidth="1" min="11" max="11" width="2.25"/>
    <col customWidth="1" min="12" max="12" width="14.38"/>
    <col customWidth="1" min="13" max="13" width="3.0"/>
    <col customWidth="1" min="14" max="14" width="3.13"/>
    <col customWidth="1" min="15" max="26" width="14.38"/>
  </cols>
  <sheetData>
    <row r="1" ht="11.25" customHeight="1">
      <c r="A1" s="68"/>
      <c r="B1" s="68"/>
      <c r="C1" s="68"/>
      <c r="D1" s="68"/>
      <c r="E1" s="68"/>
      <c r="F1" s="68"/>
      <c r="G1" s="68"/>
      <c r="H1" s="68"/>
      <c r="I1" s="68"/>
      <c r="J1" s="68"/>
      <c r="K1" s="68"/>
      <c r="L1" s="68"/>
      <c r="M1" s="68"/>
      <c r="N1" s="68"/>
    </row>
    <row r="2">
      <c r="A2" s="68"/>
      <c r="B2" s="69" t="s">
        <v>72</v>
      </c>
      <c r="C2" s="68"/>
      <c r="D2" s="68"/>
      <c r="E2" s="68"/>
      <c r="F2" s="68"/>
      <c r="G2" s="68"/>
      <c r="H2" s="68"/>
      <c r="I2" s="68"/>
      <c r="J2" s="68"/>
      <c r="K2" s="68"/>
      <c r="L2" s="68"/>
      <c r="M2" s="68"/>
      <c r="N2" s="68"/>
    </row>
    <row r="3">
      <c r="A3" s="68"/>
      <c r="B3" s="70" t="s">
        <v>73</v>
      </c>
      <c r="C3" s="68"/>
      <c r="D3" s="68"/>
      <c r="E3" s="68"/>
      <c r="F3" s="68"/>
      <c r="G3" s="68"/>
      <c r="N3" s="68"/>
    </row>
    <row r="4">
      <c r="A4" s="68"/>
      <c r="B4" s="67" t="s">
        <v>242</v>
      </c>
      <c r="C4" s="68"/>
      <c r="D4" s="68"/>
      <c r="E4" s="68"/>
      <c r="F4" s="68"/>
      <c r="G4" s="68"/>
      <c r="H4" s="68"/>
      <c r="I4" s="71"/>
      <c r="J4" s="72" t="s">
        <v>75</v>
      </c>
      <c r="K4" s="68"/>
      <c r="L4" s="68"/>
      <c r="M4" s="73" t="b">
        <v>1</v>
      </c>
      <c r="N4" s="68"/>
    </row>
    <row r="5" ht="23.25" customHeight="1">
      <c r="A5" s="68"/>
      <c r="B5" s="74" t="s">
        <v>76</v>
      </c>
      <c r="G5" s="68"/>
      <c r="H5" s="68"/>
      <c r="I5" s="71"/>
      <c r="J5" s="72" t="s">
        <v>77</v>
      </c>
      <c r="K5" s="68"/>
      <c r="L5" s="68"/>
      <c r="M5" s="73" t="b">
        <v>0</v>
      </c>
      <c r="N5" s="68"/>
    </row>
    <row r="6" ht="23.25" customHeight="1">
      <c r="A6" s="68"/>
      <c r="G6" s="68"/>
      <c r="H6" s="68"/>
      <c r="I6" s="71"/>
      <c r="J6" s="72" t="s">
        <v>78</v>
      </c>
      <c r="K6" s="68"/>
      <c r="L6" s="68"/>
      <c r="M6" s="73" t="b">
        <v>0</v>
      </c>
      <c r="N6" s="68"/>
    </row>
    <row r="7">
      <c r="A7" s="68"/>
      <c r="B7" s="68"/>
      <c r="C7" s="68"/>
      <c r="D7" s="68"/>
      <c r="E7" s="68"/>
      <c r="F7" s="68"/>
      <c r="G7" s="68"/>
      <c r="H7" s="68"/>
      <c r="I7" s="68"/>
      <c r="J7" s="72"/>
      <c r="K7" s="68"/>
      <c r="L7" s="68"/>
      <c r="M7" s="68"/>
      <c r="N7" s="68"/>
    </row>
    <row r="8">
      <c r="A8" s="68"/>
      <c r="B8" s="69" t="s">
        <v>79</v>
      </c>
      <c r="C8" s="68"/>
      <c r="D8" s="68"/>
      <c r="E8" s="68"/>
      <c r="F8" s="68"/>
      <c r="G8" s="68"/>
      <c r="H8" s="68"/>
      <c r="N8" s="68"/>
    </row>
    <row r="9">
      <c r="A9" s="68"/>
      <c r="B9" s="70" t="s">
        <v>80</v>
      </c>
      <c r="C9" s="68"/>
      <c r="D9" s="68"/>
      <c r="E9" s="68"/>
      <c r="F9" s="68"/>
      <c r="G9" s="68"/>
      <c r="H9" s="68"/>
      <c r="I9" s="68"/>
      <c r="J9" s="68"/>
      <c r="K9" s="68"/>
      <c r="L9" s="68"/>
      <c r="M9" s="68"/>
      <c r="N9" s="68"/>
    </row>
    <row r="10">
      <c r="A10" s="68"/>
      <c r="B10" s="68"/>
      <c r="C10" s="68"/>
      <c r="D10" s="68"/>
      <c r="E10" s="68"/>
      <c r="F10" s="68"/>
      <c r="G10" s="68"/>
      <c r="H10" s="68"/>
      <c r="I10" s="68"/>
      <c r="J10" s="68"/>
      <c r="K10" s="68"/>
      <c r="L10" s="68"/>
      <c r="M10" s="68"/>
      <c r="N10" s="68"/>
    </row>
    <row r="11" ht="13.5" customHeight="1">
      <c r="A11" s="68"/>
      <c r="B11" s="75" t="s">
        <v>81</v>
      </c>
      <c r="C11" s="68"/>
      <c r="D11" s="71"/>
      <c r="E11" s="76" t="s">
        <v>243</v>
      </c>
      <c r="F11" s="77"/>
      <c r="G11" s="78"/>
      <c r="H11" s="68"/>
      <c r="I11" s="68"/>
      <c r="J11" s="68"/>
      <c r="K11" s="68"/>
      <c r="L11" s="68"/>
      <c r="M11" s="68"/>
      <c r="N11" s="68"/>
    </row>
    <row r="12">
      <c r="A12" s="68"/>
      <c r="B12" s="68"/>
      <c r="C12" s="68"/>
      <c r="D12" s="68"/>
      <c r="E12" s="68"/>
      <c r="F12" s="68"/>
      <c r="G12" s="68"/>
      <c r="H12" s="68"/>
      <c r="I12" s="71"/>
      <c r="J12" s="72" t="s">
        <v>83</v>
      </c>
      <c r="K12" s="72"/>
      <c r="L12" s="72"/>
      <c r="M12" s="79" t="s">
        <v>84</v>
      </c>
      <c r="N12" s="68"/>
    </row>
    <row r="13">
      <c r="A13" s="68"/>
      <c r="B13" s="75" t="s">
        <v>85</v>
      </c>
      <c r="C13" s="68"/>
      <c r="D13" s="71"/>
      <c r="E13" s="76" t="s">
        <v>87</v>
      </c>
      <c r="F13" s="78"/>
      <c r="G13" s="80"/>
      <c r="H13" s="68"/>
      <c r="I13" s="71"/>
      <c r="J13" s="72" t="s">
        <v>87</v>
      </c>
      <c r="K13" s="72"/>
      <c r="L13" s="72"/>
      <c r="M13" s="79" t="s">
        <v>84</v>
      </c>
      <c r="N13" s="68"/>
    </row>
    <row r="14">
      <c r="A14" s="68"/>
      <c r="B14" s="68"/>
      <c r="C14" s="68"/>
      <c r="D14" s="68"/>
      <c r="E14" s="68"/>
      <c r="F14" s="68"/>
      <c r="G14" s="68"/>
      <c r="H14" s="68"/>
      <c r="I14" s="71"/>
      <c r="J14" s="72" t="s">
        <v>86</v>
      </c>
      <c r="K14" s="72"/>
      <c r="L14" s="72"/>
      <c r="M14" s="79" t="s">
        <v>84</v>
      </c>
      <c r="N14" s="68"/>
    </row>
    <row r="15" ht="30.75" customHeight="1">
      <c r="A15" s="68"/>
      <c r="B15" s="75" t="s">
        <v>88</v>
      </c>
      <c r="C15" s="68"/>
      <c r="D15" s="71"/>
      <c r="E15" s="81" t="s">
        <v>244</v>
      </c>
      <c r="F15" s="77"/>
      <c r="G15" s="78"/>
      <c r="H15" s="82"/>
      <c r="I15" s="82"/>
      <c r="J15" s="83"/>
      <c r="K15" s="83"/>
      <c r="L15" s="83"/>
      <c r="M15" s="83"/>
      <c r="N15" s="68"/>
    </row>
    <row r="16">
      <c r="A16" s="68"/>
      <c r="B16" s="68"/>
      <c r="C16" s="68"/>
      <c r="D16" s="68"/>
      <c r="E16" s="68"/>
      <c r="F16" s="68"/>
      <c r="G16" s="68"/>
      <c r="H16" s="68"/>
      <c r="I16" s="71"/>
      <c r="J16" s="72" t="s">
        <v>90</v>
      </c>
      <c r="K16" s="72"/>
      <c r="L16" s="72"/>
      <c r="M16" s="79" t="s">
        <v>84</v>
      </c>
      <c r="N16" s="68"/>
    </row>
    <row r="17">
      <c r="A17" s="68"/>
      <c r="B17" s="75" t="s">
        <v>91</v>
      </c>
      <c r="C17" s="68"/>
      <c r="D17" s="71"/>
      <c r="E17" s="76" t="s">
        <v>90</v>
      </c>
      <c r="F17" s="78"/>
      <c r="G17" s="80"/>
      <c r="H17" s="68"/>
      <c r="I17" s="71"/>
      <c r="J17" s="72" t="s">
        <v>92</v>
      </c>
      <c r="K17" s="72"/>
      <c r="L17" s="72"/>
      <c r="M17" s="79" t="s">
        <v>84</v>
      </c>
      <c r="N17" s="68"/>
    </row>
    <row r="18">
      <c r="A18" s="68"/>
      <c r="B18" s="84"/>
      <c r="C18" s="85"/>
      <c r="D18" s="85"/>
      <c r="E18" s="85"/>
      <c r="F18" s="68"/>
      <c r="G18" s="68"/>
      <c r="H18" s="68"/>
      <c r="I18" s="71"/>
      <c r="J18" s="86" t="s">
        <v>93</v>
      </c>
      <c r="K18" s="86"/>
      <c r="L18" s="86"/>
      <c r="M18" s="87" t="s">
        <v>84</v>
      </c>
      <c r="N18" s="68"/>
    </row>
    <row r="19" ht="29.25" customHeight="1">
      <c r="A19" s="68"/>
      <c r="B19" s="75" t="s">
        <v>94</v>
      </c>
      <c r="C19" s="68"/>
      <c r="D19" s="71"/>
      <c r="E19" s="81" t="s">
        <v>245</v>
      </c>
      <c r="F19" s="77"/>
      <c r="G19" s="78"/>
      <c r="H19" s="68"/>
      <c r="I19" s="68"/>
      <c r="J19" s="88" t="s">
        <v>96</v>
      </c>
      <c r="N19" s="68"/>
    </row>
    <row r="20">
      <c r="A20" s="68"/>
      <c r="B20" s="68"/>
      <c r="C20" s="68"/>
      <c r="D20" s="68"/>
      <c r="E20" s="68"/>
      <c r="F20" s="68"/>
      <c r="G20" s="68"/>
      <c r="H20" s="68"/>
      <c r="I20" s="71"/>
      <c r="J20" s="72" t="s">
        <v>97</v>
      </c>
      <c r="K20" s="72"/>
      <c r="L20" s="72"/>
      <c r="M20" s="79" t="s">
        <v>84</v>
      </c>
      <c r="N20" s="68"/>
    </row>
    <row r="21">
      <c r="A21" s="68"/>
      <c r="B21" s="75" t="s">
        <v>98</v>
      </c>
      <c r="C21" s="68"/>
      <c r="D21" s="71"/>
      <c r="E21" s="76" t="s">
        <v>99</v>
      </c>
      <c r="F21" s="78"/>
      <c r="G21" s="80"/>
      <c r="H21" s="68"/>
      <c r="I21" s="71"/>
      <c r="J21" s="72" t="s">
        <v>99</v>
      </c>
      <c r="K21" s="72"/>
      <c r="L21" s="72"/>
      <c r="M21" s="79" t="s">
        <v>84</v>
      </c>
      <c r="N21" s="68"/>
    </row>
    <row r="22">
      <c r="A22" s="68"/>
      <c r="B22" s="68"/>
      <c r="C22" s="68"/>
      <c r="D22" s="68"/>
      <c r="E22" s="68"/>
      <c r="F22" s="68"/>
      <c r="G22" s="68"/>
      <c r="H22" s="68"/>
      <c r="I22" s="71"/>
      <c r="J22" s="72" t="s">
        <v>100</v>
      </c>
      <c r="K22" s="72"/>
      <c r="L22" s="72"/>
      <c r="M22" s="79" t="s">
        <v>84</v>
      </c>
      <c r="N22" s="68"/>
    </row>
    <row r="23" ht="39.75" customHeight="1">
      <c r="A23" s="68"/>
      <c r="B23" s="75" t="s">
        <v>101</v>
      </c>
      <c r="C23" s="68"/>
      <c r="D23" s="71"/>
      <c r="E23" s="81" t="s">
        <v>246</v>
      </c>
      <c r="F23" s="77"/>
      <c r="G23" s="78"/>
      <c r="H23" s="68"/>
      <c r="I23" s="68"/>
      <c r="J23" s="68"/>
      <c r="K23" s="68"/>
      <c r="L23" s="68"/>
      <c r="M23" s="68"/>
      <c r="N23" s="68"/>
    </row>
    <row r="24">
      <c r="A24" s="68"/>
      <c r="B24" s="68"/>
      <c r="C24" s="68"/>
      <c r="D24" s="68"/>
      <c r="E24" s="68"/>
      <c r="F24" s="68"/>
      <c r="G24" s="68"/>
      <c r="H24" s="68"/>
      <c r="I24" s="68"/>
      <c r="J24" s="68"/>
      <c r="K24" s="68"/>
      <c r="L24" s="68"/>
      <c r="M24" s="68"/>
      <c r="N24" s="68"/>
    </row>
    <row r="25" ht="41.25" customHeight="1">
      <c r="A25" s="68"/>
      <c r="B25" s="75" t="s">
        <v>103</v>
      </c>
      <c r="C25" s="68"/>
      <c r="D25" s="71"/>
      <c r="E25" s="81" t="s">
        <v>247</v>
      </c>
      <c r="F25" s="77"/>
      <c r="G25" s="77"/>
      <c r="H25" s="77"/>
      <c r="I25" s="77"/>
      <c r="J25" s="77"/>
      <c r="K25" s="77"/>
      <c r="L25" s="78"/>
      <c r="M25" s="68"/>
      <c r="N25" s="68"/>
    </row>
    <row r="26">
      <c r="A26" s="68"/>
      <c r="B26" s="68"/>
      <c r="C26" s="68"/>
      <c r="D26" s="68"/>
      <c r="E26" s="68"/>
      <c r="F26" s="68"/>
      <c r="G26" s="68"/>
      <c r="H26" s="68"/>
      <c r="I26" s="68"/>
      <c r="J26" s="68"/>
      <c r="K26" s="68"/>
      <c r="L26" s="68"/>
      <c r="M26" s="68"/>
      <c r="N26" s="68"/>
    </row>
    <row r="27">
      <c r="A27" s="68"/>
      <c r="B27" s="75" t="s">
        <v>105</v>
      </c>
      <c r="C27" s="68"/>
      <c r="D27" s="71"/>
      <c r="E27" s="89" t="s">
        <v>106</v>
      </c>
      <c r="F27" s="90" t="s">
        <v>107</v>
      </c>
      <c r="G27" s="89" t="s">
        <v>108</v>
      </c>
      <c r="H27" s="91" t="s">
        <v>109</v>
      </c>
      <c r="I27" s="92"/>
      <c r="J27" s="84"/>
      <c r="K27" s="84"/>
      <c r="L27" s="80"/>
      <c r="M27" s="68"/>
      <c r="N27" s="68"/>
    </row>
    <row r="28">
      <c r="A28" s="68"/>
      <c r="B28" s="93" t="s">
        <v>71</v>
      </c>
      <c r="D28" s="71"/>
      <c r="E28" s="94" t="s">
        <v>213</v>
      </c>
      <c r="F28" s="95" t="s">
        <v>162</v>
      </c>
      <c r="G28" s="95" t="s">
        <v>112</v>
      </c>
      <c r="H28" s="96"/>
      <c r="I28" s="78"/>
      <c r="J28" s="84"/>
      <c r="K28" s="71"/>
      <c r="L28" s="72" t="s">
        <v>37</v>
      </c>
      <c r="M28" s="79" t="s">
        <v>84</v>
      </c>
      <c r="N28" s="68"/>
    </row>
    <row r="29">
      <c r="A29" s="68"/>
      <c r="D29" s="71"/>
      <c r="E29" s="94" t="s">
        <v>129</v>
      </c>
      <c r="F29" s="95" t="s">
        <v>148</v>
      </c>
      <c r="G29" s="95" t="s">
        <v>41</v>
      </c>
      <c r="H29" s="96"/>
      <c r="I29" s="78"/>
      <c r="J29" s="84"/>
      <c r="K29" s="71"/>
      <c r="L29" s="72" t="s">
        <v>115</v>
      </c>
      <c r="M29" s="68"/>
      <c r="N29" s="68"/>
    </row>
    <row r="30">
      <c r="A30" s="68"/>
      <c r="B30" s="68"/>
      <c r="C30" s="68"/>
      <c r="D30" s="71"/>
      <c r="E30" s="94" t="s">
        <v>235</v>
      </c>
      <c r="F30" s="95" t="s">
        <v>162</v>
      </c>
      <c r="G30" s="95" t="s">
        <v>42</v>
      </c>
      <c r="H30" s="96"/>
      <c r="I30" s="78"/>
      <c r="J30" s="84"/>
      <c r="K30" s="71"/>
      <c r="L30" s="72" t="s">
        <v>112</v>
      </c>
      <c r="M30" s="68"/>
      <c r="N30" s="68"/>
    </row>
    <row r="31">
      <c r="A31" s="68"/>
      <c r="B31" s="68"/>
      <c r="C31" s="68"/>
      <c r="D31" s="71"/>
      <c r="E31" s="94"/>
      <c r="F31" s="95"/>
      <c r="G31" s="95"/>
      <c r="H31" s="96"/>
      <c r="I31" s="78"/>
      <c r="J31" s="84"/>
      <c r="K31" s="71"/>
      <c r="L31" s="72" t="s">
        <v>41</v>
      </c>
      <c r="M31" s="68"/>
      <c r="N31" s="68"/>
    </row>
    <row r="32">
      <c r="A32" s="68"/>
      <c r="B32" s="68"/>
      <c r="C32" s="68"/>
      <c r="D32" s="71"/>
      <c r="E32" s="94"/>
      <c r="F32" s="95"/>
      <c r="G32" s="95"/>
      <c r="H32" s="96"/>
      <c r="I32" s="78"/>
      <c r="J32" s="68"/>
      <c r="K32" s="71"/>
      <c r="L32" s="72" t="s">
        <v>42</v>
      </c>
      <c r="M32" s="68"/>
      <c r="N32" s="68"/>
    </row>
    <row r="33">
      <c r="A33" s="68"/>
      <c r="B33" s="68"/>
      <c r="C33" s="68"/>
      <c r="D33" s="71"/>
      <c r="E33" s="94"/>
      <c r="F33" s="95"/>
      <c r="G33" s="95"/>
      <c r="H33" s="96"/>
      <c r="I33" s="78"/>
      <c r="J33" s="68"/>
      <c r="K33" s="68"/>
      <c r="L33" s="68"/>
      <c r="M33" s="68"/>
      <c r="N33" s="68"/>
    </row>
    <row r="34">
      <c r="A34" s="68"/>
      <c r="B34" s="75"/>
      <c r="C34" s="68"/>
      <c r="D34" s="68"/>
      <c r="E34" s="68"/>
      <c r="F34" s="68"/>
      <c r="G34" s="68"/>
      <c r="H34" s="68"/>
      <c r="I34" s="68"/>
      <c r="J34" s="68"/>
      <c r="K34" s="68"/>
      <c r="L34" s="68"/>
      <c r="M34" s="68"/>
      <c r="N34" s="68"/>
    </row>
    <row r="35">
      <c r="A35" s="68"/>
      <c r="B35" s="75" t="s">
        <v>118</v>
      </c>
      <c r="C35" s="68"/>
      <c r="D35" s="68"/>
      <c r="E35" s="68"/>
      <c r="F35" s="68"/>
      <c r="G35" s="68"/>
      <c r="H35" s="68"/>
      <c r="I35" s="68"/>
      <c r="J35" s="68"/>
      <c r="K35" s="68"/>
      <c r="L35" s="68"/>
      <c r="M35" s="68"/>
      <c r="N35" s="68"/>
    </row>
    <row r="36">
      <c r="A36" s="68"/>
      <c r="B36" s="72" t="s">
        <v>119</v>
      </c>
      <c r="C36" s="68"/>
      <c r="D36" s="68"/>
      <c r="E36" s="68"/>
      <c r="F36" s="68"/>
      <c r="G36" s="68"/>
      <c r="H36" s="68"/>
      <c r="I36" s="68"/>
      <c r="J36" s="68"/>
      <c r="K36" s="68"/>
      <c r="L36" s="68"/>
      <c r="M36" s="68"/>
      <c r="N36" s="68"/>
    </row>
    <row r="37">
      <c r="A37" s="68"/>
      <c r="B37" s="68"/>
      <c r="C37" s="68"/>
      <c r="D37" s="68"/>
      <c r="E37" s="68"/>
      <c r="F37" s="68"/>
      <c r="G37" s="68"/>
      <c r="H37" s="68"/>
      <c r="I37" s="68"/>
      <c r="J37" s="68"/>
      <c r="K37" s="68"/>
      <c r="L37" s="68"/>
      <c r="M37" s="68"/>
      <c r="N37" s="68"/>
    </row>
    <row r="38">
      <c r="A38" s="68"/>
      <c r="B38" s="68"/>
      <c r="C38" s="68"/>
      <c r="D38" s="68"/>
      <c r="E38" s="68"/>
      <c r="F38" s="68"/>
      <c r="G38" s="68"/>
      <c r="H38" s="68"/>
      <c r="I38" s="68"/>
      <c r="J38" s="68"/>
      <c r="K38" s="68"/>
      <c r="L38" s="68"/>
      <c r="M38" s="68"/>
      <c r="N38" s="68"/>
    </row>
    <row r="39">
      <c r="A39" s="68"/>
      <c r="B39" s="68"/>
      <c r="C39" s="68"/>
      <c r="D39" s="68"/>
      <c r="E39" s="68"/>
      <c r="F39" s="68"/>
      <c r="G39" s="68"/>
      <c r="H39" s="68"/>
      <c r="I39" s="68"/>
      <c r="J39" s="68"/>
      <c r="K39" s="68"/>
      <c r="L39" s="68"/>
      <c r="M39" s="68"/>
      <c r="N39" s="68"/>
    </row>
    <row r="40">
      <c r="A40" s="68"/>
      <c r="B40" s="68"/>
      <c r="C40" s="68"/>
      <c r="D40" s="68"/>
      <c r="E40" s="68"/>
      <c r="F40" s="68"/>
      <c r="G40" s="68"/>
      <c r="H40" s="68"/>
      <c r="I40" s="68"/>
      <c r="J40" s="68"/>
      <c r="K40" s="68"/>
      <c r="L40" s="68"/>
      <c r="M40" s="68"/>
      <c r="N40" s="68"/>
    </row>
    <row r="41">
      <c r="A41" s="68"/>
      <c r="B41" s="68"/>
      <c r="C41" s="68"/>
      <c r="D41" s="68"/>
      <c r="E41" s="68"/>
      <c r="F41" s="68"/>
      <c r="G41" s="68"/>
      <c r="H41" s="68"/>
      <c r="I41" s="68"/>
      <c r="J41" s="68"/>
      <c r="K41" s="68"/>
      <c r="L41" s="68"/>
      <c r="M41" s="68"/>
      <c r="N41" s="68"/>
    </row>
    <row r="42">
      <c r="A42" s="68"/>
      <c r="B42" s="68"/>
      <c r="C42" s="68"/>
      <c r="D42" s="68"/>
      <c r="E42" s="68"/>
      <c r="F42" s="68"/>
      <c r="G42" s="68"/>
      <c r="H42" s="68"/>
      <c r="I42" s="68"/>
      <c r="J42" s="68"/>
      <c r="K42" s="68"/>
      <c r="L42" s="68"/>
      <c r="M42" s="68"/>
      <c r="N42" s="68"/>
    </row>
    <row r="43">
      <c r="A43" s="68"/>
      <c r="B43" s="68"/>
      <c r="C43" s="68"/>
      <c r="D43" s="68"/>
      <c r="E43" s="68"/>
      <c r="F43" s="68"/>
      <c r="G43" s="68"/>
      <c r="H43" s="68"/>
      <c r="I43" s="68"/>
      <c r="J43" s="68"/>
      <c r="K43" s="68"/>
      <c r="L43" s="68"/>
      <c r="M43" s="68"/>
      <c r="N43" s="68"/>
    </row>
    <row r="44">
      <c r="A44" s="68"/>
      <c r="B44" s="68"/>
      <c r="C44" s="68"/>
      <c r="D44" s="68"/>
      <c r="E44" s="68"/>
      <c r="F44" s="68"/>
      <c r="G44" s="68"/>
      <c r="H44" s="68"/>
      <c r="I44" s="68"/>
      <c r="J44" s="68"/>
      <c r="K44" s="68"/>
      <c r="L44" s="68"/>
      <c r="M44" s="68"/>
      <c r="N44" s="68"/>
    </row>
    <row r="45">
      <c r="A45" s="68"/>
      <c r="B45" s="68"/>
      <c r="C45" s="68"/>
      <c r="D45" s="68"/>
      <c r="E45" s="68"/>
      <c r="F45" s="68"/>
      <c r="G45" s="68"/>
      <c r="H45" s="68"/>
      <c r="I45" s="68"/>
      <c r="J45" s="68"/>
      <c r="K45" s="68"/>
      <c r="L45" s="68"/>
      <c r="M45" s="68"/>
      <c r="N45" s="68"/>
    </row>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8">
    <mergeCell ref="B5:F6"/>
    <mergeCell ref="E11:G11"/>
    <mergeCell ref="E13:F13"/>
    <mergeCell ref="E15:G15"/>
    <mergeCell ref="E17:F17"/>
    <mergeCell ref="E19:G19"/>
    <mergeCell ref="J19:M19"/>
    <mergeCell ref="H30:I30"/>
    <mergeCell ref="H31:I31"/>
    <mergeCell ref="H32:I32"/>
    <mergeCell ref="H33:I33"/>
    <mergeCell ref="E21:F21"/>
    <mergeCell ref="E23:G23"/>
    <mergeCell ref="E25:L25"/>
    <mergeCell ref="H27:I27"/>
    <mergeCell ref="B28:C29"/>
    <mergeCell ref="H28:I28"/>
    <mergeCell ref="H29:I29"/>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 type="list" allowBlank="1" showInputMessage="1" prompt="Clique e insira um valor de intervalo" sqref="G28:G33">
      <formula1>$L$28:$L$32</formula1>
    </dataValidation>
  </dataValidations>
  <printOptions/>
  <pageMargins bottom="0.787401575" footer="0.0" header="0.0" left="0.511811024" right="0.511811024" top="0.7874015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75"/>
  <cols>
    <col customWidth="1" min="1" max="1" width="2.25"/>
    <col customWidth="1" min="2" max="2" width="14.38"/>
    <col customWidth="1" min="3" max="3" width="7.25"/>
    <col customWidth="1" min="4" max="4" width="2.25"/>
    <col customWidth="1" min="5" max="5" width="21.63"/>
    <col customWidth="1" min="6" max="7" width="14.38"/>
    <col customWidth="1" min="8" max="9" width="2.25"/>
    <col customWidth="1" min="10" max="10" width="7.25"/>
    <col customWidth="1" min="11" max="11" width="2.25"/>
    <col customWidth="1" min="12" max="12" width="14.38"/>
    <col customWidth="1" min="13" max="13" width="3.0"/>
    <col customWidth="1" min="14" max="14" width="3.13"/>
    <col customWidth="1" min="15" max="26" width="14.38"/>
  </cols>
  <sheetData>
    <row r="1" ht="11.25" customHeight="1">
      <c r="A1" s="68"/>
      <c r="B1" s="68"/>
      <c r="C1" s="68"/>
      <c r="D1" s="68"/>
      <c r="E1" s="68"/>
      <c r="F1" s="68"/>
      <c r="G1" s="68"/>
      <c r="H1" s="68"/>
      <c r="I1" s="68"/>
      <c r="J1" s="68"/>
      <c r="K1" s="68"/>
      <c r="L1" s="68"/>
      <c r="M1" s="68"/>
      <c r="N1" s="68"/>
    </row>
    <row r="2">
      <c r="A2" s="68"/>
      <c r="B2" s="69" t="s">
        <v>72</v>
      </c>
      <c r="C2" s="68"/>
      <c r="D2" s="68"/>
      <c r="E2" s="68"/>
      <c r="F2" s="68"/>
      <c r="G2" s="68"/>
      <c r="H2" s="68"/>
      <c r="I2" s="68"/>
      <c r="J2" s="68"/>
      <c r="K2" s="68"/>
      <c r="L2" s="68"/>
      <c r="M2" s="68"/>
      <c r="N2" s="68"/>
    </row>
    <row r="3">
      <c r="A3" s="68"/>
      <c r="B3" s="70" t="s">
        <v>73</v>
      </c>
      <c r="C3" s="68"/>
      <c r="D3" s="68"/>
      <c r="E3" s="68"/>
      <c r="F3" s="68"/>
      <c r="G3" s="68"/>
      <c r="N3" s="68"/>
    </row>
    <row r="4">
      <c r="A4" s="68"/>
      <c r="B4" s="67" t="s">
        <v>248</v>
      </c>
      <c r="C4" s="68"/>
      <c r="D4" s="68"/>
      <c r="E4" s="68"/>
      <c r="F4" s="68"/>
      <c r="G4" s="68"/>
      <c r="H4" s="68"/>
      <c r="I4" s="71"/>
      <c r="J4" s="72" t="s">
        <v>75</v>
      </c>
      <c r="K4" s="68"/>
      <c r="L4" s="68"/>
      <c r="M4" s="73" t="b">
        <v>1</v>
      </c>
      <c r="N4" s="68"/>
    </row>
    <row r="5" ht="23.25" customHeight="1">
      <c r="A5" s="68"/>
      <c r="B5" s="74" t="s">
        <v>76</v>
      </c>
      <c r="G5" s="68"/>
      <c r="H5" s="68"/>
      <c r="I5" s="71"/>
      <c r="J5" s="72" t="s">
        <v>77</v>
      </c>
      <c r="K5" s="68"/>
      <c r="L5" s="68"/>
      <c r="M5" s="73" t="b">
        <v>0</v>
      </c>
      <c r="N5" s="68"/>
    </row>
    <row r="6" ht="23.25" customHeight="1">
      <c r="A6" s="68"/>
      <c r="G6" s="68"/>
      <c r="H6" s="68"/>
      <c r="I6" s="71"/>
      <c r="J6" s="72" t="s">
        <v>78</v>
      </c>
      <c r="K6" s="68"/>
      <c r="L6" s="68"/>
      <c r="M6" s="73" t="b">
        <v>0</v>
      </c>
      <c r="N6" s="68"/>
    </row>
    <row r="7">
      <c r="A7" s="68"/>
      <c r="B7" s="68"/>
      <c r="C7" s="68"/>
      <c r="D7" s="68"/>
      <c r="E7" s="68"/>
      <c r="F7" s="68"/>
      <c r="G7" s="68"/>
      <c r="H7" s="68"/>
      <c r="I7" s="68"/>
      <c r="J7" s="72"/>
      <c r="K7" s="68"/>
      <c r="L7" s="68"/>
      <c r="M7" s="68"/>
      <c r="N7" s="68"/>
    </row>
    <row r="8">
      <c r="A8" s="68"/>
      <c r="B8" s="69" t="s">
        <v>79</v>
      </c>
      <c r="C8" s="68"/>
      <c r="D8" s="68"/>
      <c r="E8" s="68"/>
      <c r="F8" s="68"/>
      <c r="G8" s="68"/>
      <c r="H8" s="68"/>
      <c r="N8" s="68"/>
    </row>
    <row r="9">
      <c r="A9" s="68"/>
      <c r="B9" s="70" t="s">
        <v>80</v>
      </c>
      <c r="C9" s="68"/>
      <c r="D9" s="68"/>
      <c r="E9" s="68"/>
      <c r="F9" s="68"/>
      <c r="G9" s="68"/>
      <c r="H9" s="68"/>
      <c r="I9" s="68"/>
      <c r="J9" s="68"/>
      <c r="K9" s="68"/>
      <c r="L9" s="68"/>
      <c r="M9" s="68"/>
      <c r="N9" s="68"/>
    </row>
    <row r="10">
      <c r="A10" s="68"/>
      <c r="B10" s="68"/>
      <c r="C10" s="68"/>
      <c r="D10" s="68"/>
      <c r="E10" s="68"/>
      <c r="F10" s="68"/>
      <c r="G10" s="68"/>
      <c r="H10" s="68"/>
      <c r="I10" s="68"/>
      <c r="J10" s="68"/>
      <c r="K10" s="68"/>
      <c r="L10" s="68"/>
      <c r="M10" s="68"/>
      <c r="N10" s="68"/>
    </row>
    <row r="11" ht="13.5" customHeight="1">
      <c r="A11" s="68"/>
      <c r="B11" s="75" t="s">
        <v>81</v>
      </c>
      <c r="C11" s="68"/>
      <c r="D11" s="71"/>
      <c r="E11" s="76" t="s">
        <v>249</v>
      </c>
      <c r="F11" s="77"/>
      <c r="G11" s="78"/>
      <c r="H11" s="68"/>
      <c r="I11" s="68"/>
      <c r="J11" s="68"/>
      <c r="K11" s="68"/>
      <c r="L11" s="68"/>
      <c r="M11" s="68"/>
      <c r="N11" s="68"/>
    </row>
    <row r="12">
      <c r="A12" s="68"/>
      <c r="B12" s="68"/>
      <c r="C12" s="68"/>
      <c r="D12" s="68"/>
      <c r="E12" s="68"/>
      <c r="F12" s="68"/>
      <c r="G12" s="68"/>
      <c r="H12" s="68"/>
      <c r="I12" s="71"/>
      <c r="J12" s="72" t="s">
        <v>83</v>
      </c>
      <c r="K12" s="72"/>
      <c r="L12" s="72"/>
      <c r="M12" s="79" t="s">
        <v>84</v>
      </c>
      <c r="N12" s="68"/>
    </row>
    <row r="13">
      <c r="A13" s="68"/>
      <c r="B13" s="75" t="s">
        <v>85</v>
      </c>
      <c r="C13" s="68"/>
      <c r="D13" s="71"/>
      <c r="E13" s="76" t="s">
        <v>87</v>
      </c>
      <c r="F13" s="78"/>
      <c r="G13" s="80"/>
      <c r="H13" s="68"/>
      <c r="I13" s="71"/>
      <c r="J13" s="72" t="s">
        <v>87</v>
      </c>
      <c r="K13" s="72"/>
      <c r="L13" s="72"/>
      <c r="M13" s="79" t="s">
        <v>84</v>
      </c>
      <c r="N13" s="68"/>
    </row>
    <row r="14">
      <c r="A14" s="68"/>
      <c r="B14" s="68"/>
      <c r="C14" s="68"/>
      <c r="D14" s="68"/>
      <c r="E14" s="68"/>
      <c r="F14" s="68"/>
      <c r="G14" s="68"/>
      <c r="H14" s="68"/>
      <c r="I14" s="71"/>
      <c r="J14" s="72" t="s">
        <v>86</v>
      </c>
      <c r="K14" s="72"/>
      <c r="L14" s="72"/>
      <c r="M14" s="79" t="s">
        <v>84</v>
      </c>
      <c r="N14" s="68"/>
    </row>
    <row r="15">
      <c r="A15" s="68"/>
      <c r="B15" s="75" t="s">
        <v>88</v>
      </c>
      <c r="C15" s="68"/>
      <c r="D15" s="71"/>
      <c r="E15" s="81" t="s">
        <v>250</v>
      </c>
      <c r="F15" s="77"/>
      <c r="G15" s="78"/>
      <c r="H15" s="82"/>
      <c r="I15" s="82"/>
      <c r="J15" s="83"/>
      <c r="K15" s="83"/>
      <c r="L15" s="83"/>
      <c r="M15" s="83"/>
      <c r="N15" s="68"/>
    </row>
    <row r="16">
      <c r="A16" s="68"/>
      <c r="B16" s="68"/>
      <c r="C16" s="68"/>
      <c r="D16" s="68"/>
      <c r="E16" s="68"/>
      <c r="F16" s="68"/>
      <c r="G16" s="68"/>
      <c r="H16" s="68"/>
      <c r="I16" s="71"/>
      <c r="J16" s="72" t="s">
        <v>90</v>
      </c>
      <c r="K16" s="72"/>
      <c r="L16" s="72"/>
      <c r="M16" s="79" t="s">
        <v>84</v>
      </c>
      <c r="N16" s="68"/>
    </row>
    <row r="17">
      <c r="A17" s="68"/>
      <c r="B17" s="75" t="s">
        <v>91</v>
      </c>
      <c r="C17" s="68"/>
      <c r="D17" s="71"/>
      <c r="E17" s="76" t="s">
        <v>90</v>
      </c>
      <c r="F17" s="78"/>
      <c r="G17" s="80"/>
      <c r="H17" s="68"/>
      <c r="I17" s="71"/>
      <c r="J17" s="72" t="s">
        <v>92</v>
      </c>
      <c r="K17" s="72"/>
      <c r="L17" s="72"/>
      <c r="M17" s="79" t="s">
        <v>84</v>
      </c>
      <c r="N17" s="68"/>
    </row>
    <row r="18">
      <c r="A18" s="68"/>
      <c r="B18" s="84"/>
      <c r="C18" s="85"/>
      <c r="D18" s="85"/>
      <c r="E18" s="85"/>
      <c r="F18" s="68"/>
      <c r="G18" s="68"/>
      <c r="H18" s="68"/>
      <c r="I18" s="71"/>
      <c r="J18" s="86" t="s">
        <v>93</v>
      </c>
      <c r="K18" s="86"/>
      <c r="L18" s="86"/>
      <c r="M18" s="87" t="s">
        <v>84</v>
      </c>
      <c r="N18" s="68"/>
    </row>
    <row r="19">
      <c r="A19" s="68"/>
      <c r="B19" s="75" t="s">
        <v>94</v>
      </c>
      <c r="C19" s="68"/>
      <c r="D19" s="71"/>
      <c r="E19" s="81" t="s">
        <v>251</v>
      </c>
      <c r="F19" s="77"/>
      <c r="G19" s="78"/>
      <c r="H19" s="68"/>
      <c r="I19" s="68"/>
      <c r="J19" s="88" t="s">
        <v>96</v>
      </c>
      <c r="N19" s="68"/>
    </row>
    <row r="20">
      <c r="A20" s="68"/>
      <c r="B20" s="68"/>
      <c r="C20" s="68"/>
      <c r="D20" s="68"/>
      <c r="E20" s="68"/>
      <c r="F20" s="68"/>
      <c r="G20" s="68"/>
      <c r="H20" s="68"/>
      <c r="I20" s="71"/>
      <c r="J20" s="72" t="s">
        <v>97</v>
      </c>
      <c r="K20" s="72"/>
      <c r="L20" s="72"/>
      <c r="M20" s="79" t="s">
        <v>84</v>
      </c>
      <c r="N20" s="68"/>
    </row>
    <row r="21">
      <c r="A21" s="68"/>
      <c r="B21" s="75" t="s">
        <v>98</v>
      </c>
      <c r="C21" s="68"/>
      <c r="D21" s="71"/>
      <c r="E21" s="76" t="s">
        <v>97</v>
      </c>
      <c r="F21" s="78"/>
      <c r="G21" s="80"/>
      <c r="H21" s="68"/>
      <c r="I21" s="71"/>
      <c r="J21" s="72" t="s">
        <v>99</v>
      </c>
      <c r="K21" s="72"/>
      <c r="L21" s="72"/>
      <c r="M21" s="79" t="s">
        <v>84</v>
      </c>
      <c r="N21" s="68"/>
    </row>
    <row r="22">
      <c r="A22" s="68"/>
      <c r="B22" s="68"/>
      <c r="C22" s="68"/>
      <c r="D22" s="68"/>
      <c r="E22" s="68"/>
      <c r="F22" s="68"/>
      <c r="G22" s="68"/>
      <c r="H22" s="68"/>
      <c r="I22" s="71"/>
      <c r="J22" s="72" t="s">
        <v>100</v>
      </c>
      <c r="K22" s="72"/>
      <c r="L22" s="72"/>
      <c r="M22" s="79" t="s">
        <v>84</v>
      </c>
      <c r="N22" s="68"/>
    </row>
    <row r="23" ht="39.75" customHeight="1">
      <c r="A23" s="68"/>
      <c r="B23" s="75" t="s">
        <v>101</v>
      </c>
      <c r="C23" s="68"/>
      <c r="D23" s="71"/>
      <c r="E23" s="81" t="s">
        <v>252</v>
      </c>
      <c r="F23" s="77"/>
      <c r="G23" s="78"/>
      <c r="H23" s="68"/>
      <c r="I23" s="68"/>
      <c r="J23" s="68"/>
      <c r="K23" s="68"/>
      <c r="L23" s="68"/>
      <c r="M23" s="68"/>
      <c r="N23" s="68"/>
    </row>
    <row r="24">
      <c r="A24" s="68"/>
      <c r="B24" s="68"/>
      <c r="C24" s="68"/>
      <c r="D24" s="68"/>
      <c r="E24" s="68"/>
      <c r="F24" s="68"/>
      <c r="G24" s="68"/>
      <c r="H24" s="68"/>
      <c r="I24" s="68"/>
      <c r="J24" s="68"/>
      <c r="K24" s="68"/>
      <c r="L24" s="68"/>
      <c r="M24" s="68"/>
      <c r="N24" s="68"/>
    </row>
    <row r="25" ht="41.25" customHeight="1">
      <c r="A25" s="68"/>
      <c r="B25" s="75" t="s">
        <v>103</v>
      </c>
      <c r="C25" s="68"/>
      <c r="D25" s="71"/>
      <c r="E25" s="81" t="s">
        <v>253</v>
      </c>
      <c r="F25" s="77"/>
      <c r="G25" s="77"/>
      <c r="H25" s="77"/>
      <c r="I25" s="77"/>
      <c r="J25" s="77"/>
      <c r="K25" s="77"/>
      <c r="L25" s="78"/>
      <c r="M25" s="68"/>
      <c r="N25" s="68"/>
    </row>
    <row r="26">
      <c r="A26" s="68"/>
      <c r="B26" s="68"/>
      <c r="C26" s="68"/>
      <c r="D26" s="68"/>
      <c r="E26" s="68"/>
      <c r="F26" s="68"/>
      <c r="G26" s="68"/>
      <c r="H26" s="68"/>
      <c r="I26" s="68"/>
      <c r="J26" s="68"/>
      <c r="K26" s="68"/>
      <c r="L26" s="68"/>
      <c r="M26" s="68"/>
      <c r="N26" s="68"/>
    </row>
    <row r="27">
      <c r="A27" s="68"/>
      <c r="B27" s="75" t="s">
        <v>105</v>
      </c>
      <c r="C27" s="68"/>
      <c r="D27" s="71"/>
      <c r="E27" s="89" t="s">
        <v>106</v>
      </c>
      <c r="F27" s="90" t="s">
        <v>107</v>
      </c>
      <c r="G27" s="89" t="s">
        <v>108</v>
      </c>
      <c r="H27" s="91" t="s">
        <v>109</v>
      </c>
      <c r="I27" s="92"/>
      <c r="J27" s="84"/>
      <c r="K27" s="84"/>
      <c r="L27" s="80"/>
      <c r="M27" s="68"/>
      <c r="N27" s="68"/>
    </row>
    <row r="28">
      <c r="A28" s="68"/>
      <c r="B28" s="93" t="s">
        <v>71</v>
      </c>
      <c r="D28" s="71"/>
      <c r="E28" s="94" t="s">
        <v>144</v>
      </c>
      <c r="F28" s="95" t="s">
        <v>204</v>
      </c>
      <c r="G28" s="95" t="s">
        <v>41</v>
      </c>
      <c r="H28" s="96"/>
      <c r="I28" s="78"/>
      <c r="J28" s="84"/>
      <c r="K28" s="71"/>
      <c r="L28" s="72" t="s">
        <v>37</v>
      </c>
      <c r="M28" s="79" t="s">
        <v>84</v>
      </c>
      <c r="N28" s="68"/>
    </row>
    <row r="29">
      <c r="A29" s="68"/>
      <c r="D29" s="71"/>
      <c r="E29" s="94" t="s">
        <v>205</v>
      </c>
      <c r="F29" s="95" t="s">
        <v>206</v>
      </c>
      <c r="G29" s="95" t="s">
        <v>41</v>
      </c>
      <c r="H29" s="96"/>
      <c r="I29" s="78"/>
      <c r="J29" s="84"/>
      <c r="K29" s="71"/>
      <c r="L29" s="72" t="s">
        <v>115</v>
      </c>
      <c r="M29" s="68"/>
      <c r="N29" s="68"/>
    </row>
    <row r="30">
      <c r="A30" s="68"/>
      <c r="B30" s="68"/>
      <c r="C30" s="68"/>
      <c r="D30" s="71"/>
      <c r="E30" s="94" t="s">
        <v>113</v>
      </c>
      <c r="F30" s="95" t="s">
        <v>114</v>
      </c>
      <c r="G30" s="95" t="s">
        <v>112</v>
      </c>
      <c r="H30" s="96"/>
      <c r="I30" s="78"/>
      <c r="J30" s="84"/>
      <c r="K30" s="71"/>
      <c r="L30" s="72" t="s">
        <v>112</v>
      </c>
      <c r="M30" s="68"/>
      <c r="N30" s="68"/>
    </row>
    <row r="31">
      <c r="A31" s="68"/>
      <c r="B31" s="68"/>
      <c r="C31" s="68"/>
      <c r="D31" s="71"/>
      <c r="E31" s="94"/>
      <c r="F31" s="95"/>
      <c r="G31" s="95"/>
      <c r="H31" s="96"/>
      <c r="I31" s="78"/>
      <c r="J31" s="84"/>
      <c r="K31" s="71"/>
      <c r="L31" s="72" t="s">
        <v>41</v>
      </c>
      <c r="M31" s="68"/>
      <c r="N31" s="68"/>
    </row>
    <row r="32">
      <c r="A32" s="68"/>
      <c r="B32" s="68"/>
      <c r="C32" s="68"/>
      <c r="D32" s="71"/>
      <c r="E32" s="94"/>
      <c r="F32" s="95"/>
      <c r="G32" s="95"/>
      <c r="H32" s="96"/>
      <c r="I32" s="78"/>
      <c r="J32" s="68"/>
      <c r="K32" s="71"/>
      <c r="L32" s="72" t="s">
        <v>42</v>
      </c>
      <c r="M32" s="68"/>
      <c r="N32" s="68"/>
    </row>
    <row r="33">
      <c r="A33" s="68"/>
      <c r="B33" s="68"/>
      <c r="C33" s="68"/>
      <c r="D33" s="71"/>
      <c r="E33" s="94"/>
      <c r="F33" s="95"/>
      <c r="G33" s="95"/>
      <c r="H33" s="96"/>
      <c r="I33" s="78"/>
      <c r="J33" s="68"/>
      <c r="K33" s="68"/>
      <c r="L33" s="68"/>
      <c r="M33" s="68"/>
      <c r="N33" s="68"/>
    </row>
    <row r="34">
      <c r="A34" s="68"/>
      <c r="B34" s="75"/>
      <c r="C34" s="68"/>
      <c r="D34" s="68"/>
      <c r="E34" s="68"/>
      <c r="F34" s="68"/>
      <c r="G34" s="68"/>
      <c r="H34" s="68"/>
      <c r="I34" s="68"/>
      <c r="J34" s="68"/>
      <c r="K34" s="68"/>
      <c r="L34" s="68"/>
      <c r="M34" s="68"/>
      <c r="N34" s="68"/>
    </row>
    <row r="35">
      <c r="A35" s="68"/>
      <c r="B35" s="75" t="s">
        <v>118</v>
      </c>
      <c r="C35" s="68"/>
      <c r="D35" s="68"/>
      <c r="E35" s="68"/>
      <c r="F35" s="68"/>
      <c r="G35" s="68"/>
      <c r="H35" s="68"/>
      <c r="I35" s="68"/>
      <c r="J35" s="68"/>
      <c r="K35" s="68"/>
      <c r="L35" s="68"/>
      <c r="M35" s="68"/>
      <c r="N35" s="68"/>
    </row>
    <row r="36">
      <c r="A36" s="68"/>
      <c r="B36" s="72" t="s">
        <v>119</v>
      </c>
      <c r="C36" s="68"/>
      <c r="D36" s="68"/>
      <c r="E36" s="68"/>
      <c r="F36" s="68"/>
      <c r="G36" s="68"/>
      <c r="H36" s="68"/>
      <c r="I36" s="68"/>
      <c r="J36" s="68"/>
      <c r="K36" s="68"/>
      <c r="L36" s="68"/>
      <c r="M36" s="68"/>
      <c r="N36" s="68"/>
    </row>
    <row r="37">
      <c r="A37" s="68"/>
      <c r="B37" s="68"/>
      <c r="C37" s="68"/>
      <c r="D37" s="68"/>
      <c r="E37" s="68"/>
      <c r="F37" s="68"/>
      <c r="G37" s="68"/>
      <c r="H37" s="68"/>
      <c r="I37" s="68"/>
      <c r="J37" s="68"/>
      <c r="K37" s="68"/>
      <c r="L37" s="68"/>
      <c r="M37" s="68"/>
      <c r="N37" s="68"/>
    </row>
    <row r="38">
      <c r="A38" s="68"/>
      <c r="B38" s="68"/>
      <c r="C38" s="68"/>
      <c r="D38" s="68"/>
      <c r="E38" s="68"/>
      <c r="F38" s="68"/>
      <c r="G38" s="68"/>
      <c r="H38" s="68"/>
      <c r="I38" s="68"/>
      <c r="J38" s="68"/>
      <c r="K38" s="68"/>
      <c r="L38" s="68"/>
      <c r="M38" s="68"/>
      <c r="N38" s="68"/>
    </row>
    <row r="39">
      <c r="A39" s="68"/>
      <c r="B39" s="68"/>
      <c r="C39" s="68"/>
      <c r="D39" s="68"/>
      <c r="E39" s="68"/>
      <c r="F39" s="68"/>
      <c r="G39" s="68"/>
      <c r="H39" s="68"/>
      <c r="I39" s="68"/>
      <c r="J39" s="68"/>
      <c r="K39" s="68"/>
      <c r="L39" s="68"/>
      <c r="M39" s="68"/>
      <c r="N39" s="68"/>
    </row>
    <row r="40">
      <c r="A40" s="68"/>
      <c r="B40" s="68"/>
      <c r="C40" s="68"/>
      <c r="D40" s="68"/>
      <c r="E40" s="68"/>
      <c r="F40" s="68"/>
      <c r="G40" s="68"/>
      <c r="H40" s="68"/>
      <c r="I40" s="68"/>
      <c r="J40" s="68"/>
      <c r="K40" s="68"/>
      <c r="L40" s="68"/>
      <c r="M40" s="68"/>
      <c r="N40" s="68"/>
    </row>
    <row r="41">
      <c r="A41" s="68"/>
      <c r="B41" s="68"/>
      <c r="C41" s="68"/>
      <c r="D41" s="68"/>
      <c r="E41" s="68"/>
      <c r="F41" s="68"/>
      <c r="G41" s="68"/>
      <c r="H41" s="68"/>
      <c r="I41" s="68"/>
      <c r="J41" s="68"/>
      <c r="K41" s="68"/>
      <c r="L41" s="68"/>
      <c r="M41" s="68"/>
      <c r="N41" s="68"/>
    </row>
    <row r="42">
      <c r="A42" s="68"/>
      <c r="B42" s="68"/>
      <c r="C42" s="68"/>
      <c r="D42" s="68"/>
      <c r="E42" s="68"/>
      <c r="F42" s="68"/>
      <c r="G42" s="68"/>
      <c r="H42" s="68"/>
      <c r="I42" s="68"/>
      <c r="J42" s="68"/>
      <c r="K42" s="68"/>
      <c r="L42" s="68"/>
      <c r="M42" s="68"/>
      <c r="N42" s="68"/>
    </row>
    <row r="43">
      <c r="A43" s="68"/>
      <c r="B43" s="68"/>
      <c r="C43" s="68"/>
      <c r="D43" s="68"/>
      <c r="E43" s="68"/>
      <c r="F43" s="68"/>
      <c r="G43" s="68"/>
      <c r="H43" s="68"/>
      <c r="I43" s="68"/>
      <c r="J43" s="68"/>
      <c r="K43" s="68"/>
      <c r="L43" s="68"/>
      <c r="M43" s="68"/>
      <c r="N43" s="68"/>
    </row>
    <row r="44">
      <c r="A44" s="68"/>
      <c r="B44" s="68"/>
      <c r="C44" s="68"/>
      <c r="D44" s="68"/>
      <c r="E44" s="68"/>
      <c r="F44" s="68"/>
      <c r="G44" s="68"/>
      <c r="H44" s="68"/>
      <c r="I44" s="68"/>
      <c r="J44" s="68"/>
      <c r="K44" s="68"/>
      <c r="L44" s="68"/>
      <c r="M44" s="68"/>
      <c r="N44" s="68"/>
    </row>
    <row r="45">
      <c r="A45" s="68"/>
      <c r="B45" s="68"/>
      <c r="C45" s="68"/>
      <c r="D45" s="68"/>
      <c r="E45" s="68"/>
      <c r="F45" s="68"/>
      <c r="G45" s="68"/>
      <c r="H45" s="68"/>
      <c r="I45" s="68"/>
      <c r="J45" s="68"/>
      <c r="K45" s="68"/>
      <c r="L45" s="68"/>
      <c r="M45" s="68"/>
      <c r="N45" s="68"/>
    </row>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8">
    <mergeCell ref="B5:F6"/>
    <mergeCell ref="E11:G11"/>
    <mergeCell ref="E13:F13"/>
    <mergeCell ref="E15:G15"/>
    <mergeCell ref="E17:F17"/>
    <mergeCell ref="E19:G19"/>
    <mergeCell ref="J19:M19"/>
    <mergeCell ref="H30:I30"/>
    <mergeCell ref="H31:I31"/>
    <mergeCell ref="H32:I32"/>
    <mergeCell ref="H33:I33"/>
    <mergeCell ref="E21:F21"/>
    <mergeCell ref="E23:G23"/>
    <mergeCell ref="E25:L25"/>
    <mergeCell ref="H27:I27"/>
    <mergeCell ref="B28:C29"/>
    <mergeCell ref="H28:I28"/>
    <mergeCell ref="H29:I29"/>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 type="list" allowBlank="1" showInputMessage="1" prompt="Clique e insira um valor de intervalo" sqref="G28:G33">
      <formula1>$L$28:$L$32</formula1>
    </dataValidation>
  </dataValidations>
  <printOptions/>
  <pageMargins bottom="0.787401575" footer="0.0" header="0.0" left="0.511811024" right="0.511811024" top="0.7874015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75"/>
  <cols>
    <col customWidth="1" min="1" max="1" width="2.25"/>
    <col customWidth="1" min="2" max="2" width="14.38"/>
    <col customWidth="1" min="3" max="3" width="7.25"/>
    <col customWidth="1" min="4" max="4" width="2.25"/>
    <col customWidth="1" min="5" max="5" width="21.63"/>
    <col customWidth="1" min="6" max="7" width="14.38"/>
    <col customWidth="1" min="8" max="9" width="2.25"/>
    <col customWidth="1" min="10" max="10" width="7.25"/>
    <col customWidth="1" min="11" max="11" width="2.25"/>
    <col customWidth="1" min="12" max="12" width="14.38"/>
    <col customWidth="1" min="13" max="13" width="3.0"/>
    <col customWidth="1" min="14" max="14" width="3.13"/>
    <col customWidth="1" min="15" max="26" width="14.38"/>
  </cols>
  <sheetData>
    <row r="1" ht="11.25" customHeight="1">
      <c r="A1" s="68"/>
      <c r="B1" s="68"/>
      <c r="C1" s="68"/>
      <c r="D1" s="68"/>
      <c r="E1" s="68"/>
      <c r="F1" s="68"/>
      <c r="G1" s="68"/>
      <c r="H1" s="68"/>
      <c r="I1" s="68"/>
      <c r="J1" s="68"/>
      <c r="K1" s="68"/>
      <c r="L1" s="68"/>
      <c r="M1" s="68"/>
      <c r="N1" s="68"/>
    </row>
    <row r="2">
      <c r="A2" s="68"/>
      <c r="B2" s="69" t="s">
        <v>72</v>
      </c>
      <c r="C2" s="68"/>
      <c r="D2" s="68"/>
      <c r="E2" s="68"/>
      <c r="F2" s="68"/>
      <c r="G2" s="68"/>
      <c r="H2" s="68"/>
      <c r="I2" s="68"/>
      <c r="J2" s="68"/>
      <c r="K2" s="68"/>
      <c r="L2" s="68"/>
      <c r="M2" s="68"/>
      <c r="N2" s="68"/>
    </row>
    <row r="3">
      <c r="A3" s="68"/>
      <c r="B3" s="70" t="s">
        <v>73</v>
      </c>
      <c r="C3" s="68"/>
      <c r="D3" s="68"/>
      <c r="E3" s="68"/>
      <c r="F3" s="68"/>
      <c r="G3" s="68"/>
      <c r="N3" s="68"/>
    </row>
    <row r="4">
      <c r="A4" s="68"/>
      <c r="B4" s="67" t="s">
        <v>254</v>
      </c>
      <c r="C4" s="68"/>
      <c r="D4" s="68"/>
      <c r="E4" s="68"/>
      <c r="F4" s="68"/>
      <c r="G4" s="68"/>
      <c r="H4" s="68"/>
      <c r="I4" s="71"/>
      <c r="J4" s="72" t="s">
        <v>75</v>
      </c>
      <c r="K4" s="68"/>
      <c r="L4" s="68"/>
      <c r="M4" s="73" t="b">
        <v>1</v>
      </c>
      <c r="N4" s="68"/>
    </row>
    <row r="5" ht="23.25" customHeight="1">
      <c r="A5" s="68"/>
      <c r="B5" s="74" t="s">
        <v>76</v>
      </c>
      <c r="G5" s="68"/>
      <c r="H5" s="68"/>
      <c r="I5" s="71"/>
      <c r="J5" s="72" t="s">
        <v>77</v>
      </c>
      <c r="K5" s="68"/>
      <c r="L5" s="68"/>
      <c r="M5" s="73" t="b">
        <v>0</v>
      </c>
      <c r="N5" s="68"/>
    </row>
    <row r="6" ht="23.25" customHeight="1">
      <c r="A6" s="68"/>
      <c r="G6" s="68"/>
      <c r="H6" s="68"/>
      <c r="I6" s="71"/>
      <c r="J6" s="72" t="s">
        <v>78</v>
      </c>
      <c r="K6" s="68"/>
      <c r="L6" s="68"/>
      <c r="M6" s="73" t="b">
        <v>0</v>
      </c>
      <c r="N6" s="68"/>
    </row>
    <row r="7">
      <c r="A7" s="68"/>
      <c r="B7" s="68"/>
      <c r="C7" s="68"/>
      <c r="D7" s="68"/>
      <c r="E7" s="68"/>
      <c r="F7" s="68"/>
      <c r="G7" s="68"/>
      <c r="H7" s="68"/>
      <c r="I7" s="68"/>
      <c r="J7" s="72"/>
      <c r="K7" s="68"/>
      <c r="L7" s="68"/>
      <c r="M7" s="68"/>
      <c r="N7" s="68"/>
    </row>
    <row r="8">
      <c r="A8" s="68"/>
      <c r="B8" s="69" t="s">
        <v>79</v>
      </c>
      <c r="C8" s="68"/>
      <c r="D8" s="68"/>
      <c r="E8" s="68"/>
      <c r="F8" s="68"/>
      <c r="G8" s="68"/>
      <c r="H8" s="68"/>
      <c r="N8" s="68"/>
    </row>
    <row r="9">
      <c r="A9" s="68"/>
      <c r="B9" s="70" t="s">
        <v>80</v>
      </c>
      <c r="C9" s="68"/>
      <c r="D9" s="68"/>
      <c r="E9" s="68"/>
      <c r="F9" s="68"/>
      <c r="G9" s="68"/>
      <c r="H9" s="68"/>
      <c r="I9" s="68"/>
      <c r="J9" s="68"/>
      <c r="K9" s="68"/>
      <c r="L9" s="68"/>
      <c r="M9" s="68"/>
      <c r="N9" s="68"/>
    </row>
    <row r="10">
      <c r="A10" s="68"/>
      <c r="B10" s="68"/>
      <c r="C10" s="68"/>
      <c r="D10" s="68"/>
      <c r="E10" s="68"/>
      <c r="F10" s="68"/>
      <c r="G10" s="68"/>
      <c r="H10" s="68"/>
      <c r="I10" s="68"/>
      <c r="J10" s="68"/>
      <c r="K10" s="68"/>
      <c r="L10" s="68"/>
      <c r="M10" s="68"/>
      <c r="N10" s="68"/>
    </row>
    <row r="11" ht="13.5" customHeight="1">
      <c r="A11" s="68"/>
      <c r="B11" s="75" t="s">
        <v>81</v>
      </c>
      <c r="C11" s="68"/>
      <c r="D11" s="71"/>
      <c r="E11" s="76" t="s">
        <v>255</v>
      </c>
      <c r="F11" s="77"/>
      <c r="G11" s="78"/>
      <c r="H11" s="68"/>
      <c r="I11" s="68"/>
      <c r="J11" s="68"/>
      <c r="K11" s="68"/>
      <c r="L11" s="68"/>
      <c r="M11" s="68"/>
      <c r="N11" s="68"/>
    </row>
    <row r="12">
      <c r="A12" s="68"/>
      <c r="B12" s="68"/>
      <c r="C12" s="68"/>
      <c r="D12" s="68"/>
      <c r="E12" s="68"/>
      <c r="F12" s="68"/>
      <c r="G12" s="68"/>
      <c r="H12" s="68"/>
      <c r="I12" s="71"/>
      <c r="J12" s="72" t="s">
        <v>83</v>
      </c>
      <c r="K12" s="72"/>
      <c r="L12" s="72"/>
      <c r="M12" s="79" t="s">
        <v>84</v>
      </c>
      <c r="N12" s="68"/>
    </row>
    <row r="13">
      <c r="A13" s="68"/>
      <c r="B13" s="75" t="s">
        <v>85</v>
      </c>
      <c r="C13" s="68"/>
      <c r="D13" s="71"/>
      <c r="E13" s="76" t="s">
        <v>87</v>
      </c>
      <c r="F13" s="78"/>
      <c r="G13" s="80"/>
      <c r="H13" s="68"/>
      <c r="I13" s="71"/>
      <c r="J13" s="72" t="s">
        <v>87</v>
      </c>
      <c r="K13" s="72"/>
      <c r="L13" s="72"/>
      <c r="M13" s="79" t="s">
        <v>84</v>
      </c>
      <c r="N13" s="68"/>
    </row>
    <row r="14">
      <c r="A14" s="68"/>
      <c r="B14" s="68"/>
      <c r="C14" s="68"/>
      <c r="D14" s="68"/>
      <c r="E14" s="68"/>
      <c r="F14" s="68"/>
      <c r="G14" s="68"/>
      <c r="H14" s="68"/>
      <c r="I14" s="71"/>
      <c r="J14" s="72" t="s">
        <v>86</v>
      </c>
      <c r="K14" s="72"/>
      <c r="L14" s="72"/>
      <c r="M14" s="79" t="s">
        <v>84</v>
      </c>
      <c r="N14" s="68"/>
    </row>
    <row r="15">
      <c r="A15" s="68"/>
      <c r="B15" s="75" t="s">
        <v>88</v>
      </c>
      <c r="C15" s="68"/>
      <c r="D15" s="71"/>
      <c r="E15" s="81" t="s">
        <v>256</v>
      </c>
      <c r="F15" s="77"/>
      <c r="G15" s="78"/>
      <c r="H15" s="82"/>
      <c r="I15" s="82"/>
      <c r="J15" s="83"/>
      <c r="K15" s="83"/>
      <c r="L15" s="83"/>
      <c r="M15" s="83"/>
      <c r="N15" s="68"/>
    </row>
    <row r="16">
      <c r="A16" s="68"/>
      <c r="B16" s="68"/>
      <c r="C16" s="68"/>
      <c r="D16" s="68"/>
      <c r="E16" s="68"/>
      <c r="F16" s="68"/>
      <c r="G16" s="68"/>
      <c r="H16" s="68"/>
      <c r="I16" s="71"/>
      <c r="J16" s="72" t="s">
        <v>90</v>
      </c>
      <c r="K16" s="72"/>
      <c r="L16" s="72"/>
      <c r="M16" s="79" t="s">
        <v>84</v>
      </c>
      <c r="N16" s="68"/>
    </row>
    <row r="17">
      <c r="A17" s="68"/>
      <c r="B17" s="75" t="s">
        <v>91</v>
      </c>
      <c r="C17" s="68"/>
      <c r="D17" s="71"/>
      <c r="E17" s="81" t="s">
        <v>90</v>
      </c>
      <c r="F17" s="78"/>
      <c r="G17" s="80"/>
      <c r="H17" s="68"/>
      <c r="I17" s="71"/>
      <c r="J17" s="72" t="s">
        <v>92</v>
      </c>
      <c r="K17" s="72"/>
      <c r="L17" s="72"/>
      <c r="M17" s="79" t="s">
        <v>84</v>
      </c>
      <c r="N17" s="68"/>
    </row>
    <row r="18">
      <c r="A18" s="68"/>
      <c r="B18" s="84"/>
      <c r="C18" s="85"/>
      <c r="D18" s="85"/>
      <c r="E18" s="85"/>
      <c r="F18" s="68"/>
      <c r="G18" s="68"/>
      <c r="H18" s="68"/>
      <c r="I18" s="71"/>
      <c r="J18" s="86" t="s">
        <v>93</v>
      </c>
      <c r="K18" s="86"/>
      <c r="L18" s="86"/>
      <c r="M18" s="87" t="s">
        <v>84</v>
      </c>
      <c r="N18" s="68"/>
    </row>
    <row r="19" ht="29.25" customHeight="1">
      <c r="A19" s="68"/>
      <c r="B19" s="75" t="s">
        <v>94</v>
      </c>
      <c r="C19" s="68"/>
      <c r="D19" s="71"/>
      <c r="E19" s="81" t="s">
        <v>257</v>
      </c>
      <c r="F19" s="77"/>
      <c r="G19" s="78"/>
      <c r="H19" s="68"/>
      <c r="I19" s="68"/>
      <c r="J19" s="88" t="s">
        <v>96</v>
      </c>
      <c r="N19" s="68"/>
    </row>
    <row r="20">
      <c r="A20" s="68"/>
      <c r="B20" s="68"/>
      <c r="C20" s="68"/>
      <c r="D20" s="68"/>
      <c r="E20" s="68"/>
      <c r="F20" s="68"/>
      <c r="G20" s="68"/>
      <c r="H20" s="68"/>
      <c r="I20" s="71"/>
      <c r="J20" s="72" t="s">
        <v>97</v>
      </c>
      <c r="K20" s="72"/>
      <c r="L20" s="72"/>
      <c r="M20" s="79" t="s">
        <v>84</v>
      </c>
      <c r="N20" s="68"/>
    </row>
    <row r="21">
      <c r="A21" s="68"/>
      <c r="B21" s="75" t="s">
        <v>98</v>
      </c>
      <c r="C21" s="68"/>
      <c r="D21" s="71"/>
      <c r="E21" s="76" t="s">
        <v>99</v>
      </c>
      <c r="F21" s="78"/>
      <c r="G21" s="80"/>
      <c r="H21" s="68"/>
      <c r="I21" s="71"/>
      <c r="J21" s="72" t="s">
        <v>99</v>
      </c>
      <c r="K21" s="72"/>
      <c r="L21" s="72"/>
      <c r="M21" s="79" t="s">
        <v>84</v>
      </c>
      <c r="N21" s="68"/>
    </row>
    <row r="22">
      <c r="A22" s="68"/>
      <c r="B22" s="68"/>
      <c r="C22" s="68"/>
      <c r="D22" s="68"/>
      <c r="E22" s="68"/>
      <c r="F22" s="68"/>
      <c r="G22" s="68"/>
      <c r="H22" s="68"/>
      <c r="I22" s="71"/>
      <c r="J22" s="72" t="s">
        <v>100</v>
      </c>
      <c r="K22" s="72"/>
      <c r="L22" s="72"/>
      <c r="M22" s="79" t="s">
        <v>84</v>
      </c>
      <c r="N22" s="68"/>
    </row>
    <row r="23">
      <c r="A23" s="68"/>
      <c r="B23" s="75" t="s">
        <v>101</v>
      </c>
      <c r="C23" s="68"/>
      <c r="D23" s="71"/>
      <c r="E23" s="81" t="s">
        <v>258</v>
      </c>
      <c r="F23" s="77"/>
      <c r="G23" s="78"/>
      <c r="H23" s="68"/>
      <c r="I23" s="68"/>
      <c r="J23" s="68"/>
      <c r="K23" s="68"/>
      <c r="L23" s="68"/>
      <c r="M23" s="68"/>
      <c r="N23" s="68"/>
    </row>
    <row r="24">
      <c r="A24" s="68"/>
      <c r="B24" s="68"/>
      <c r="C24" s="68"/>
      <c r="D24" s="68"/>
      <c r="E24" s="68"/>
      <c r="F24" s="68"/>
      <c r="G24" s="68"/>
      <c r="H24" s="68"/>
      <c r="I24" s="68"/>
      <c r="J24" s="68"/>
      <c r="K24" s="68"/>
      <c r="L24" s="68"/>
      <c r="M24" s="68"/>
      <c r="N24" s="68"/>
    </row>
    <row r="25" ht="41.25" customHeight="1">
      <c r="A25" s="68"/>
      <c r="B25" s="75" t="s">
        <v>103</v>
      </c>
      <c r="C25" s="68"/>
      <c r="D25" s="71"/>
      <c r="E25" s="81" t="s">
        <v>259</v>
      </c>
      <c r="F25" s="77"/>
      <c r="G25" s="77"/>
      <c r="H25" s="77"/>
      <c r="I25" s="77"/>
      <c r="J25" s="77"/>
      <c r="K25" s="77"/>
      <c r="L25" s="78"/>
      <c r="M25" s="68"/>
      <c r="N25" s="68"/>
    </row>
    <row r="26">
      <c r="A26" s="68"/>
      <c r="B26" s="68"/>
      <c r="C26" s="68"/>
      <c r="D26" s="68"/>
      <c r="E26" s="68"/>
      <c r="F26" s="68"/>
      <c r="G26" s="68"/>
      <c r="H26" s="68"/>
      <c r="I26" s="68"/>
      <c r="J26" s="68"/>
      <c r="K26" s="68"/>
      <c r="L26" s="68"/>
      <c r="M26" s="68"/>
      <c r="N26" s="68"/>
    </row>
    <row r="27">
      <c r="A27" s="68"/>
      <c r="B27" s="75" t="s">
        <v>105</v>
      </c>
      <c r="C27" s="68"/>
      <c r="D27" s="71"/>
      <c r="E27" s="89" t="s">
        <v>106</v>
      </c>
      <c r="F27" s="90" t="s">
        <v>107</v>
      </c>
      <c r="G27" s="89" t="s">
        <v>108</v>
      </c>
      <c r="H27" s="91" t="s">
        <v>109</v>
      </c>
      <c r="I27" s="92"/>
      <c r="J27" s="84"/>
      <c r="K27" s="84"/>
      <c r="L27" s="80"/>
      <c r="M27" s="68"/>
      <c r="N27" s="68"/>
    </row>
    <row r="28">
      <c r="A28" s="68"/>
      <c r="B28" s="93" t="s">
        <v>71</v>
      </c>
      <c r="D28" s="71"/>
      <c r="E28" s="94" t="s">
        <v>129</v>
      </c>
      <c r="F28" s="95" t="s">
        <v>148</v>
      </c>
      <c r="G28" s="95" t="s">
        <v>41</v>
      </c>
      <c r="H28" s="96"/>
      <c r="I28" s="78"/>
      <c r="J28" s="84"/>
      <c r="K28" s="71"/>
      <c r="L28" s="72" t="s">
        <v>37</v>
      </c>
      <c r="M28" s="79" t="s">
        <v>84</v>
      </c>
      <c r="N28" s="68"/>
    </row>
    <row r="29">
      <c r="A29" s="68"/>
      <c r="D29" s="71"/>
      <c r="E29" s="94" t="s">
        <v>235</v>
      </c>
      <c r="F29" s="95" t="s">
        <v>127</v>
      </c>
      <c r="G29" s="95" t="s">
        <v>42</v>
      </c>
      <c r="H29" s="96"/>
      <c r="I29" s="78"/>
      <c r="J29" s="84"/>
      <c r="K29" s="71"/>
      <c r="L29" s="72" t="s">
        <v>115</v>
      </c>
      <c r="M29" s="68"/>
      <c r="N29" s="68"/>
    </row>
    <row r="30">
      <c r="A30" s="68"/>
      <c r="B30" s="68"/>
      <c r="C30" s="68"/>
      <c r="D30" s="71"/>
      <c r="E30" s="94"/>
      <c r="F30" s="95"/>
      <c r="G30" s="95"/>
      <c r="H30" s="96"/>
      <c r="I30" s="78"/>
      <c r="J30" s="84"/>
      <c r="K30" s="71"/>
      <c r="L30" s="72" t="s">
        <v>112</v>
      </c>
      <c r="M30" s="68"/>
      <c r="N30" s="68"/>
    </row>
    <row r="31">
      <c r="A31" s="68"/>
      <c r="B31" s="68"/>
      <c r="C31" s="68"/>
      <c r="D31" s="71"/>
      <c r="E31" s="94"/>
      <c r="F31" s="95"/>
      <c r="G31" s="95"/>
      <c r="H31" s="96"/>
      <c r="I31" s="78"/>
      <c r="J31" s="84"/>
      <c r="K31" s="71"/>
      <c r="L31" s="72" t="s">
        <v>41</v>
      </c>
      <c r="M31" s="68"/>
      <c r="N31" s="68"/>
    </row>
    <row r="32">
      <c r="A32" s="68"/>
      <c r="B32" s="68"/>
      <c r="C32" s="68"/>
      <c r="D32" s="71"/>
      <c r="E32" s="94"/>
      <c r="F32" s="95"/>
      <c r="G32" s="95"/>
      <c r="H32" s="96"/>
      <c r="I32" s="78"/>
      <c r="J32" s="68"/>
      <c r="K32" s="71"/>
      <c r="L32" s="72" t="s">
        <v>42</v>
      </c>
      <c r="M32" s="68"/>
      <c r="N32" s="68"/>
    </row>
    <row r="33">
      <c r="A33" s="68"/>
      <c r="B33" s="68"/>
      <c r="C33" s="68"/>
      <c r="D33" s="71"/>
      <c r="E33" s="94"/>
      <c r="F33" s="95"/>
      <c r="G33" s="95"/>
      <c r="H33" s="96"/>
      <c r="I33" s="78"/>
      <c r="J33" s="68"/>
      <c r="K33" s="68"/>
      <c r="L33" s="68"/>
      <c r="M33" s="68"/>
      <c r="N33" s="68"/>
    </row>
    <row r="34">
      <c r="A34" s="68"/>
      <c r="B34" s="75"/>
      <c r="C34" s="68"/>
      <c r="D34" s="68"/>
      <c r="E34" s="68"/>
      <c r="F34" s="68"/>
      <c r="G34" s="68"/>
      <c r="H34" s="68"/>
      <c r="I34" s="68"/>
      <c r="J34" s="68"/>
      <c r="K34" s="68"/>
      <c r="L34" s="68"/>
      <c r="M34" s="68"/>
      <c r="N34" s="68"/>
    </row>
    <row r="35">
      <c r="A35" s="68"/>
      <c r="B35" s="75" t="s">
        <v>118</v>
      </c>
      <c r="C35" s="68"/>
      <c r="D35" s="68"/>
      <c r="E35" s="68"/>
      <c r="F35" s="68"/>
      <c r="G35" s="68"/>
      <c r="H35" s="68"/>
      <c r="I35" s="68"/>
      <c r="J35" s="68"/>
      <c r="K35" s="68"/>
      <c r="L35" s="68"/>
      <c r="M35" s="68"/>
      <c r="N35" s="68"/>
    </row>
    <row r="36">
      <c r="A36" s="68"/>
      <c r="B36" s="72" t="s">
        <v>119</v>
      </c>
      <c r="C36" s="68"/>
      <c r="D36" s="68"/>
      <c r="E36" s="68"/>
      <c r="F36" s="68"/>
      <c r="G36" s="68"/>
      <c r="H36" s="68"/>
      <c r="I36" s="68"/>
      <c r="J36" s="68"/>
      <c r="K36" s="68"/>
      <c r="L36" s="68"/>
      <c r="M36" s="68"/>
      <c r="N36" s="68"/>
    </row>
    <row r="37">
      <c r="A37" s="68"/>
      <c r="B37" s="68"/>
      <c r="C37" s="68"/>
      <c r="D37" s="68"/>
      <c r="E37" s="68"/>
      <c r="F37" s="68"/>
      <c r="G37" s="68"/>
      <c r="H37" s="68"/>
      <c r="I37" s="68"/>
      <c r="J37" s="68"/>
      <c r="K37" s="68"/>
      <c r="L37" s="68"/>
      <c r="M37" s="68"/>
      <c r="N37" s="68"/>
    </row>
    <row r="38">
      <c r="A38" s="68"/>
      <c r="B38" s="68"/>
      <c r="C38" s="68"/>
      <c r="D38" s="68"/>
      <c r="E38" s="68"/>
      <c r="F38" s="68"/>
      <c r="G38" s="68"/>
      <c r="H38" s="68"/>
      <c r="I38" s="68"/>
      <c r="J38" s="68"/>
      <c r="K38" s="68"/>
      <c r="L38" s="68"/>
      <c r="M38" s="68"/>
      <c r="N38" s="68"/>
    </row>
    <row r="39">
      <c r="A39" s="68"/>
      <c r="B39" s="68"/>
      <c r="C39" s="68"/>
      <c r="D39" s="68"/>
      <c r="E39" s="68"/>
      <c r="F39" s="68"/>
      <c r="G39" s="68"/>
      <c r="H39" s="68"/>
      <c r="I39" s="68"/>
      <c r="J39" s="68"/>
      <c r="K39" s="68"/>
      <c r="L39" s="68"/>
      <c r="M39" s="68"/>
      <c r="N39" s="68"/>
    </row>
    <row r="40">
      <c r="A40" s="68"/>
      <c r="B40" s="68"/>
      <c r="C40" s="68"/>
      <c r="D40" s="68"/>
      <c r="E40" s="68"/>
      <c r="F40" s="68"/>
      <c r="G40" s="68"/>
      <c r="H40" s="68"/>
      <c r="I40" s="68"/>
      <c r="J40" s="68"/>
      <c r="K40" s="68"/>
      <c r="L40" s="68"/>
      <c r="M40" s="68"/>
      <c r="N40" s="68"/>
    </row>
    <row r="41">
      <c r="A41" s="68"/>
      <c r="B41" s="68"/>
      <c r="C41" s="68"/>
      <c r="D41" s="68"/>
      <c r="E41" s="68"/>
      <c r="F41" s="68"/>
      <c r="G41" s="68"/>
      <c r="H41" s="68"/>
      <c r="I41" s="68"/>
      <c r="J41" s="68"/>
      <c r="K41" s="68"/>
      <c r="L41" s="68"/>
      <c r="M41" s="68"/>
      <c r="N41" s="68"/>
    </row>
    <row r="42">
      <c r="A42" s="68"/>
      <c r="B42" s="68"/>
      <c r="C42" s="68"/>
      <c r="D42" s="68"/>
      <c r="E42" s="68"/>
      <c r="F42" s="68"/>
      <c r="G42" s="68"/>
      <c r="H42" s="68"/>
      <c r="I42" s="68"/>
      <c r="J42" s="68"/>
      <c r="K42" s="68"/>
      <c r="L42" s="68"/>
      <c r="M42" s="68"/>
      <c r="N42" s="68"/>
    </row>
    <row r="43">
      <c r="A43" s="68"/>
      <c r="B43" s="68"/>
      <c r="C43" s="68"/>
      <c r="D43" s="68"/>
      <c r="E43" s="68"/>
      <c r="F43" s="68"/>
      <c r="G43" s="68"/>
      <c r="H43" s="68"/>
      <c r="I43" s="68"/>
      <c r="J43" s="68"/>
      <c r="K43" s="68"/>
      <c r="L43" s="68"/>
      <c r="M43" s="68"/>
      <c r="N43" s="68"/>
    </row>
    <row r="44">
      <c r="A44" s="68"/>
      <c r="B44" s="68"/>
      <c r="C44" s="68"/>
      <c r="D44" s="68"/>
      <c r="E44" s="68"/>
      <c r="F44" s="68"/>
      <c r="G44" s="68"/>
      <c r="H44" s="68"/>
      <c r="I44" s="68"/>
      <c r="J44" s="68"/>
      <c r="K44" s="68"/>
      <c r="L44" s="68"/>
      <c r="M44" s="68"/>
      <c r="N44" s="68"/>
    </row>
    <row r="45">
      <c r="A45" s="68"/>
      <c r="B45" s="68"/>
      <c r="C45" s="68"/>
      <c r="D45" s="68"/>
      <c r="E45" s="68"/>
      <c r="F45" s="68"/>
      <c r="G45" s="68"/>
      <c r="H45" s="68"/>
      <c r="I45" s="68"/>
      <c r="J45" s="68"/>
      <c r="K45" s="68"/>
      <c r="L45" s="68"/>
      <c r="M45" s="68"/>
      <c r="N45" s="68"/>
    </row>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8">
    <mergeCell ref="B5:F6"/>
    <mergeCell ref="E11:G11"/>
    <mergeCell ref="E13:F13"/>
    <mergeCell ref="E15:G15"/>
    <mergeCell ref="E17:F17"/>
    <mergeCell ref="E19:G19"/>
    <mergeCell ref="J19:M19"/>
    <mergeCell ref="H30:I30"/>
    <mergeCell ref="H31:I31"/>
    <mergeCell ref="H32:I32"/>
    <mergeCell ref="H33:I33"/>
    <mergeCell ref="E21:F21"/>
    <mergeCell ref="E23:G23"/>
    <mergeCell ref="E25:L25"/>
    <mergeCell ref="H27:I27"/>
    <mergeCell ref="B28:C29"/>
    <mergeCell ref="H28:I28"/>
    <mergeCell ref="H29:I29"/>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 type="list" allowBlank="1" showInputMessage="1" prompt="Clique e insira um valor de intervalo" sqref="G28:G33">
      <formula1>$L$28:$L$32</formula1>
    </dataValidation>
  </dataValidations>
  <printOptions/>
  <pageMargins bottom="0.787401575" footer="0.0" header="0.0" left="0.511811024" right="0.511811024" top="0.7874015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75"/>
  <cols>
    <col customWidth="1" min="1" max="1" width="2.25"/>
    <col customWidth="1" min="2" max="2" width="14.38"/>
    <col customWidth="1" min="3" max="3" width="7.25"/>
    <col customWidth="1" min="4" max="4" width="2.25"/>
    <col customWidth="1" min="5" max="5" width="21.63"/>
    <col customWidth="1" min="6" max="7" width="14.38"/>
    <col customWidth="1" min="8" max="9" width="2.25"/>
    <col customWidth="1" min="10" max="10" width="7.25"/>
    <col customWidth="1" min="11" max="11" width="2.25"/>
    <col customWidth="1" min="12" max="12" width="14.38"/>
    <col customWidth="1" min="13" max="13" width="3.0"/>
    <col customWidth="1" min="14" max="14" width="3.13"/>
    <col customWidth="1" min="15" max="26" width="14.38"/>
  </cols>
  <sheetData>
    <row r="1" ht="11.25" customHeight="1">
      <c r="A1" s="68"/>
      <c r="B1" s="68"/>
      <c r="C1" s="68"/>
      <c r="D1" s="68"/>
      <c r="E1" s="68"/>
      <c r="F1" s="68"/>
      <c r="G1" s="68"/>
      <c r="H1" s="68"/>
      <c r="I1" s="68"/>
      <c r="J1" s="68"/>
      <c r="K1" s="68"/>
      <c r="L1" s="68"/>
      <c r="M1" s="68"/>
      <c r="N1" s="68"/>
    </row>
    <row r="2">
      <c r="A2" s="68"/>
      <c r="B2" s="69" t="s">
        <v>72</v>
      </c>
      <c r="C2" s="68"/>
      <c r="D2" s="68"/>
      <c r="E2" s="68"/>
      <c r="F2" s="68"/>
      <c r="G2" s="68"/>
      <c r="H2" s="68"/>
      <c r="I2" s="68"/>
      <c r="J2" s="68"/>
      <c r="K2" s="68"/>
      <c r="L2" s="68"/>
      <c r="M2" s="68"/>
      <c r="N2" s="68"/>
    </row>
    <row r="3">
      <c r="A3" s="68"/>
      <c r="B3" s="70" t="s">
        <v>73</v>
      </c>
      <c r="C3" s="68"/>
      <c r="D3" s="68"/>
      <c r="E3" s="68"/>
      <c r="F3" s="68"/>
      <c r="G3" s="68"/>
      <c r="N3" s="68"/>
    </row>
    <row r="4">
      <c r="A4" s="68"/>
      <c r="B4" s="67" t="s">
        <v>260</v>
      </c>
      <c r="C4" s="68"/>
      <c r="D4" s="68"/>
      <c r="E4" s="68"/>
      <c r="F4" s="68"/>
      <c r="G4" s="68"/>
      <c r="H4" s="68"/>
      <c r="I4" s="71"/>
      <c r="J4" s="72" t="s">
        <v>75</v>
      </c>
      <c r="K4" s="68"/>
      <c r="L4" s="68"/>
      <c r="M4" s="73" t="b">
        <v>1</v>
      </c>
      <c r="N4" s="68"/>
    </row>
    <row r="5" ht="23.25" customHeight="1">
      <c r="A5" s="68"/>
      <c r="B5" s="74" t="s">
        <v>76</v>
      </c>
      <c r="G5" s="68"/>
      <c r="H5" s="68"/>
      <c r="I5" s="71"/>
      <c r="J5" s="72" t="s">
        <v>77</v>
      </c>
      <c r="K5" s="68"/>
      <c r="L5" s="68"/>
      <c r="M5" s="73" t="b">
        <v>0</v>
      </c>
      <c r="N5" s="68"/>
    </row>
    <row r="6" ht="23.25" customHeight="1">
      <c r="A6" s="68"/>
      <c r="G6" s="68"/>
      <c r="H6" s="68"/>
      <c r="I6" s="71"/>
      <c r="J6" s="72" t="s">
        <v>78</v>
      </c>
      <c r="K6" s="68"/>
      <c r="L6" s="68"/>
      <c r="M6" s="73" t="b">
        <v>0</v>
      </c>
      <c r="N6" s="68"/>
    </row>
    <row r="7">
      <c r="A7" s="68"/>
      <c r="B7" s="68"/>
      <c r="C7" s="68"/>
      <c r="D7" s="68"/>
      <c r="E7" s="68"/>
      <c r="F7" s="68"/>
      <c r="G7" s="68"/>
      <c r="H7" s="68"/>
      <c r="I7" s="68"/>
      <c r="J7" s="72"/>
      <c r="K7" s="68"/>
      <c r="L7" s="68"/>
      <c r="M7" s="68"/>
      <c r="N7" s="68"/>
    </row>
    <row r="8">
      <c r="A8" s="68"/>
      <c r="B8" s="69" t="s">
        <v>79</v>
      </c>
      <c r="C8" s="68"/>
      <c r="D8" s="68"/>
      <c r="E8" s="68"/>
      <c r="F8" s="68"/>
      <c r="G8" s="68"/>
      <c r="H8" s="68"/>
      <c r="N8" s="68"/>
    </row>
    <row r="9">
      <c r="A9" s="68"/>
      <c r="B9" s="70" t="s">
        <v>80</v>
      </c>
      <c r="C9" s="68"/>
      <c r="D9" s="68"/>
      <c r="E9" s="68"/>
      <c r="F9" s="68"/>
      <c r="G9" s="68"/>
      <c r="H9" s="68"/>
      <c r="I9" s="68"/>
      <c r="J9" s="68"/>
      <c r="K9" s="68"/>
      <c r="L9" s="68"/>
      <c r="M9" s="68"/>
      <c r="N9" s="68"/>
    </row>
    <row r="10">
      <c r="A10" s="68"/>
      <c r="B10" s="68"/>
      <c r="C10" s="68"/>
      <c r="D10" s="68"/>
      <c r="E10" s="68"/>
      <c r="F10" s="68"/>
      <c r="G10" s="68"/>
      <c r="H10" s="68"/>
      <c r="I10" s="68"/>
      <c r="J10" s="68"/>
      <c r="K10" s="68"/>
      <c r="L10" s="68"/>
      <c r="M10" s="68"/>
      <c r="N10" s="68"/>
    </row>
    <row r="11" ht="13.5" customHeight="1">
      <c r="A11" s="68"/>
      <c r="B11" s="75" t="s">
        <v>81</v>
      </c>
      <c r="C11" s="68"/>
      <c r="D11" s="71"/>
      <c r="E11" s="76" t="s">
        <v>261</v>
      </c>
      <c r="F11" s="77"/>
      <c r="G11" s="78"/>
      <c r="H11" s="68"/>
      <c r="I11" s="68"/>
      <c r="J11" s="68"/>
      <c r="K11" s="68"/>
      <c r="L11" s="68"/>
      <c r="M11" s="68"/>
      <c r="N11" s="68"/>
    </row>
    <row r="12">
      <c r="A12" s="68"/>
      <c r="B12" s="68"/>
      <c r="C12" s="68"/>
      <c r="D12" s="68"/>
      <c r="E12" s="68"/>
      <c r="F12" s="68"/>
      <c r="G12" s="68"/>
      <c r="H12" s="68"/>
      <c r="I12" s="71"/>
      <c r="J12" s="72" t="s">
        <v>83</v>
      </c>
      <c r="K12" s="72"/>
      <c r="L12" s="72"/>
      <c r="M12" s="79" t="s">
        <v>84</v>
      </c>
      <c r="N12" s="68"/>
    </row>
    <row r="13">
      <c r="A13" s="68"/>
      <c r="B13" s="75" t="s">
        <v>85</v>
      </c>
      <c r="C13" s="68"/>
      <c r="D13" s="71"/>
      <c r="E13" s="76" t="s">
        <v>87</v>
      </c>
      <c r="F13" s="78"/>
      <c r="G13" s="80"/>
      <c r="H13" s="68"/>
      <c r="I13" s="71"/>
      <c r="J13" s="72" t="s">
        <v>87</v>
      </c>
      <c r="K13" s="72"/>
      <c r="L13" s="72"/>
      <c r="M13" s="79" t="s">
        <v>84</v>
      </c>
      <c r="N13" s="68"/>
    </row>
    <row r="14">
      <c r="A14" s="68"/>
      <c r="B14" s="68"/>
      <c r="C14" s="68"/>
      <c r="D14" s="68"/>
      <c r="E14" s="68"/>
      <c r="F14" s="68"/>
      <c r="G14" s="68"/>
      <c r="H14" s="68"/>
      <c r="I14" s="71"/>
      <c r="J14" s="72" t="s">
        <v>86</v>
      </c>
      <c r="K14" s="72"/>
      <c r="L14" s="72"/>
      <c r="M14" s="79" t="s">
        <v>84</v>
      </c>
      <c r="N14" s="68"/>
    </row>
    <row r="15" ht="30.75" customHeight="1">
      <c r="A15" s="68"/>
      <c r="B15" s="75" t="s">
        <v>88</v>
      </c>
      <c r="C15" s="68"/>
      <c r="D15" s="71"/>
      <c r="E15" s="81" t="s">
        <v>262</v>
      </c>
      <c r="F15" s="77"/>
      <c r="G15" s="78"/>
      <c r="H15" s="82"/>
      <c r="I15" s="82"/>
      <c r="J15" s="83"/>
      <c r="K15" s="83"/>
      <c r="L15" s="83"/>
      <c r="M15" s="83"/>
      <c r="N15" s="68"/>
    </row>
    <row r="16">
      <c r="A16" s="68"/>
      <c r="B16" s="68"/>
      <c r="C16" s="68"/>
      <c r="D16" s="68"/>
      <c r="E16" s="68"/>
      <c r="F16" s="68"/>
      <c r="G16" s="68"/>
      <c r="H16" s="68"/>
      <c r="I16" s="71"/>
      <c r="J16" s="72" t="s">
        <v>90</v>
      </c>
      <c r="K16" s="72"/>
      <c r="L16" s="72"/>
      <c r="M16" s="79" t="s">
        <v>84</v>
      </c>
      <c r="N16" s="68"/>
    </row>
    <row r="17">
      <c r="A17" s="68"/>
      <c r="B17" s="75" t="s">
        <v>91</v>
      </c>
      <c r="C17" s="68"/>
      <c r="D17" s="71"/>
      <c r="E17" s="76" t="s">
        <v>90</v>
      </c>
      <c r="F17" s="78"/>
      <c r="G17" s="80"/>
      <c r="H17" s="68"/>
      <c r="I17" s="71"/>
      <c r="J17" s="72" t="s">
        <v>92</v>
      </c>
      <c r="K17" s="72"/>
      <c r="L17" s="72"/>
      <c r="M17" s="79" t="s">
        <v>84</v>
      </c>
      <c r="N17" s="68"/>
    </row>
    <row r="18">
      <c r="A18" s="68"/>
      <c r="B18" s="84"/>
      <c r="C18" s="85"/>
      <c r="D18" s="85"/>
      <c r="E18" s="85"/>
      <c r="F18" s="68"/>
      <c r="G18" s="68"/>
      <c r="H18" s="68"/>
      <c r="I18" s="71"/>
      <c r="J18" s="86" t="s">
        <v>93</v>
      </c>
      <c r="K18" s="86"/>
      <c r="L18" s="86"/>
      <c r="M18" s="87" t="s">
        <v>84</v>
      </c>
      <c r="N18" s="68"/>
    </row>
    <row r="19" ht="29.25" customHeight="1">
      <c r="A19" s="68"/>
      <c r="B19" s="75" t="s">
        <v>94</v>
      </c>
      <c r="C19" s="68"/>
      <c r="D19" s="71"/>
      <c r="E19" s="81" t="s">
        <v>263</v>
      </c>
      <c r="F19" s="77"/>
      <c r="G19" s="78"/>
      <c r="H19" s="68"/>
      <c r="I19" s="68"/>
      <c r="J19" s="88" t="s">
        <v>96</v>
      </c>
      <c r="N19" s="68"/>
    </row>
    <row r="20">
      <c r="A20" s="68"/>
      <c r="B20" s="68"/>
      <c r="C20" s="68"/>
      <c r="D20" s="68"/>
      <c r="E20" s="68"/>
      <c r="F20" s="68"/>
      <c r="G20" s="68"/>
      <c r="H20" s="68"/>
      <c r="I20" s="71"/>
      <c r="J20" s="72" t="s">
        <v>97</v>
      </c>
      <c r="K20" s="72"/>
      <c r="L20" s="72"/>
      <c r="M20" s="79" t="s">
        <v>84</v>
      </c>
      <c r="N20" s="68"/>
    </row>
    <row r="21">
      <c r="A21" s="68"/>
      <c r="B21" s="75" t="s">
        <v>98</v>
      </c>
      <c r="C21" s="68"/>
      <c r="D21" s="71"/>
      <c r="E21" s="76" t="s">
        <v>97</v>
      </c>
      <c r="F21" s="78"/>
      <c r="G21" s="80"/>
      <c r="H21" s="68"/>
      <c r="I21" s="71"/>
      <c r="J21" s="72" t="s">
        <v>99</v>
      </c>
      <c r="K21" s="72"/>
      <c r="L21" s="72"/>
      <c r="M21" s="79" t="s">
        <v>84</v>
      </c>
      <c r="N21" s="68"/>
    </row>
    <row r="22">
      <c r="A22" s="68"/>
      <c r="B22" s="68"/>
      <c r="C22" s="68"/>
      <c r="D22" s="68"/>
      <c r="E22" s="68"/>
      <c r="F22" s="68"/>
      <c r="G22" s="68"/>
      <c r="H22" s="68"/>
      <c r="I22" s="71"/>
      <c r="J22" s="72" t="s">
        <v>100</v>
      </c>
      <c r="K22" s="72"/>
      <c r="L22" s="72"/>
      <c r="M22" s="79" t="s">
        <v>84</v>
      </c>
      <c r="N22" s="68"/>
    </row>
    <row r="23" ht="39.75" customHeight="1">
      <c r="A23" s="68"/>
      <c r="B23" s="75" t="s">
        <v>101</v>
      </c>
      <c r="C23" s="68"/>
      <c r="D23" s="71"/>
      <c r="E23" s="81" t="s">
        <v>264</v>
      </c>
      <c r="F23" s="77"/>
      <c r="G23" s="78"/>
      <c r="H23" s="68"/>
      <c r="I23" s="68"/>
      <c r="J23" s="68"/>
      <c r="K23" s="68"/>
      <c r="L23" s="68"/>
      <c r="M23" s="68"/>
      <c r="N23" s="68"/>
    </row>
    <row r="24">
      <c r="A24" s="68"/>
      <c r="B24" s="68"/>
      <c r="C24" s="68"/>
      <c r="D24" s="68"/>
      <c r="E24" s="68"/>
      <c r="F24" s="68"/>
      <c r="G24" s="68"/>
      <c r="H24" s="68"/>
      <c r="I24" s="68"/>
      <c r="J24" s="68"/>
      <c r="K24" s="68"/>
      <c r="L24" s="68"/>
      <c r="M24" s="68"/>
      <c r="N24" s="68"/>
    </row>
    <row r="25" ht="41.25" customHeight="1">
      <c r="A25" s="68"/>
      <c r="B25" s="75" t="s">
        <v>103</v>
      </c>
      <c r="C25" s="68"/>
      <c r="D25" s="71"/>
      <c r="E25" s="81" t="s">
        <v>265</v>
      </c>
      <c r="F25" s="77"/>
      <c r="G25" s="77"/>
      <c r="H25" s="77"/>
      <c r="I25" s="77"/>
      <c r="J25" s="77"/>
      <c r="K25" s="77"/>
      <c r="L25" s="78"/>
      <c r="M25" s="68"/>
      <c r="N25" s="68"/>
    </row>
    <row r="26">
      <c r="A26" s="68"/>
      <c r="B26" s="68"/>
      <c r="C26" s="68"/>
      <c r="D26" s="68"/>
      <c r="E26" s="68"/>
      <c r="F26" s="68"/>
      <c r="G26" s="68"/>
      <c r="H26" s="68"/>
      <c r="I26" s="68"/>
      <c r="J26" s="68"/>
      <c r="K26" s="68"/>
      <c r="L26" s="68"/>
      <c r="M26" s="68"/>
      <c r="N26" s="68"/>
    </row>
    <row r="27">
      <c r="A27" s="68"/>
      <c r="B27" s="75" t="s">
        <v>105</v>
      </c>
      <c r="C27" s="68"/>
      <c r="D27" s="71"/>
      <c r="E27" s="89" t="s">
        <v>106</v>
      </c>
      <c r="F27" s="90" t="s">
        <v>107</v>
      </c>
      <c r="G27" s="89" t="s">
        <v>108</v>
      </c>
      <c r="H27" s="91" t="s">
        <v>109</v>
      </c>
      <c r="I27" s="92"/>
      <c r="J27" s="84"/>
      <c r="K27" s="84"/>
      <c r="L27" s="80"/>
      <c r="M27" s="68"/>
      <c r="N27" s="68"/>
    </row>
    <row r="28">
      <c r="A28" s="68"/>
      <c r="B28" s="93" t="s">
        <v>71</v>
      </c>
      <c r="D28" s="71"/>
      <c r="E28" s="94" t="s">
        <v>144</v>
      </c>
      <c r="F28" s="95" t="s">
        <v>204</v>
      </c>
      <c r="G28" s="95" t="s">
        <v>41</v>
      </c>
      <c r="H28" s="96"/>
      <c r="I28" s="78"/>
      <c r="J28" s="84"/>
      <c r="K28" s="71"/>
      <c r="L28" s="72" t="s">
        <v>37</v>
      </c>
      <c r="M28" s="79" t="s">
        <v>84</v>
      </c>
      <c r="N28" s="68"/>
    </row>
    <row r="29">
      <c r="A29" s="68"/>
      <c r="D29" s="71"/>
      <c r="E29" s="94" t="s">
        <v>205</v>
      </c>
      <c r="F29" s="95" t="s">
        <v>206</v>
      </c>
      <c r="G29" s="95" t="s">
        <v>41</v>
      </c>
      <c r="H29" s="96"/>
      <c r="I29" s="78"/>
      <c r="J29" s="84"/>
      <c r="K29" s="71"/>
      <c r="L29" s="72" t="s">
        <v>115</v>
      </c>
      <c r="M29" s="68"/>
      <c r="N29" s="68"/>
    </row>
    <row r="30">
      <c r="A30" s="68"/>
      <c r="B30" s="68"/>
      <c r="C30" s="68"/>
      <c r="D30" s="71"/>
      <c r="E30" s="94" t="s">
        <v>113</v>
      </c>
      <c r="F30" s="95" t="s">
        <v>114</v>
      </c>
      <c r="G30" s="95" t="s">
        <v>112</v>
      </c>
      <c r="H30" s="96"/>
      <c r="I30" s="78"/>
      <c r="J30" s="84"/>
      <c r="K30" s="71"/>
      <c r="L30" s="72" t="s">
        <v>112</v>
      </c>
      <c r="M30" s="68"/>
      <c r="N30" s="68"/>
    </row>
    <row r="31">
      <c r="A31" s="68"/>
      <c r="B31" s="68"/>
      <c r="C31" s="68"/>
      <c r="D31" s="71"/>
      <c r="E31" s="94"/>
      <c r="F31" s="95"/>
      <c r="G31" s="95"/>
      <c r="H31" s="96"/>
      <c r="I31" s="78"/>
      <c r="J31" s="84"/>
      <c r="K31" s="71"/>
      <c r="L31" s="72" t="s">
        <v>41</v>
      </c>
      <c r="M31" s="68"/>
      <c r="N31" s="68"/>
    </row>
    <row r="32">
      <c r="A32" s="68"/>
      <c r="B32" s="68"/>
      <c r="C32" s="68"/>
      <c r="D32" s="71"/>
      <c r="E32" s="94"/>
      <c r="F32" s="95"/>
      <c r="G32" s="95"/>
      <c r="H32" s="96"/>
      <c r="I32" s="78"/>
      <c r="J32" s="68"/>
      <c r="K32" s="71"/>
      <c r="L32" s="72" t="s">
        <v>42</v>
      </c>
      <c r="M32" s="68"/>
      <c r="N32" s="68"/>
    </row>
    <row r="33">
      <c r="A33" s="68"/>
      <c r="B33" s="68"/>
      <c r="C33" s="68"/>
      <c r="D33" s="71"/>
      <c r="E33" s="94"/>
      <c r="F33" s="95"/>
      <c r="G33" s="95"/>
      <c r="H33" s="96"/>
      <c r="I33" s="78"/>
      <c r="J33" s="68"/>
      <c r="K33" s="68"/>
      <c r="L33" s="68"/>
      <c r="M33" s="68"/>
      <c r="N33" s="68"/>
    </row>
    <row r="34">
      <c r="A34" s="68"/>
      <c r="B34" s="75"/>
      <c r="C34" s="68"/>
      <c r="D34" s="68"/>
      <c r="E34" s="68"/>
      <c r="F34" s="68"/>
      <c r="G34" s="68"/>
      <c r="H34" s="68"/>
      <c r="I34" s="68"/>
      <c r="J34" s="68"/>
      <c r="K34" s="68"/>
      <c r="L34" s="68"/>
      <c r="M34" s="68"/>
      <c r="N34" s="68"/>
    </row>
    <row r="35">
      <c r="A35" s="68"/>
      <c r="B35" s="75" t="s">
        <v>118</v>
      </c>
      <c r="C35" s="68"/>
      <c r="D35" s="68"/>
      <c r="E35" s="68"/>
      <c r="F35" s="68"/>
      <c r="G35" s="68"/>
      <c r="H35" s="68"/>
      <c r="I35" s="68"/>
      <c r="J35" s="68"/>
      <c r="K35" s="68"/>
      <c r="L35" s="68"/>
      <c r="M35" s="68"/>
      <c r="N35" s="68"/>
    </row>
    <row r="36">
      <c r="A36" s="68"/>
      <c r="B36" s="72" t="s">
        <v>119</v>
      </c>
      <c r="C36" s="68"/>
      <c r="D36" s="68"/>
      <c r="E36" s="68"/>
      <c r="F36" s="68"/>
      <c r="G36" s="68"/>
      <c r="H36" s="68"/>
      <c r="I36" s="68"/>
      <c r="J36" s="68"/>
      <c r="K36" s="68"/>
      <c r="L36" s="68"/>
      <c r="M36" s="68"/>
      <c r="N36" s="68"/>
    </row>
    <row r="37">
      <c r="A37" s="68"/>
      <c r="B37" s="68"/>
      <c r="C37" s="68"/>
      <c r="D37" s="68"/>
      <c r="E37" s="68"/>
      <c r="F37" s="68"/>
      <c r="G37" s="68"/>
      <c r="H37" s="68"/>
      <c r="I37" s="68"/>
      <c r="J37" s="68"/>
      <c r="K37" s="68"/>
      <c r="L37" s="68"/>
      <c r="M37" s="68"/>
      <c r="N37" s="68"/>
    </row>
    <row r="38">
      <c r="A38" s="68"/>
      <c r="B38" s="68"/>
      <c r="C38" s="68"/>
      <c r="D38" s="68"/>
      <c r="E38" s="68"/>
      <c r="F38" s="68"/>
      <c r="G38" s="68"/>
      <c r="H38" s="68"/>
      <c r="I38" s="68"/>
      <c r="J38" s="68"/>
      <c r="K38" s="68"/>
      <c r="L38" s="68"/>
      <c r="M38" s="68"/>
      <c r="N38" s="68"/>
    </row>
    <row r="39">
      <c r="A39" s="68"/>
      <c r="B39" s="68"/>
      <c r="C39" s="68"/>
      <c r="D39" s="68"/>
      <c r="E39" s="68"/>
      <c r="F39" s="68"/>
      <c r="G39" s="68"/>
      <c r="H39" s="68"/>
      <c r="I39" s="68"/>
      <c r="J39" s="68"/>
      <c r="K39" s="68"/>
      <c r="L39" s="68"/>
      <c r="M39" s="68"/>
      <c r="N39" s="68"/>
    </row>
    <row r="40">
      <c r="A40" s="68"/>
      <c r="B40" s="68"/>
      <c r="C40" s="68"/>
      <c r="D40" s="68"/>
      <c r="E40" s="68"/>
      <c r="F40" s="68"/>
      <c r="G40" s="68"/>
      <c r="H40" s="68"/>
      <c r="I40" s="68"/>
      <c r="J40" s="68"/>
      <c r="K40" s="68"/>
      <c r="L40" s="68"/>
      <c r="M40" s="68"/>
      <c r="N40" s="68"/>
    </row>
    <row r="41">
      <c r="A41" s="68"/>
      <c r="B41" s="68"/>
      <c r="C41" s="68"/>
      <c r="D41" s="68"/>
      <c r="E41" s="68"/>
      <c r="F41" s="68"/>
      <c r="G41" s="68"/>
      <c r="H41" s="68"/>
      <c r="I41" s="68"/>
      <c r="J41" s="68"/>
      <c r="K41" s="68"/>
      <c r="L41" s="68"/>
      <c r="M41" s="68"/>
      <c r="N41" s="68"/>
    </row>
    <row r="42">
      <c r="A42" s="68"/>
      <c r="B42" s="68"/>
      <c r="C42" s="68"/>
      <c r="D42" s="68"/>
      <c r="E42" s="68"/>
      <c r="F42" s="68"/>
      <c r="G42" s="68"/>
      <c r="H42" s="68"/>
      <c r="I42" s="68"/>
      <c r="J42" s="68"/>
      <c r="K42" s="68"/>
      <c r="L42" s="68"/>
      <c r="M42" s="68"/>
      <c r="N42" s="68"/>
    </row>
    <row r="43">
      <c r="A43" s="68"/>
      <c r="B43" s="68"/>
      <c r="C43" s="68"/>
      <c r="D43" s="68"/>
      <c r="E43" s="68"/>
      <c r="F43" s="68"/>
      <c r="G43" s="68"/>
      <c r="H43" s="68"/>
      <c r="I43" s="68"/>
      <c r="J43" s="68"/>
      <c r="K43" s="68"/>
      <c r="L43" s="68"/>
      <c r="M43" s="68"/>
      <c r="N43" s="68"/>
    </row>
    <row r="44">
      <c r="A44" s="68"/>
      <c r="B44" s="68"/>
      <c r="C44" s="68"/>
      <c r="D44" s="68"/>
      <c r="E44" s="68"/>
      <c r="F44" s="68"/>
      <c r="G44" s="68"/>
      <c r="H44" s="68"/>
      <c r="I44" s="68"/>
      <c r="J44" s="68"/>
      <c r="K44" s="68"/>
      <c r="L44" s="68"/>
      <c r="M44" s="68"/>
      <c r="N44" s="68"/>
    </row>
    <row r="45">
      <c r="A45" s="68"/>
      <c r="B45" s="68"/>
      <c r="C45" s="68"/>
      <c r="D45" s="68"/>
      <c r="E45" s="68"/>
      <c r="F45" s="68"/>
      <c r="G45" s="68"/>
      <c r="H45" s="68"/>
      <c r="I45" s="68"/>
      <c r="J45" s="68"/>
      <c r="K45" s="68"/>
      <c r="L45" s="68"/>
      <c r="M45" s="68"/>
      <c r="N45" s="68"/>
    </row>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8">
    <mergeCell ref="B5:F6"/>
    <mergeCell ref="E11:G11"/>
    <mergeCell ref="E13:F13"/>
    <mergeCell ref="E15:G15"/>
    <mergeCell ref="E17:F17"/>
    <mergeCell ref="E19:G19"/>
    <mergeCell ref="J19:M19"/>
    <mergeCell ref="H30:I30"/>
    <mergeCell ref="H31:I31"/>
    <mergeCell ref="H32:I32"/>
    <mergeCell ref="H33:I33"/>
    <mergeCell ref="E21:F21"/>
    <mergeCell ref="E23:G23"/>
    <mergeCell ref="E25:L25"/>
    <mergeCell ref="H27:I27"/>
    <mergeCell ref="B28:C29"/>
    <mergeCell ref="H28:I28"/>
    <mergeCell ref="H29:I29"/>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 type="list" allowBlank="1" showInputMessage="1" prompt="Clique e insira um valor de intervalo" sqref="G28:G33">
      <formula1>$L$28:$L$32</formula1>
    </dataValidation>
  </dataValidations>
  <printOptions/>
  <pageMargins bottom="0.787401575" footer="0.0" header="0.0" left="0.511811024" right="0.511811024" top="0.7874015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sheetPr>
  <sheetViews>
    <sheetView showGridLines="0" workbookViewId="0"/>
  </sheetViews>
  <sheetFormatPr customHeight="1" defaultColWidth="12.63" defaultRowHeight="15.75"/>
  <cols>
    <col customWidth="1" min="1" max="1" width="2.25"/>
    <col customWidth="1" min="2" max="2" width="14.38"/>
    <col customWidth="1" min="3" max="3" width="7.25"/>
    <col customWidth="1" min="4" max="4" width="2.25"/>
    <col customWidth="1" min="5" max="5" width="21.63"/>
    <col customWidth="1" min="6" max="7" width="14.38"/>
    <col customWidth="1" min="8" max="9" width="2.25"/>
    <col customWidth="1" min="10" max="10" width="7.25"/>
    <col customWidth="1" min="11" max="11" width="2.25"/>
    <col customWidth="1" min="12" max="12" width="14.38"/>
    <col customWidth="1" min="13" max="13" width="3.0"/>
    <col customWidth="1" min="14" max="14" width="3.13"/>
    <col customWidth="1" min="15" max="26" width="14.38"/>
  </cols>
  <sheetData>
    <row r="1" ht="11.25" customHeight="1">
      <c r="A1" s="68"/>
      <c r="B1" s="68"/>
      <c r="C1" s="68"/>
      <c r="D1" s="68"/>
      <c r="E1" s="68"/>
      <c r="F1" s="68"/>
      <c r="G1" s="68"/>
      <c r="H1" s="68"/>
      <c r="I1" s="68"/>
      <c r="J1" s="68"/>
      <c r="K1" s="68"/>
      <c r="L1" s="68"/>
      <c r="M1" s="68"/>
      <c r="N1" s="68"/>
    </row>
    <row r="2">
      <c r="A2" s="68"/>
      <c r="B2" s="69" t="s">
        <v>72</v>
      </c>
      <c r="C2" s="68"/>
      <c r="D2" s="68"/>
      <c r="E2" s="68"/>
      <c r="F2" s="68"/>
      <c r="G2" s="68"/>
      <c r="H2" s="68"/>
      <c r="I2" s="68"/>
      <c r="J2" s="68"/>
      <c r="K2" s="68"/>
      <c r="L2" s="68"/>
      <c r="M2" s="68"/>
      <c r="N2" s="68"/>
    </row>
    <row r="3">
      <c r="A3" s="68"/>
      <c r="B3" s="70" t="s">
        <v>73</v>
      </c>
      <c r="C3" s="68"/>
      <c r="D3" s="68"/>
      <c r="E3" s="68"/>
      <c r="F3" s="68"/>
      <c r="G3" s="68"/>
      <c r="N3" s="68"/>
    </row>
    <row r="4">
      <c r="A4" s="68"/>
      <c r="B4" s="67" t="s">
        <v>266</v>
      </c>
      <c r="C4" s="68"/>
      <c r="D4" s="68"/>
      <c r="E4" s="68"/>
      <c r="F4" s="68"/>
      <c r="G4" s="68"/>
      <c r="H4" s="68"/>
      <c r="I4" s="71"/>
      <c r="J4" s="72" t="s">
        <v>75</v>
      </c>
      <c r="K4" s="68"/>
      <c r="L4" s="68"/>
      <c r="M4" s="73" t="b">
        <v>0</v>
      </c>
      <c r="N4" s="68"/>
    </row>
    <row r="5" ht="23.25" customHeight="1">
      <c r="A5" s="68"/>
      <c r="B5" s="74" t="s">
        <v>76</v>
      </c>
      <c r="G5" s="68"/>
      <c r="H5" s="68"/>
      <c r="I5" s="71"/>
      <c r="J5" s="72" t="s">
        <v>77</v>
      </c>
      <c r="K5" s="68"/>
      <c r="L5" s="68"/>
      <c r="M5" s="73" t="b">
        <v>0</v>
      </c>
      <c r="N5" s="68"/>
    </row>
    <row r="6" ht="23.25" customHeight="1">
      <c r="A6" s="68"/>
      <c r="G6" s="68"/>
      <c r="H6" s="68"/>
      <c r="I6" s="71"/>
      <c r="J6" s="72" t="s">
        <v>78</v>
      </c>
      <c r="K6" s="68"/>
      <c r="L6" s="68"/>
      <c r="M6" s="73" t="b">
        <v>0</v>
      </c>
      <c r="N6" s="68"/>
    </row>
    <row r="7">
      <c r="A7" s="68"/>
      <c r="B7" s="68"/>
      <c r="C7" s="68"/>
      <c r="D7" s="68"/>
      <c r="E7" s="68"/>
      <c r="F7" s="68"/>
      <c r="G7" s="68"/>
      <c r="H7" s="68"/>
      <c r="I7" s="68"/>
      <c r="J7" s="72"/>
      <c r="K7" s="68"/>
      <c r="L7" s="68"/>
      <c r="M7" s="68"/>
      <c r="N7" s="68"/>
    </row>
    <row r="8">
      <c r="A8" s="68"/>
      <c r="B8" s="69" t="s">
        <v>79</v>
      </c>
      <c r="C8" s="68"/>
      <c r="D8" s="68"/>
      <c r="E8" s="68"/>
      <c r="F8" s="68"/>
      <c r="G8" s="68"/>
      <c r="H8" s="68"/>
      <c r="N8" s="68"/>
    </row>
    <row r="9">
      <c r="A9" s="68"/>
      <c r="B9" s="70" t="s">
        <v>80</v>
      </c>
      <c r="C9" s="68"/>
      <c r="D9" s="68"/>
      <c r="E9" s="68"/>
      <c r="F9" s="68"/>
      <c r="G9" s="68"/>
      <c r="H9" s="68"/>
      <c r="I9" s="68"/>
      <c r="J9" s="68"/>
      <c r="K9" s="68"/>
      <c r="L9" s="68"/>
      <c r="M9" s="68"/>
      <c r="N9" s="68"/>
    </row>
    <row r="10">
      <c r="A10" s="68"/>
      <c r="B10" s="68"/>
      <c r="C10" s="68"/>
      <c r="D10" s="68"/>
      <c r="E10" s="68"/>
      <c r="F10" s="68"/>
      <c r="G10" s="68"/>
      <c r="H10" s="68"/>
      <c r="I10" s="68"/>
      <c r="J10" s="68"/>
      <c r="K10" s="68"/>
      <c r="L10" s="68"/>
      <c r="M10" s="68"/>
      <c r="N10" s="68"/>
    </row>
    <row r="11" ht="13.5" customHeight="1">
      <c r="A11" s="68"/>
      <c r="B11" s="75" t="s">
        <v>81</v>
      </c>
      <c r="C11" s="68"/>
      <c r="D11" s="71"/>
      <c r="E11" s="76" t="s">
        <v>267</v>
      </c>
      <c r="F11" s="77"/>
      <c r="G11" s="78"/>
      <c r="H11" s="68"/>
      <c r="I11" s="68"/>
      <c r="J11" s="68"/>
      <c r="K11" s="68"/>
      <c r="L11" s="68"/>
      <c r="M11" s="68"/>
      <c r="N11" s="68"/>
    </row>
    <row r="12">
      <c r="A12" s="68"/>
      <c r="B12" s="68"/>
      <c r="C12" s="68"/>
      <c r="D12" s="68"/>
      <c r="E12" s="68"/>
      <c r="F12" s="68"/>
      <c r="G12" s="68"/>
      <c r="H12" s="68"/>
      <c r="I12" s="71"/>
      <c r="J12" s="72" t="s">
        <v>83</v>
      </c>
      <c r="K12" s="72"/>
      <c r="L12" s="72"/>
      <c r="M12" s="79" t="s">
        <v>84</v>
      </c>
      <c r="N12" s="68"/>
    </row>
    <row r="13">
      <c r="A13" s="68"/>
      <c r="B13" s="75" t="s">
        <v>85</v>
      </c>
      <c r="C13" s="68"/>
      <c r="D13" s="71"/>
      <c r="E13" s="76" t="s">
        <v>86</v>
      </c>
      <c r="F13" s="78"/>
      <c r="G13" s="80"/>
      <c r="H13" s="68"/>
      <c r="I13" s="71"/>
      <c r="J13" s="72" t="s">
        <v>87</v>
      </c>
      <c r="K13" s="72"/>
      <c r="L13" s="72"/>
      <c r="M13" s="79" t="s">
        <v>84</v>
      </c>
      <c r="N13" s="68"/>
    </row>
    <row r="14">
      <c r="A14" s="68"/>
      <c r="B14" s="68"/>
      <c r="C14" s="68"/>
      <c r="D14" s="68"/>
      <c r="E14" s="68"/>
      <c r="F14" s="68"/>
      <c r="G14" s="68"/>
      <c r="H14" s="68"/>
      <c r="I14" s="71"/>
      <c r="J14" s="72" t="s">
        <v>86</v>
      </c>
      <c r="K14" s="72"/>
      <c r="L14" s="72"/>
      <c r="M14" s="79" t="s">
        <v>84</v>
      </c>
      <c r="N14" s="68"/>
    </row>
    <row r="15" ht="52.5" customHeight="1">
      <c r="A15" s="68"/>
      <c r="B15" s="75" t="s">
        <v>88</v>
      </c>
      <c r="C15" s="68"/>
      <c r="D15" s="71"/>
      <c r="E15" s="76" t="s">
        <v>268</v>
      </c>
      <c r="F15" s="77"/>
      <c r="G15" s="78"/>
      <c r="H15" s="82"/>
      <c r="I15" s="82"/>
      <c r="J15" s="83"/>
      <c r="K15" s="83"/>
      <c r="L15" s="83"/>
      <c r="M15" s="83"/>
      <c r="N15" s="68"/>
    </row>
    <row r="16">
      <c r="A16" s="68"/>
      <c r="B16" s="68"/>
      <c r="C16" s="68"/>
      <c r="D16" s="68"/>
      <c r="E16" s="68"/>
      <c r="F16" s="68"/>
      <c r="G16" s="68"/>
      <c r="H16" s="68"/>
      <c r="I16" s="71"/>
      <c r="J16" s="72" t="s">
        <v>90</v>
      </c>
      <c r="K16" s="72"/>
      <c r="L16" s="72"/>
      <c r="M16" s="79" t="s">
        <v>84</v>
      </c>
      <c r="N16" s="68"/>
    </row>
    <row r="17">
      <c r="A17" s="68"/>
      <c r="B17" s="75" t="s">
        <v>91</v>
      </c>
      <c r="C17" s="68"/>
      <c r="D17" s="71"/>
      <c r="E17" s="76" t="s">
        <v>90</v>
      </c>
      <c r="F17" s="78"/>
      <c r="G17" s="80"/>
      <c r="H17" s="68"/>
      <c r="I17" s="71"/>
      <c r="J17" s="72" t="s">
        <v>92</v>
      </c>
      <c r="K17" s="72"/>
      <c r="L17" s="72"/>
      <c r="M17" s="79" t="s">
        <v>84</v>
      </c>
      <c r="N17" s="68"/>
    </row>
    <row r="18">
      <c r="A18" s="68"/>
      <c r="B18" s="84"/>
      <c r="C18" s="85"/>
      <c r="D18" s="85"/>
      <c r="E18" s="85"/>
      <c r="F18" s="68"/>
      <c r="G18" s="68"/>
      <c r="H18" s="68"/>
      <c r="I18" s="71"/>
      <c r="J18" s="86" t="s">
        <v>93</v>
      </c>
      <c r="K18" s="86"/>
      <c r="L18" s="86"/>
      <c r="M18" s="87" t="s">
        <v>84</v>
      </c>
      <c r="N18" s="68"/>
    </row>
    <row r="19" ht="29.25" customHeight="1">
      <c r="A19" s="68"/>
      <c r="B19" s="75" t="s">
        <v>94</v>
      </c>
      <c r="C19" s="68"/>
      <c r="D19" s="71"/>
      <c r="E19" s="76" t="s">
        <v>269</v>
      </c>
      <c r="F19" s="77"/>
      <c r="G19" s="78"/>
      <c r="H19" s="68"/>
      <c r="I19" s="68"/>
      <c r="J19" s="88" t="s">
        <v>96</v>
      </c>
      <c r="N19" s="68"/>
    </row>
    <row r="20">
      <c r="A20" s="68"/>
      <c r="B20" s="68"/>
      <c r="C20" s="68"/>
      <c r="D20" s="68"/>
      <c r="E20" s="68"/>
      <c r="F20" s="68"/>
      <c r="G20" s="68"/>
      <c r="H20" s="68"/>
      <c r="I20" s="71"/>
      <c r="J20" s="72" t="s">
        <v>97</v>
      </c>
      <c r="K20" s="72"/>
      <c r="L20" s="72"/>
      <c r="M20" s="79" t="s">
        <v>84</v>
      </c>
      <c r="N20" s="68"/>
    </row>
    <row r="21">
      <c r="A21" s="68"/>
      <c r="B21" s="75" t="s">
        <v>98</v>
      </c>
      <c r="C21" s="68"/>
      <c r="D21" s="71"/>
      <c r="E21" s="76" t="s">
        <v>97</v>
      </c>
      <c r="F21" s="78"/>
      <c r="G21" s="80"/>
      <c r="H21" s="68"/>
      <c r="I21" s="71"/>
      <c r="J21" s="72" t="s">
        <v>99</v>
      </c>
      <c r="K21" s="72"/>
      <c r="L21" s="72"/>
      <c r="M21" s="79" t="s">
        <v>84</v>
      </c>
      <c r="N21" s="68"/>
    </row>
    <row r="22">
      <c r="A22" s="68"/>
      <c r="B22" s="68"/>
      <c r="C22" s="68"/>
      <c r="D22" s="68"/>
      <c r="E22" s="68"/>
      <c r="F22" s="68"/>
      <c r="G22" s="68"/>
      <c r="H22" s="68"/>
      <c r="I22" s="71"/>
      <c r="J22" s="72" t="s">
        <v>100</v>
      </c>
      <c r="K22" s="72"/>
      <c r="L22" s="72"/>
      <c r="M22" s="79" t="s">
        <v>84</v>
      </c>
      <c r="N22" s="68"/>
    </row>
    <row r="23" ht="39.75" customHeight="1">
      <c r="A23" s="68"/>
      <c r="B23" s="75" t="s">
        <v>101</v>
      </c>
      <c r="C23" s="68"/>
      <c r="D23" s="71"/>
      <c r="E23" s="76" t="s">
        <v>270</v>
      </c>
      <c r="F23" s="77"/>
      <c r="G23" s="78"/>
      <c r="H23" s="68"/>
      <c r="I23" s="68"/>
      <c r="J23" s="68"/>
      <c r="K23" s="68"/>
      <c r="L23" s="68"/>
      <c r="M23" s="68"/>
      <c r="N23" s="68"/>
    </row>
    <row r="24">
      <c r="A24" s="68"/>
      <c r="B24" s="68"/>
      <c r="C24" s="68"/>
      <c r="D24" s="68"/>
      <c r="E24" s="68"/>
      <c r="F24" s="68"/>
      <c r="G24" s="68"/>
      <c r="H24" s="68"/>
      <c r="I24" s="68"/>
      <c r="J24" s="68"/>
      <c r="K24" s="68"/>
      <c r="L24" s="68"/>
      <c r="M24" s="68"/>
      <c r="N24" s="68"/>
    </row>
    <row r="25" ht="41.25" customHeight="1">
      <c r="A25" s="68"/>
      <c r="B25" s="75" t="s">
        <v>103</v>
      </c>
      <c r="C25" s="68"/>
      <c r="D25" s="71"/>
      <c r="E25" s="76" t="s">
        <v>271</v>
      </c>
      <c r="F25" s="77"/>
      <c r="G25" s="77"/>
      <c r="H25" s="77"/>
      <c r="I25" s="77"/>
      <c r="J25" s="77"/>
      <c r="K25" s="77"/>
      <c r="L25" s="78"/>
      <c r="M25" s="68"/>
      <c r="N25" s="68"/>
    </row>
    <row r="26">
      <c r="A26" s="68"/>
      <c r="B26" s="68"/>
      <c r="C26" s="68"/>
      <c r="D26" s="68"/>
      <c r="E26" s="68"/>
      <c r="F26" s="68"/>
      <c r="G26" s="68"/>
      <c r="H26" s="68"/>
      <c r="I26" s="68"/>
      <c r="J26" s="68"/>
      <c r="K26" s="68"/>
      <c r="L26" s="68"/>
      <c r="M26" s="68"/>
      <c r="N26" s="68"/>
    </row>
    <row r="27">
      <c r="A27" s="68"/>
      <c r="B27" s="75" t="s">
        <v>105</v>
      </c>
      <c r="C27" s="68"/>
      <c r="D27" s="71"/>
      <c r="E27" s="89" t="s">
        <v>106</v>
      </c>
      <c r="F27" s="90" t="s">
        <v>107</v>
      </c>
      <c r="G27" s="89" t="s">
        <v>108</v>
      </c>
      <c r="H27" s="91" t="s">
        <v>109</v>
      </c>
      <c r="I27" s="92"/>
      <c r="J27" s="84"/>
      <c r="K27" s="84"/>
      <c r="L27" s="80"/>
      <c r="M27" s="68"/>
      <c r="N27" s="68"/>
    </row>
    <row r="28">
      <c r="A28" s="68"/>
      <c r="B28" s="93" t="s">
        <v>71</v>
      </c>
      <c r="D28" s="71"/>
      <c r="E28" s="94" t="s">
        <v>137</v>
      </c>
      <c r="F28" s="95" t="s">
        <v>272</v>
      </c>
      <c r="G28" s="95" t="s">
        <v>115</v>
      </c>
      <c r="H28" s="96"/>
      <c r="I28" s="78"/>
      <c r="J28" s="84"/>
      <c r="K28" s="71"/>
      <c r="L28" s="72" t="s">
        <v>37</v>
      </c>
      <c r="M28" s="79" t="s">
        <v>84</v>
      </c>
      <c r="N28" s="68"/>
    </row>
    <row r="29">
      <c r="A29" s="68"/>
      <c r="D29" s="71"/>
      <c r="E29" s="94" t="s">
        <v>273</v>
      </c>
      <c r="F29" s="95" t="s">
        <v>274</v>
      </c>
      <c r="G29" s="95"/>
      <c r="H29" s="96"/>
      <c r="I29" s="78"/>
      <c r="J29" s="84"/>
      <c r="K29" s="71"/>
      <c r="L29" s="72" t="s">
        <v>115</v>
      </c>
      <c r="M29" s="68"/>
      <c r="N29" s="68"/>
    </row>
    <row r="30">
      <c r="A30" s="68"/>
      <c r="B30" s="68"/>
      <c r="C30" s="68"/>
      <c r="D30" s="71"/>
      <c r="E30" s="94" t="s">
        <v>275</v>
      </c>
      <c r="F30" s="95" t="s">
        <v>276</v>
      </c>
      <c r="G30" s="95"/>
      <c r="H30" s="96"/>
      <c r="I30" s="78"/>
      <c r="J30" s="84"/>
      <c r="K30" s="71"/>
      <c r="L30" s="72" t="s">
        <v>112</v>
      </c>
      <c r="M30" s="68"/>
      <c r="N30" s="68"/>
    </row>
    <row r="31">
      <c r="A31" s="68"/>
      <c r="B31" s="68"/>
      <c r="C31" s="68"/>
      <c r="D31" s="71"/>
      <c r="E31" s="94"/>
      <c r="F31" s="95"/>
      <c r="G31" s="95"/>
      <c r="H31" s="96"/>
      <c r="I31" s="78"/>
      <c r="J31" s="84"/>
      <c r="K31" s="71"/>
      <c r="L31" s="72" t="s">
        <v>41</v>
      </c>
      <c r="M31" s="68"/>
      <c r="N31" s="68"/>
    </row>
    <row r="32">
      <c r="A32" s="68"/>
      <c r="B32" s="68"/>
      <c r="C32" s="68"/>
      <c r="D32" s="71"/>
      <c r="E32" s="94"/>
      <c r="F32" s="95"/>
      <c r="G32" s="95"/>
      <c r="H32" s="96"/>
      <c r="I32" s="78"/>
      <c r="J32" s="68"/>
      <c r="K32" s="71"/>
      <c r="L32" s="72" t="s">
        <v>42</v>
      </c>
      <c r="M32" s="68"/>
      <c r="N32" s="68"/>
    </row>
    <row r="33">
      <c r="A33" s="68"/>
      <c r="B33" s="68"/>
      <c r="C33" s="68"/>
      <c r="D33" s="71"/>
      <c r="E33" s="94"/>
      <c r="F33" s="95"/>
      <c r="G33" s="95"/>
      <c r="H33" s="96"/>
      <c r="I33" s="78"/>
      <c r="J33" s="68"/>
      <c r="K33" s="68"/>
      <c r="L33" s="68"/>
      <c r="M33" s="68"/>
      <c r="N33" s="68"/>
    </row>
    <row r="34">
      <c r="A34" s="68"/>
      <c r="B34" s="75"/>
      <c r="C34" s="68"/>
      <c r="D34" s="68"/>
      <c r="E34" s="68"/>
      <c r="F34" s="68"/>
      <c r="G34" s="68"/>
      <c r="H34" s="68"/>
      <c r="I34" s="68"/>
      <c r="J34" s="68"/>
      <c r="K34" s="68"/>
      <c r="L34" s="68"/>
      <c r="M34" s="68"/>
      <c r="N34" s="68"/>
    </row>
    <row r="35">
      <c r="A35" s="68"/>
      <c r="B35" s="75" t="s">
        <v>118</v>
      </c>
      <c r="C35" s="68"/>
      <c r="D35" s="68"/>
      <c r="E35" s="68"/>
      <c r="F35" s="68"/>
      <c r="G35" s="68"/>
      <c r="H35" s="68"/>
      <c r="I35" s="68"/>
      <c r="J35" s="68"/>
      <c r="K35" s="68"/>
      <c r="L35" s="68"/>
      <c r="M35" s="68"/>
      <c r="N35" s="68"/>
    </row>
    <row r="36">
      <c r="A36" s="68"/>
      <c r="B36" s="72" t="s">
        <v>119</v>
      </c>
      <c r="C36" s="68"/>
      <c r="D36" s="68"/>
      <c r="E36" s="68"/>
      <c r="F36" s="68"/>
      <c r="G36" s="68"/>
      <c r="H36" s="68"/>
      <c r="I36" s="68"/>
      <c r="J36" s="68"/>
      <c r="K36" s="68"/>
      <c r="L36" s="68"/>
      <c r="M36" s="68"/>
      <c r="N36" s="68"/>
    </row>
    <row r="37">
      <c r="A37" s="68"/>
      <c r="B37" s="68"/>
      <c r="C37" s="68"/>
      <c r="D37" s="68"/>
      <c r="E37" s="68"/>
      <c r="F37" s="68"/>
      <c r="G37" s="68"/>
      <c r="H37" s="68"/>
      <c r="I37" s="68"/>
      <c r="J37" s="68"/>
      <c r="K37" s="68"/>
      <c r="L37" s="68"/>
      <c r="M37" s="68"/>
      <c r="N37" s="68"/>
    </row>
    <row r="38">
      <c r="A38" s="68"/>
      <c r="B38" s="68"/>
      <c r="C38" s="68"/>
      <c r="D38" s="68"/>
      <c r="E38" s="68"/>
      <c r="F38" s="68"/>
      <c r="G38" s="68"/>
      <c r="H38" s="68"/>
      <c r="I38" s="68"/>
      <c r="J38" s="68"/>
      <c r="K38" s="68"/>
      <c r="L38" s="68"/>
      <c r="M38" s="68"/>
      <c r="N38" s="68"/>
    </row>
    <row r="39">
      <c r="A39" s="68"/>
      <c r="B39" s="68"/>
      <c r="C39" s="68"/>
      <c r="D39" s="68"/>
      <c r="E39" s="68"/>
      <c r="F39" s="68"/>
      <c r="G39" s="68"/>
      <c r="H39" s="68"/>
      <c r="I39" s="68"/>
      <c r="J39" s="68"/>
      <c r="K39" s="68"/>
      <c r="L39" s="68"/>
      <c r="M39" s="68"/>
      <c r="N39" s="68"/>
    </row>
    <row r="40">
      <c r="A40" s="68"/>
      <c r="B40" s="68"/>
      <c r="C40" s="68"/>
      <c r="D40" s="68"/>
      <c r="E40" s="68"/>
      <c r="F40" s="68"/>
      <c r="G40" s="68"/>
      <c r="H40" s="68"/>
      <c r="I40" s="68"/>
      <c r="J40" s="68"/>
      <c r="K40" s="68"/>
      <c r="L40" s="68"/>
      <c r="M40" s="68"/>
      <c r="N40" s="68"/>
    </row>
    <row r="41">
      <c r="A41" s="68"/>
      <c r="B41" s="68"/>
      <c r="C41" s="68"/>
      <c r="D41" s="68"/>
      <c r="E41" s="68"/>
      <c r="F41" s="68"/>
      <c r="G41" s="68"/>
      <c r="H41" s="68"/>
      <c r="I41" s="68"/>
      <c r="J41" s="68"/>
      <c r="K41" s="68"/>
      <c r="L41" s="68"/>
      <c r="M41" s="68"/>
      <c r="N41" s="68"/>
    </row>
    <row r="42">
      <c r="A42" s="68"/>
      <c r="B42" s="68"/>
      <c r="C42" s="68"/>
      <c r="D42" s="68"/>
      <c r="E42" s="68"/>
      <c r="F42" s="68"/>
      <c r="G42" s="68"/>
      <c r="H42" s="68"/>
      <c r="I42" s="68"/>
      <c r="J42" s="68"/>
      <c r="K42" s="68"/>
      <c r="L42" s="68"/>
      <c r="M42" s="68"/>
      <c r="N42" s="68"/>
    </row>
    <row r="43">
      <c r="A43" s="68"/>
      <c r="B43" s="68"/>
      <c r="C43" s="68"/>
      <c r="D43" s="68"/>
      <c r="E43" s="68"/>
      <c r="F43" s="68"/>
      <c r="G43" s="68"/>
      <c r="H43" s="68"/>
      <c r="I43" s="68"/>
      <c r="J43" s="68"/>
      <c r="K43" s="68"/>
      <c r="L43" s="68"/>
      <c r="M43" s="68"/>
      <c r="N43" s="68"/>
    </row>
    <row r="44">
      <c r="A44" s="68"/>
      <c r="B44" s="68"/>
      <c r="C44" s="68"/>
      <c r="D44" s="68"/>
      <c r="E44" s="68"/>
      <c r="F44" s="68"/>
      <c r="G44" s="68"/>
      <c r="H44" s="68"/>
      <c r="I44" s="68"/>
      <c r="J44" s="68"/>
      <c r="K44" s="68"/>
      <c r="L44" s="68"/>
      <c r="M44" s="68"/>
      <c r="N44" s="68"/>
    </row>
    <row r="45">
      <c r="A45" s="68"/>
      <c r="B45" s="68"/>
      <c r="C45" s="68"/>
      <c r="D45" s="68"/>
      <c r="E45" s="68"/>
      <c r="F45" s="68"/>
      <c r="G45" s="68"/>
      <c r="H45" s="68"/>
      <c r="I45" s="68"/>
      <c r="J45" s="68"/>
      <c r="K45" s="68"/>
      <c r="L45" s="68"/>
      <c r="M45" s="68"/>
      <c r="N45" s="68"/>
    </row>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8">
    <mergeCell ref="B5:F6"/>
    <mergeCell ref="E11:G11"/>
    <mergeCell ref="E13:F13"/>
    <mergeCell ref="E15:G15"/>
    <mergeCell ref="E17:F17"/>
    <mergeCell ref="E19:G19"/>
    <mergeCell ref="J19:M19"/>
    <mergeCell ref="H30:I30"/>
    <mergeCell ref="H31:I31"/>
    <mergeCell ref="H32:I32"/>
    <mergeCell ref="H33:I33"/>
    <mergeCell ref="E21:F21"/>
    <mergeCell ref="E23:G23"/>
    <mergeCell ref="E25:L25"/>
    <mergeCell ref="H27:I27"/>
    <mergeCell ref="B28:C29"/>
    <mergeCell ref="H28:I28"/>
    <mergeCell ref="H29:I29"/>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 type="list" allowBlank="1" showInputMessage="1" prompt="Clique e insira um valor de intervalo" sqref="G28:G33">
      <formula1>$L$28:$L$32</formula1>
    </dataValidation>
  </dataValidations>
  <printOptions/>
  <pageMargins bottom="0.787401575" footer="0.0" header="0.0" left="0.511811024" right="0.511811024" top="0.7874015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sheetPr>
  <sheetViews>
    <sheetView showGridLines="0" workbookViewId="0"/>
  </sheetViews>
  <sheetFormatPr customHeight="1" defaultColWidth="12.63" defaultRowHeight="15.75"/>
  <cols>
    <col customWidth="1" min="1" max="1" width="2.25"/>
    <col customWidth="1" min="2" max="2" width="14.38"/>
    <col customWidth="1" min="3" max="3" width="7.25"/>
    <col customWidth="1" min="4" max="4" width="2.25"/>
    <col customWidth="1" min="5" max="5" width="21.63"/>
    <col customWidth="1" min="6" max="7" width="14.38"/>
    <col customWidth="1" min="8" max="9" width="2.25"/>
    <col customWidth="1" min="10" max="10" width="7.25"/>
    <col customWidth="1" min="11" max="11" width="2.25"/>
    <col customWidth="1" min="12" max="12" width="14.38"/>
    <col customWidth="1" min="13" max="13" width="3.0"/>
    <col customWidth="1" min="14" max="14" width="3.13"/>
    <col customWidth="1" min="15" max="32" width="14.38"/>
  </cols>
  <sheetData>
    <row r="1" ht="11.25" customHeight="1">
      <c r="A1" s="68"/>
      <c r="B1" s="68"/>
      <c r="C1" s="68"/>
      <c r="D1" s="68"/>
      <c r="E1" s="68"/>
      <c r="F1" s="68"/>
      <c r="G1" s="68"/>
      <c r="H1" s="68"/>
      <c r="I1" s="68"/>
      <c r="J1" s="68"/>
      <c r="K1" s="68"/>
      <c r="L1" s="68"/>
      <c r="M1" s="68"/>
      <c r="N1" s="68"/>
    </row>
    <row r="2">
      <c r="A2" s="68"/>
      <c r="B2" s="69" t="s">
        <v>72</v>
      </c>
      <c r="C2" s="68"/>
      <c r="D2" s="68"/>
      <c r="E2" s="68"/>
      <c r="F2" s="68"/>
      <c r="G2" s="68"/>
      <c r="H2" s="68"/>
      <c r="I2" s="68"/>
      <c r="J2" s="68"/>
      <c r="K2" s="68"/>
      <c r="L2" s="68"/>
      <c r="M2" s="68"/>
      <c r="N2" s="68"/>
    </row>
    <row r="3">
      <c r="A3" s="68"/>
      <c r="B3" s="70" t="s">
        <v>73</v>
      </c>
      <c r="C3" s="68"/>
      <c r="D3" s="68"/>
      <c r="E3" s="68"/>
      <c r="F3" s="68"/>
      <c r="G3" s="68"/>
      <c r="N3" s="68"/>
    </row>
    <row r="4">
      <c r="A4" s="68"/>
      <c r="B4" s="67" t="s">
        <v>277</v>
      </c>
      <c r="C4" s="68"/>
      <c r="D4" s="68"/>
      <c r="E4" s="68"/>
      <c r="F4" s="68"/>
      <c r="G4" s="68"/>
      <c r="H4" s="68"/>
      <c r="I4" s="71"/>
      <c r="J4" s="72" t="s">
        <v>75</v>
      </c>
      <c r="K4" s="68"/>
      <c r="L4" s="68"/>
      <c r="M4" s="73" t="b">
        <v>1</v>
      </c>
      <c r="N4" s="68"/>
    </row>
    <row r="5" ht="23.25" customHeight="1">
      <c r="A5" s="68"/>
      <c r="B5" s="74" t="s">
        <v>76</v>
      </c>
      <c r="G5" s="68"/>
      <c r="H5" s="68"/>
      <c r="I5" s="71"/>
      <c r="J5" s="72" t="s">
        <v>77</v>
      </c>
      <c r="K5" s="68"/>
      <c r="L5" s="68"/>
      <c r="M5" s="73" t="b">
        <v>0</v>
      </c>
      <c r="N5" s="68"/>
    </row>
    <row r="6" ht="23.25" customHeight="1">
      <c r="A6" s="68"/>
      <c r="G6" s="68"/>
      <c r="H6" s="68"/>
      <c r="I6" s="71"/>
      <c r="J6" s="72" t="s">
        <v>78</v>
      </c>
      <c r="K6" s="68"/>
      <c r="L6" s="68"/>
      <c r="M6" s="73" t="b">
        <v>0</v>
      </c>
      <c r="N6" s="68"/>
    </row>
    <row r="7">
      <c r="A7" s="68"/>
      <c r="B7" s="68"/>
      <c r="C7" s="68"/>
      <c r="D7" s="68"/>
      <c r="E7" s="68"/>
      <c r="F7" s="68"/>
      <c r="G7" s="68"/>
      <c r="H7" s="68"/>
      <c r="I7" s="68"/>
      <c r="J7" s="72"/>
      <c r="K7" s="68"/>
      <c r="L7" s="68"/>
      <c r="M7" s="68"/>
      <c r="N7" s="68"/>
    </row>
    <row r="8">
      <c r="A8" s="68"/>
      <c r="B8" s="69" t="s">
        <v>79</v>
      </c>
      <c r="C8" s="68"/>
      <c r="D8" s="68"/>
      <c r="E8" s="68"/>
      <c r="F8" s="68"/>
      <c r="G8" s="68"/>
      <c r="H8" s="68"/>
      <c r="N8" s="68"/>
    </row>
    <row r="9">
      <c r="A9" s="68"/>
      <c r="B9" s="70" t="s">
        <v>80</v>
      </c>
      <c r="C9" s="68"/>
      <c r="D9" s="68"/>
      <c r="E9" s="68"/>
      <c r="F9" s="68"/>
      <c r="G9" s="68"/>
      <c r="H9" s="68"/>
      <c r="I9" s="68"/>
      <c r="J9" s="68"/>
      <c r="K9" s="68"/>
      <c r="L9" s="68"/>
      <c r="M9" s="68"/>
      <c r="N9" s="68"/>
    </row>
    <row r="10">
      <c r="A10" s="68"/>
      <c r="B10" s="68"/>
      <c r="C10" s="68"/>
      <c r="D10" s="68"/>
      <c r="E10" s="68"/>
      <c r="F10" s="68"/>
      <c r="G10" s="68"/>
      <c r="H10" s="68"/>
      <c r="I10" s="68"/>
      <c r="J10" s="68"/>
      <c r="K10" s="68"/>
      <c r="L10" s="68"/>
      <c r="M10" s="68"/>
      <c r="N10" s="68"/>
    </row>
    <row r="11" ht="13.5" customHeight="1">
      <c r="A11" s="68"/>
      <c r="B11" s="75" t="s">
        <v>81</v>
      </c>
      <c r="C11" s="68"/>
      <c r="D11" s="71"/>
      <c r="E11" s="76" t="s">
        <v>278</v>
      </c>
      <c r="F11" s="77"/>
      <c r="G11" s="78"/>
      <c r="H11" s="68"/>
      <c r="I11" s="68"/>
      <c r="J11" s="68"/>
      <c r="K11" s="68"/>
      <c r="L11" s="68"/>
      <c r="M11" s="68"/>
      <c r="N11" s="68"/>
    </row>
    <row r="12">
      <c r="A12" s="68"/>
      <c r="B12" s="68"/>
      <c r="C12" s="68"/>
      <c r="D12" s="68"/>
      <c r="E12" s="68"/>
      <c r="F12" s="68"/>
      <c r="G12" s="68"/>
      <c r="H12" s="68"/>
      <c r="I12" s="71"/>
      <c r="J12" s="72" t="s">
        <v>83</v>
      </c>
      <c r="K12" s="72"/>
      <c r="L12" s="72"/>
      <c r="M12" s="79" t="s">
        <v>84</v>
      </c>
      <c r="N12" s="68"/>
    </row>
    <row r="13">
      <c r="A13" s="68"/>
      <c r="B13" s="75" t="s">
        <v>85</v>
      </c>
      <c r="C13" s="68"/>
      <c r="D13" s="71"/>
      <c r="E13" s="76" t="s">
        <v>86</v>
      </c>
      <c r="F13" s="78"/>
      <c r="G13" s="80"/>
      <c r="H13" s="68"/>
      <c r="I13" s="71"/>
      <c r="J13" s="72" t="s">
        <v>87</v>
      </c>
      <c r="K13" s="72"/>
      <c r="L13" s="72"/>
      <c r="M13" s="79" t="s">
        <v>84</v>
      </c>
      <c r="N13" s="68"/>
    </row>
    <row r="14">
      <c r="A14" s="68"/>
      <c r="B14" s="68"/>
      <c r="C14" s="68"/>
      <c r="D14" s="68"/>
      <c r="E14" s="68"/>
      <c r="F14" s="68"/>
      <c r="G14" s="68"/>
      <c r="H14" s="68"/>
      <c r="I14" s="71"/>
      <c r="J14" s="72" t="s">
        <v>86</v>
      </c>
      <c r="K14" s="72"/>
      <c r="L14" s="72"/>
      <c r="M14" s="79" t="s">
        <v>84</v>
      </c>
      <c r="N14" s="68"/>
    </row>
    <row r="15" ht="60.0" customHeight="1">
      <c r="A15" s="68"/>
      <c r="B15" s="75" t="s">
        <v>88</v>
      </c>
      <c r="C15" s="68"/>
      <c r="D15" s="71"/>
      <c r="E15" s="81" t="s">
        <v>279</v>
      </c>
      <c r="F15" s="77"/>
      <c r="G15" s="78"/>
      <c r="H15" s="82"/>
      <c r="I15" s="82"/>
      <c r="J15" s="83"/>
      <c r="K15" s="83"/>
      <c r="L15" s="83"/>
      <c r="M15" s="83"/>
      <c r="N15" s="68"/>
    </row>
    <row r="16">
      <c r="A16" s="68"/>
      <c r="B16" s="68"/>
      <c r="C16" s="68"/>
      <c r="D16" s="68"/>
      <c r="E16" s="68"/>
      <c r="F16" s="68"/>
      <c r="G16" s="68"/>
      <c r="H16" s="68"/>
      <c r="I16" s="71"/>
      <c r="J16" s="72" t="s">
        <v>90</v>
      </c>
      <c r="K16" s="72"/>
      <c r="L16" s="72"/>
      <c r="M16" s="79" t="s">
        <v>84</v>
      </c>
      <c r="N16" s="68"/>
    </row>
    <row r="17">
      <c r="A17" s="68"/>
      <c r="B17" s="75" t="s">
        <v>91</v>
      </c>
      <c r="C17" s="68"/>
      <c r="D17" s="71"/>
      <c r="E17" s="76" t="s">
        <v>90</v>
      </c>
      <c r="F17" s="78"/>
      <c r="G17" s="80"/>
      <c r="H17" s="68"/>
      <c r="I17" s="71"/>
      <c r="J17" s="72" t="s">
        <v>92</v>
      </c>
      <c r="K17" s="72"/>
      <c r="L17" s="72"/>
      <c r="M17" s="79" t="s">
        <v>84</v>
      </c>
      <c r="N17" s="68"/>
    </row>
    <row r="18">
      <c r="A18" s="68"/>
      <c r="B18" s="84"/>
      <c r="C18" s="85"/>
      <c r="D18" s="85"/>
      <c r="E18" s="85"/>
      <c r="F18" s="68"/>
      <c r="G18" s="68"/>
      <c r="H18" s="68"/>
      <c r="I18" s="71"/>
      <c r="J18" s="86" t="s">
        <v>93</v>
      </c>
      <c r="K18" s="86"/>
      <c r="L18" s="86"/>
      <c r="M18" s="87" t="s">
        <v>84</v>
      </c>
      <c r="N18" s="68"/>
    </row>
    <row r="19">
      <c r="A19" s="68"/>
      <c r="B19" s="75" t="s">
        <v>94</v>
      </c>
      <c r="C19" s="68"/>
      <c r="D19" s="71"/>
      <c r="E19" s="81" t="s">
        <v>280</v>
      </c>
      <c r="F19" s="77"/>
      <c r="G19" s="78"/>
      <c r="H19" s="68"/>
      <c r="I19" s="68"/>
      <c r="J19" s="100" t="s">
        <v>96</v>
      </c>
      <c r="N19" s="68"/>
    </row>
    <row r="20">
      <c r="A20" s="68"/>
      <c r="B20" s="68"/>
      <c r="C20" s="68"/>
      <c r="D20" s="68"/>
      <c r="E20" s="68"/>
      <c r="F20" s="68"/>
      <c r="G20" s="68"/>
      <c r="H20" s="68"/>
      <c r="I20" s="71"/>
      <c r="J20" s="72" t="s">
        <v>97</v>
      </c>
      <c r="K20" s="72"/>
      <c r="L20" s="72"/>
      <c r="M20" s="79" t="s">
        <v>84</v>
      </c>
      <c r="N20" s="68"/>
    </row>
    <row r="21">
      <c r="A21" s="68"/>
      <c r="B21" s="75" t="s">
        <v>98</v>
      </c>
      <c r="C21" s="68"/>
      <c r="D21" s="71"/>
      <c r="E21" s="76" t="s">
        <v>99</v>
      </c>
      <c r="F21" s="78"/>
      <c r="G21" s="80"/>
      <c r="H21" s="68"/>
      <c r="I21" s="71"/>
      <c r="J21" s="72" t="s">
        <v>99</v>
      </c>
      <c r="K21" s="72"/>
      <c r="L21" s="72"/>
      <c r="M21" s="79" t="s">
        <v>84</v>
      </c>
      <c r="N21" s="68"/>
    </row>
    <row r="22">
      <c r="A22" s="68"/>
      <c r="B22" s="68"/>
      <c r="C22" s="68"/>
      <c r="D22" s="68"/>
      <c r="E22" s="68"/>
      <c r="F22" s="68"/>
      <c r="G22" s="68"/>
      <c r="H22" s="68"/>
      <c r="I22" s="71"/>
      <c r="J22" s="72" t="s">
        <v>100</v>
      </c>
      <c r="K22" s="72"/>
      <c r="L22" s="72"/>
      <c r="M22" s="79" t="s">
        <v>84</v>
      </c>
      <c r="N22" s="68"/>
    </row>
    <row r="23" ht="39.75" customHeight="1">
      <c r="A23" s="68"/>
      <c r="B23" s="75" t="s">
        <v>101</v>
      </c>
      <c r="C23" s="68"/>
      <c r="D23" s="71"/>
      <c r="E23" s="81" t="s">
        <v>281</v>
      </c>
      <c r="F23" s="77"/>
      <c r="G23" s="78"/>
      <c r="H23" s="68"/>
      <c r="I23" s="68"/>
      <c r="J23" s="68"/>
      <c r="K23" s="68"/>
      <c r="L23" s="68"/>
      <c r="M23" s="68"/>
      <c r="N23" s="68"/>
    </row>
    <row r="24">
      <c r="A24" s="68"/>
      <c r="B24" s="68"/>
      <c r="C24" s="68"/>
      <c r="D24" s="68"/>
      <c r="E24" s="68"/>
      <c r="F24" s="68"/>
      <c r="G24" s="68"/>
      <c r="H24" s="68"/>
      <c r="I24" s="68"/>
      <c r="J24" s="68"/>
      <c r="K24" s="68"/>
      <c r="L24" s="68"/>
      <c r="M24" s="68"/>
      <c r="N24" s="68"/>
    </row>
    <row r="25">
      <c r="A25" s="68"/>
      <c r="B25" s="75" t="s">
        <v>103</v>
      </c>
      <c r="C25" s="68"/>
      <c r="D25" s="71"/>
      <c r="E25" s="81" t="s">
        <v>282</v>
      </c>
      <c r="F25" s="77"/>
      <c r="G25" s="77"/>
      <c r="H25" s="77"/>
      <c r="I25" s="77"/>
      <c r="J25" s="77"/>
      <c r="K25" s="77"/>
      <c r="L25" s="78"/>
      <c r="M25" s="68"/>
      <c r="N25" s="68"/>
    </row>
    <row r="26">
      <c r="A26" s="68"/>
      <c r="B26" s="68"/>
      <c r="C26" s="68"/>
      <c r="D26" s="68"/>
      <c r="E26" s="68"/>
      <c r="F26" s="68"/>
      <c r="G26" s="68"/>
      <c r="H26" s="68"/>
      <c r="I26" s="68"/>
      <c r="J26" s="68"/>
      <c r="K26" s="68"/>
      <c r="L26" s="68"/>
      <c r="M26" s="68"/>
      <c r="N26" s="68"/>
    </row>
    <row r="27">
      <c r="A27" s="68"/>
      <c r="B27" s="75" t="s">
        <v>105</v>
      </c>
      <c r="C27" s="68"/>
      <c r="D27" s="71"/>
      <c r="E27" s="89" t="s">
        <v>106</v>
      </c>
      <c r="F27" s="90" t="s">
        <v>107</v>
      </c>
      <c r="G27" s="89" t="s">
        <v>108</v>
      </c>
      <c r="H27" s="91" t="s">
        <v>109</v>
      </c>
      <c r="I27" s="92"/>
      <c r="J27" s="84"/>
      <c r="K27" s="84"/>
      <c r="L27" s="80"/>
      <c r="M27" s="68"/>
      <c r="N27" s="68"/>
    </row>
    <row r="28">
      <c r="A28" s="68"/>
      <c r="B28" s="93" t="s">
        <v>71</v>
      </c>
      <c r="D28" s="71"/>
      <c r="E28" s="94" t="s">
        <v>144</v>
      </c>
      <c r="F28" s="95" t="s">
        <v>127</v>
      </c>
      <c r="G28" s="95" t="s">
        <v>41</v>
      </c>
      <c r="H28" s="96"/>
      <c r="I28" s="78"/>
      <c r="J28" s="84"/>
      <c r="K28" s="71"/>
      <c r="L28" s="72" t="s">
        <v>37</v>
      </c>
      <c r="M28" s="79" t="s">
        <v>84</v>
      </c>
      <c r="N28" s="68"/>
    </row>
    <row r="29">
      <c r="A29" s="68"/>
      <c r="D29" s="71"/>
      <c r="E29" s="94" t="s">
        <v>155</v>
      </c>
      <c r="F29" s="95" t="s">
        <v>111</v>
      </c>
      <c r="G29" s="95" t="s">
        <v>112</v>
      </c>
      <c r="H29" s="96"/>
      <c r="I29" s="78"/>
      <c r="J29" s="84"/>
      <c r="K29" s="71"/>
      <c r="L29" s="72" t="s">
        <v>115</v>
      </c>
      <c r="M29" s="68"/>
      <c r="N29" s="68"/>
    </row>
    <row r="30">
      <c r="A30" s="68"/>
      <c r="B30" s="68"/>
      <c r="C30" s="68"/>
      <c r="D30" s="71"/>
      <c r="E30" s="94" t="s">
        <v>129</v>
      </c>
      <c r="F30" s="95" t="s">
        <v>130</v>
      </c>
      <c r="G30" s="95" t="s">
        <v>41</v>
      </c>
      <c r="H30" s="96"/>
      <c r="I30" s="78"/>
      <c r="J30" s="84"/>
      <c r="K30" s="71"/>
      <c r="L30" s="72" t="s">
        <v>112</v>
      </c>
      <c r="M30" s="68"/>
      <c r="N30" s="68"/>
    </row>
    <row r="31">
      <c r="A31" s="68"/>
      <c r="B31" s="68"/>
      <c r="C31" s="68"/>
      <c r="D31" s="71"/>
      <c r="E31" s="94" t="s">
        <v>113</v>
      </c>
      <c r="F31" s="95" t="s">
        <v>114</v>
      </c>
      <c r="G31" s="95" t="s">
        <v>112</v>
      </c>
      <c r="H31" s="96"/>
      <c r="I31" s="78"/>
      <c r="J31" s="84"/>
      <c r="K31" s="71"/>
      <c r="L31" s="72" t="s">
        <v>41</v>
      </c>
      <c r="M31" s="68"/>
      <c r="N31" s="68"/>
    </row>
    <row r="32">
      <c r="A32" s="68"/>
      <c r="B32" s="68"/>
      <c r="C32" s="68"/>
      <c r="D32" s="71"/>
      <c r="E32" s="94" t="s">
        <v>116</v>
      </c>
      <c r="F32" s="95" t="s">
        <v>117</v>
      </c>
      <c r="G32" s="95" t="s">
        <v>112</v>
      </c>
      <c r="H32" s="96"/>
      <c r="I32" s="78"/>
      <c r="J32" s="68"/>
      <c r="K32" s="71"/>
      <c r="L32" s="72" t="s">
        <v>42</v>
      </c>
      <c r="M32" s="68"/>
      <c r="N32" s="68"/>
    </row>
    <row r="33">
      <c r="A33" s="68"/>
      <c r="B33" s="68"/>
      <c r="C33" s="68"/>
      <c r="D33" s="71"/>
      <c r="E33" s="94"/>
      <c r="F33" s="95"/>
      <c r="G33" s="95"/>
      <c r="H33" s="96"/>
      <c r="I33" s="78"/>
      <c r="J33" s="68"/>
      <c r="K33" s="68"/>
      <c r="L33" s="68"/>
      <c r="M33" s="68"/>
      <c r="N33" s="68"/>
    </row>
    <row r="34">
      <c r="A34" s="68"/>
      <c r="B34" s="75"/>
      <c r="C34" s="68"/>
      <c r="D34" s="68"/>
      <c r="E34" s="68"/>
      <c r="F34" s="68"/>
      <c r="G34" s="68"/>
      <c r="H34" s="68"/>
      <c r="I34" s="68"/>
      <c r="J34" s="68"/>
      <c r="K34" s="68"/>
      <c r="L34" s="68"/>
      <c r="M34" s="68"/>
      <c r="N34" s="68"/>
    </row>
    <row r="35">
      <c r="A35" s="68"/>
      <c r="B35" s="75" t="s">
        <v>118</v>
      </c>
      <c r="C35" s="68"/>
      <c r="D35" s="68"/>
      <c r="E35" s="68"/>
      <c r="F35" s="68"/>
      <c r="G35" s="68"/>
      <c r="H35" s="68"/>
      <c r="I35" s="68"/>
      <c r="J35" s="68"/>
      <c r="K35" s="68"/>
      <c r="L35" s="68"/>
      <c r="M35" s="68"/>
      <c r="N35" s="68"/>
    </row>
    <row r="36">
      <c r="A36" s="68"/>
      <c r="B36" s="72" t="s">
        <v>119</v>
      </c>
      <c r="C36" s="68"/>
      <c r="D36" s="68"/>
      <c r="E36" s="68"/>
      <c r="F36" s="68"/>
      <c r="G36" s="68"/>
      <c r="H36" s="68"/>
      <c r="I36" s="68"/>
      <c r="J36" s="68"/>
      <c r="K36" s="68"/>
      <c r="L36" s="68"/>
      <c r="M36" s="68"/>
      <c r="N36" s="68"/>
    </row>
    <row r="37">
      <c r="A37" s="68"/>
      <c r="B37" s="68"/>
      <c r="C37" s="68"/>
      <c r="D37" s="68"/>
      <c r="E37" s="68"/>
      <c r="F37" s="68"/>
      <c r="G37" s="68"/>
      <c r="H37" s="68"/>
      <c r="I37" s="68"/>
      <c r="J37" s="68"/>
      <c r="K37" s="68"/>
      <c r="L37" s="68"/>
      <c r="M37" s="68"/>
      <c r="N37" s="68"/>
    </row>
    <row r="38">
      <c r="A38" s="68"/>
      <c r="B38" s="68"/>
      <c r="C38" s="68"/>
      <c r="D38" s="68"/>
      <c r="E38" s="68"/>
      <c r="F38" s="68"/>
      <c r="G38" s="68"/>
      <c r="H38" s="68"/>
      <c r="I38" s="68"/>
      <c r="J38" s="68"/>
      <c r="K38" s="68"/>
      <c r="L38" s="68"/>
      <c r="M38" s="68"/>
      <c r="N38" s="68"/>
    </row>
    <row r="39">
      <c r="A39" s="68"/>
      <c r="B39" s="68"/>
      <c r="C39" s="68"/>
      <c r="D39" s="68"/>
      <c r="E39" s="68"/>
      <c r="F39" s="68"/>
      <c r="G39" s="68"/>
      <c r="H39" s="68"/>
      <c r="I39" s="68"/>
      <c r="J39" s="68"/>
      <c r="K39" s="68"/>
      <c r="L39" s="68"/>
      <c r="M39" s="68"/>
      <c r="N39" s="68"/>
    </row>
    <row r="40">
      <c r="A40" s="68"/>
      <c r="B40" s="68"/>
      <c r="C40" s="68"/>
      <c r="D40" s="68"/>
      <c r="E40" s="68"/>
      <c r="F40" s="68"/>
      <c r="G40" s="68"/>
      <c r="H40" s="68"/>
      <c r="I40" s="68"/>
      <c r="J40" s="68"/>
      <c r="K40" s="68"/>
      <c r="L40" s="68"/>
      <c r="M40" s="68"/>
      <c r="N40" s="68"/>
    </row>
    <row r="41">
      <c r="A41" s="68"/>
      <c r="B41" s="68"/>
      <c r="C41" s="68"/>
      <c r="D41" s="68"/>
      <c r="E41" s="68"/>
      <c r="F41" s="68"/>
      <c r="G41" s="68"/>
      <c r="H41" s="68"/>
      <c r="I41" s="68"/>
      <c r="J41" s="68"/>
      <c r="K41" s="68"/>
      <c r="L41" s="68"/>
      <c r="M41" s="68"/>
      <c r="N41" s="68"/>
    </row>
    <row r="42">
      <c r="A42" s="68"/>
      <c r="B42" s="68"/>
      <c r="C42" s="68"/>
      <c r="D42" s="68"/>
      <c r="E42" s="68"/>
      <c r="F42" s="68"/>
      <c r="G42" s="68"/>
      <c r="H42" s="68"/>
      <c r="I42" s="68"/>
      <c r="J42" s="68"/>
      <c r="K42" s="68"/>
      <c r="L42" s="68"/>
      <c r="M42" s="68"/>
      <c r="N42" s="68"/>
    </row>
    <row r="43">
      <c r="A43" s="68"/>
      <c r="B43" s="68"/>
      <c r="C43" s="68"/>
      <c r="D43" s="68"/>
      <c r="E43" s="68"/>
      <c r="F43" s="68"/>
      <c r="G43" s="68"/>
      <c r="H43" s="68"/>
      <c r="I43" s="68"/>
      <c r="J43" s="68"/>
      <c r="K43" s="68"/>
      <c r="L43" s="68"/>
      <c r="M43" s="68"/>
      <c r="N43" s="68"/>
    </row>
    <row r="44">
      <c r="A44" s="68"/>
      <c r="B44" s="68"/>
      <c r="C44" s="68"/>
      <c r="D44" s="68"/>
      <c r="E44" s="68"/>
      <c r="F44" s="68"/>
      <c r="G44" s="68"/>
      <c r="H44" s="68"/>
      <c r="I44" s="68"/>
      <c r="J44" s="68"/>
      <c r="K44" s="68"/>
      <c r="L44" s="68"/>
      <c r="M44" s="68"/>
      <c r="N44" s="68"/>
    </row>
    <row r="45">
      <c r="A45" s="68"/>
      <c r="B45" s="68"/>
      <c r="C45" s="68"/>
      <c r="D45" s="68"/>
      <c r="E45" s="68"/>
      <c r="F45" s="68"/>
      <c r="G45" s="68"/>
      <c r="H45" s="68"/>
      <c r="I45" s="68"/>
      <c r="J45" s="68"/>
      <c r="K45" s="68"/>
      <c r="L45" s="68"/>
      <c r="M45" s="68"/>
      <c r="N45" s="68"/>
    </row>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8">
    <mergeCell ref="B5:F6"/>
    <mergeCell ref="E11:G11"/>
    <mergeCell ref="E13:F13"/>
    <mergeCell ref="E15:G15"/>
    <mergeCell ref="E17:F17"/>
    <mergeCell ref="E19:G19"/>
    <mergeCell ref="J19:M19"/>
    <mergeCell ref="H30:I30"/>
    <mergeCell ref="H31:I31"/>
    <mergeCell ref="H32:I32"/>
    <mergeCell ref="H33:I33"/>
    <mergeCell ref="E21:F21"/>
    <mergeCell ref="E23:G23"/>
    <mergeCell ref="E25:L25"/>
    <mergeCell ref="H27:I27"/>
    <mergeCell ref="B28:C29"/>
    <mergeCell ref="H28:I28"/>
    <mergeCell ref="H29:I29"/>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 type="list" allowBlank="1" showInputMessage="1" prompt="Clique e insira um valor de intervalo" sqref="G28:G33">
      <formula1>$L$28:$L$32</formula1>
    </dataValidation>
  </dataValidations>
  <printOptions/>
  <pageMargins bottom="0.787401575" footer="0.0" header="0.0" left="0.511811024" right="0.511811024" top="0.7874015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sheetPr>
  <sheetViews>
    <sheetView showGridLines="0" workbookViewId="0"/>
  </sheetViews>
  <sheetFormatPr customHeight="1" defaultColWidth="12.63" defaultRowHeight="15.75"/>
  <cols>
    <col customWidth="1" min="1" max="1" width="2.25"/>
    <col customWidth="1" min="2" max="2" width="14.38"/>
    <col customWidth="1" min="3" max="3" width="7.25"/>
    <col customWidth="1" min="4" max="4" width="2.25"/>
    <col customWidth="1" min="5" max="5" width="21.63"/>
    <col customWidth="1" min="6" max="7" width="14.38"/>
    <col customWidth="1" min="8" max="9" width="2.25"/>
    <col customWidth="1" min="10" max="10" width="7.25"/>
    <col customWidth="1" min="11" max="11" width="2.25"/>
    <col customWidth="1" min="12" max="12" width="14.38"/>
    <col customWidth="1" min="13" max="13" width="3.0"/>
    <col customWidth="1" min="14" max="14" width="3.13"/>
    <col customWidth="1" min="15" max="32" width="14.38"/>
  </cols>
  <sheetData>
    <row r="1" ht="11.25" customHeight="1">
      <c r="A1" s="68"/>
      <c r="B1" s="68"/>
      <c r="C1" s="68"/>
      <c r="D1" s="68"/>
      <c r="E1" s="68"/>
      <c r="F1" s="68"/>
      <c r="G1" s="68"/>
      <c r="H1" s="68"/>
      <c r="I1" s="68"/>
      <c r="J1" s="68"/>
      <c r="K1" s="68"/>
      <c r="L1" s="68"/>
      <c r="M1" s="68"/>
      <c r="N1" s="68"/>
    </row>
    <row r="2">
      <c r="A2" s="68"/>
      <c r="B2" s="69" t="s">
        <v>72</v>
      </c>
      <c r="C2" s="68"/>
      <c r="D2" s="68"/>
      <c r="E2" s="68"/>
      <c r="F2" s="68"/>
      <c r="G2" s="68"/>
      <c r="H2" s="68"/>
      <c r="I2" s="68"/>
      <c r="J2" s="68"/>
      <c r="K2" s="68"/>
      <c r="L2" s="68"/>
      <c r="M2" s="68"/>
      <c r="N2" s="68"/>
    </row>
    <row r="3">
      <c r="A3" s="68"/>
      <c r="B3" s="70" t="s">
        <v>73</v>
      </c>
      <c r="C3" s="68"/>
      <c r="D3" s="68"/>
      <c r="E3" s="68"/>
      <c r="F3" s="68"/>
      <c r="G3" s="68"/>
      <c r="N3" s="68"/>
    </row>
    <row r="4">
      <c r="A4" s="68"/>
      <c r="B4" s="67" t="s">
        <v>283</v>
      </c>
      <c r="C4" s="68"/>
      <c r="D4" s="68"/>
      <c r="E4" s="68"/>
      <c r="F4" s="68"/>
      <c r="G4" s="68"/>
      <c r="H4" s="68"/>
      <c r="I4" s="71"/>
      <c r="J4" s="72" t="s">
        <v>75</v>
      </c>
      <c r="K4" s="68"/>
      <c r="L4" s="68"/>
      <c r="M4" s="73" t="b">
        <v>1</v>
      </c>
      <c r="N4" s="68"/>
    </row>
    <row r="5" ht="23.25" customHeight="1">
      <c r="A5" s="68"/>
      <c r="B5" s="74" t="s">
        <v>76</v>
      </c>
      <c r="G5" s="68"/>
      <c r="H5" s="68"/>
      <c r="I5" s="71"/>
      <c r="J5" s="72" t="s">
        <v>77</v>
      </c>
      <c r="K5" s="68"/>
      <c r="L5" s="68"/>
      <c r="M5" s="73" t="b">
        <v>0</v>
      </c>
      <c r="N5" s="68"/>
    </row>
    <row r="6" ht="23.25" customHeight="1">
      <c r="A6" s="68"/>
      <c r="G6" s="68"/>
      <c r="H6" s="68"/>
      <c r="I6" s="71"/>
      <c r="J6" s="72" t="s">
        <v>78</v>
      </c>
      <c r="K6" s="68"/>
      <c r="L6" s="68"/>
      <c r="M6" s="73" t="b">
        <v>0</v>
      </c>
      <c r="N6" s="68"/>
    </row>
    <row r="7">
      <c r="A7" s="68"/>
      <c r="B7" s="68"/>
      <c r="C7" s="68"/>
      <c r="D7" s="68"/>
      <c r="E7" s="68"/>
      <c r="F7" s="68"/>
      <c r="G7" s="68"/>
      <c r="H7" s="68"/>
      <c r="I7" s="68"/>
      <c r="J7" s="72"/>
      <c r="K7" s="68"/>
      <c r="L7" s="68"/>
      <c r="M7" s="68"/>
      <c r="N7" s="68"/>
    </row>
    <row r="8">
      <c r="A8" s="68"/>
      <c r="B8" s="69" t="s">
        <v>79</v>
      </c>
      <c r="C8" s="68"/>
      <c r="D8" s="68"/>
      <c r="E8" s="68"/>
      <c r="F8" s="68"/>
      <c r="G8" s="68"/>
      <c r="H8" s="68"/>
      <c r="N8" s="68"/>
    </row>
    <row r="9">
      <c r="A9" s="68"/>
      <c r="B9" s="70" t="s">
        <v>80</v>
      </c>
      <c r="C9" s="68"/>
      <c r="D9" s="68"/>
      <c r="E9" s="68"/>
      <c r="F9" s="68"/>
      <c r="G9" s="68"/>
      <c r="H9" s="68"/>
      <c r="I9" s="68"/>
      <c r="J9" s="68"/>
      <c r="K9" s="68"/>
      <c r="L9" s="68"/>
      <c r="M9" s="68"/>
      <c r="N9" s="68"/>
    </row>
    <row r="10">
      <c r="A10" s="68"/>
      <c r="B10" s="68"/>
      <c r="C10" s="68"/>
      <c r="D10" s="68"/>
      <c r="E10" s="68"/>
      <c r="F10" s="68"/>
      <c r="G10" s="68"/>
      <c r="H10" s="68"/>
      <c r="I10" s="68"/>
      <c r="J10" s="68"/>
      <c r="K10" s="68"/>
      <c r="L10" s="68"/>
      <c r="M10" s="68"/>
      <c r="N10" s="68"/>
    </row>
    <row r="11" ht="13.5" customHeight="1">
      <c r="A11" s="68"/>
      <c r="B11" s="75" t="s">
        <v>81</v>
      </c>
      <c r="C11" s="68"/>
      <c r="D11" s="71"/>
      <c r="E11" s="81" t="s">
        <v>284</v>
      </c>
      <c r="F11" s="77"/>
      <c r="G11" s="78"/>
      <c r="H11" s="68"/>
      <c r="I11" s="68"/>
      <c r="J11" s="68"/>
      <c r="K11" s="68"/>
      <c r="L11" s="68"/>
      <c r="M11" s="68"/>
      <c r="N11" s="68"/>
    </row>
    <row r="12">
      <c r="A12" s="68"/>
      <c r="B12" s="68"/>
      <c r="C12" s="68"/>
      <c r="D12" s="68"/>
      <c r="E12" s="68"/>
      <c r="F12" s="68"/>
      <c r="G12" s="68"/>
      <c r="H12" s="68"/>
      <c r="I12" s="71"/>
      <c r="J12" s="72" t="s">
        <v>83</v>
      </c>
      <c r="K12" s="72"/>
      <c r="L12" s="72"/>
      <c r="M12" s="79" t="s">
        <v>84</v>
      </c>
      <c r="N12" s="68"/>
    </row>
    <row r="13">
      <c r="A13" s="68"/>
      <c r="B13" s="75" t="s">
        <v>85</v>
      </c>
      <c r="C13" s="68"/>
      <c r="D13" s="71"/>
      <c r="E13" s="81" t="s">
        <v>83</v>
      </c>
      <c r="F13" s="78"/>
      <c r="G13" s="80"/>
      <c r="H13" s="68"/>
      <c r="I13" s="71"/>
      <c r="J13" s="72" t="s">
        <v>87</v>
      </c>
      <c r="K13" s="72"/>
      <c r="L13" s="72"/>
      <c r="M13" s="79" t="s">
        <v>84</v>
      </c>
      <c r="N13" s="68"/>
    </row>
    <row r="14">
      <c r="A14" s="68"/>
      <c r="B14" s="68"/>
      <c r="C14" s="68"/>
      <c r="D14" s="68"/>
      <c r="E14" s="68"/>
      <c r="F14" s="68"/>
      <c r="G14" s="68"/>
      <c r="H14" s="68"/>
      <c r="I14" s="71"/>
      <c r="J14" s="72" t="s">
        <v>86</v>
      </c>
      <c r="K14" s="72"/>
      <c r="L14" s="72"/>
      <c r="M14" s="79" t="s">
        <v>84</v>
      </c>
      <c r="N14" s="68"/>
    </row>
    <row r="15">
      <c r="A15" s="68"/>
      <c r="B15" s="75" t="s">
        <v>88</v>
      </c>
      <c r="C15" s="68"/>
      <c r="D15" s="71"/>
      <c r="E15" s="81" t="s">
        <v>285</v>
      </c>
      <c r="F15" s="77"/>
      <c r="G15" s="78"/>
      <c r="H15" s="82"/>
      <c r="I15" s="82"/>
      <c r="J15" s="83"/>
      <c r="K15" s="83"/>
      <c r="L15" s="83"/>
      <c r="M15" s="83"/>
      <c r="N15" s="68"/>
    </row>
    <row r="16">
      <c r="A16" s="68"/>
      <c r="B16" s="68"/>
      <c r="C16" s="68"/>
      <c r="D16" s="68"/>
      <c r="E16" s="68"/>
      <c r="F16" s="68"/>
      <c r="G16" s="68"/>
      <c r="H16" s="68"/>
      <c r="I16" s="71"/>
      <c r="J16" s="72" t="s">
        <v>90</v>
      </c>
      <c r="K16" s="72"/>
      <c r="L16" s="72"/>
      <c r="M16" s="79" t="s">
        <v>84</v>
      </c>
      <c r="N16" s="68"/>
    </row>
    <row r="17">
      <c r="A17" s="68"/>
      <c r="B17" s="75" t="s">
        <v>91</v>
      </c>
      <c r="C17" s="68"/>
      <c r="D17" s="71"/>
      <c r="E17" s="76" t="s">
        <v>90</v>
      </c>
      <c r="F17" s="78"/>
      <c r="G17" s="80"/>
      <c r="H17" s="68"/>
      <c r="I17" s="71"/>
      <c r="J17" s="72" t="s">
        <v>92</v>
      </c>
      <c r="K17" s="72"/>
      <c r="L17" s="72"/>
      <c r="M17" s="79" t="s">
        <v>84</v>
      </c>
      <c r="N17" s="68"/>
    </row>
    <row r="18">
      <c r="A18" s="68"/>
      <c r="B18" s="84"/>
      <c r="C18" s="85"/>
      <c r="D18" s="85"/>
      <c r="E18" s="85"/>
      <c r="F18" s="68"/>
      <c r="G18" s="68"/>
      <c r="H18" s="68"/>
      <c r="I18" s="71"/>
      <c r="J18" s="86" t="s">
        <v>93</v>
      </c>
      <c r="K18" s="86"/>
      <c r="L18" s="86"/>
      <c r="M18" s="87" t="s">
        <v>84</v>
      </c>
      <c r="N18" s="68"/>
    </row>
    <row r="19">
      <c r="A19" s="68"/>
      <c r="B19" s="75" t="s">
        <v>94</v>
      </c>
      <c r="C19" s="68"/>
      <c r="D19" s="71"/>
      <c r="E19" s="81" t="s">
        <v>286</v>
      </c>
      <c r="F19" s="77"/>
      <c r="G19" s="78"/>
      <c r="H19" s="68"/>
      <c r="I19" s="68"/>
      <c r="J19" s="100" t="s">
        <v>96</v>
      </c>
      <c r="N19" s="68"/>
    </row>
    <row r="20">
      <c r="A20" s="68"/>
      <c r="B20" s="68"/>
      <c r="C20" s="68"/>
      <c r="D20" s="68"/>
      <c r="E20" s="68"/>
      <c r="F20" s="68"/>
      <c r="G20" s="68"/>
      <c r="H20" s="68"/>
      <c r="I20" s="71"/>
      <c r="J20" s="72" t="s">
        <v>97</v>
      </c>
      <c r="K20" s="72"/>
      <c r="L20" s="72"/>
      <c r="M20" s="79" t="s">
        <v>84</v>
      </c>
      <c r="N20" s="68"/>
    </row>
    <row r="21">
      <c r="A21" s="68"/>
      <c r="B21" s="75" t="s">
        <v>98</v>
      </c>
      <c r="C21" s="68"/>
      <c r="D21" s="71"/>
      <c r="E21" s="81" t="s">
        <v>97</v>
      </c>
      <c r="F21" s="78"/>
      <c r="G21" s="80"/>
      <c r="H21" s="68"/>
      <c r="I21" s="71"/>
      <c r="J21" s="72" t="s">
        <v>99</v>
      </c>
      <c r="K21" s="72"/>
      <c r="L21" s="72"/>
      <c r="M21" s="79" t="s">
        <v>84</v>
      </c>
      <c r="N21" s="68"/>
    </row>
    <row r="22">
      <c r="A22" s="68"/>
      <c r="B22" s="68"/>
      <c r="C22" s="68"/>
      <c r="D22" s="68"/>
      <c r="E22" s="68"/>
      <c r="F22" s="68"/>
      <c r="G22" s="68"/>
      <c r="H22" s="68"/>
      <c r="I22" s="71"/>
      <c r="J22" s="72" t="s">
        <v>100</v>
      </c>
      <c r="K22" s="72"/>
      <c r="L22" s="72"/>
      <c r="M22" s="79" t="s">
        <v>84</v>
      </c>
      <c r="N22" s="68"/>
    </row>
    <row r="23">
      <c r="A23" s="68"/>
      <c r="B23" s="75" t="s">
        <v>101</v>
      </c>
      <c r="C23" s="68"/>
      <c r="D23" s="71"/>
      <c r="E23" s="81" t="s">
        <v>287</v>
      </c>
      <c r="F23" s="77"/>
      <c r="G23" s="78"/>
      <c r="H23" s="68"/>
      <c r="I23" s="68"/>
      <c r="J23" s="68"/>
      <c r="K23" s="68"/>
      <c r="L23" s="68"/>
      <c r="M23" s="68"/>
      <c r="N23" s="68"/>
    </row>
    <row r="24">
      <c r="A24" s="68"/>
      <c r="B24" s="68"/>
      <c r="C24" s="68"/>
      <c r="D24" s="68"/>
      <c r="E24" s="68"/>
      <c r="F24" s="68"/>
      <c r="G24" s="68"/>
      <c r="H24" s="68"/>
      <c r="I24" s="68"/>
      <c r="J24" s="68"/>
      <c r="K24" s="68"/>
      <c r="L24" s="68"/>
      <c r="M24" s="68"/>
      <c r="N24" s="68"/>
    </row>
    <row r="25">
      <c r="A25" s="68"/>
      <c r="B25" s="75" t="s">
        <v>103</v>
      </c>
      <c r="C25" s="68"/>
      <c r="D25" s="71"/>
      <c r="E25" s="81" t="s">
        <v>288</v>
      </c>
      <c r="F25" s="77"/>
      <c r="G25" s="77"/>
      <c r="H25" s="77"/>
      <c r="I25" s="77"/>
      <c r="J25" s="77"/>
      <c r="K25" s="77"/>
      <c r="L25" s="78"/>
      <c r="M25" s="68"/>
      <c r="N25" s="68"/>
    </row>
    <row r="26">
      <c r="A26" s="68"/>
      <c r="B26" s="68"/>
      <c r="C26" s="68"/>
      <c r="D26" s="68"/>
      <c r="E26" s="68"/>
      <c r="F26" s="68"/>
      <c r="G26" s="68"/>
      <c r="H26" s="68"/>
      <c r="I26" s="68"/>
      <c r="J26" s="68"/>
      <c r="K26" s="68"/>
      <c r="L26" s="68"/>
      <c r="M26" s="68"/>
      <c r="N26" s="68"/>
    </row>
    <row r="27">
      <c r="A27" s="68"/>
      <c r="B27" s="75" t="s">
        <v>105</v>
      </c>
      <c r="C27" s="68"/>
      <c r="D27" s="71"/>
      <c r="E27" s="89" t="s">
        <v>106</v>
      </c>
      <c r="F27" s="90" t="s">
        <v>107</v>
      </c>
      <c r="G27" s="89" t="s">
        <v>108</v>
      </c>
      <c r="H27" s="91" t="s">
        <v>109</v>
      </c>
      <c r="I27" s="92"/>
      <c r="J27" s="84"/>
      <c r="K27" s="84"/>
      <c r="L27" s="80"/>
      <c r="M27" s="68"/>
      <c r="N27" s="68"/>
    </row>
    <row r="28">
      <c r="A28" s="68"/>
      <c r="B28" s="93" t="s">
        <v>71</v>
      </c>
      <c r="D28" s="71"/>
      <c r="E28" s="101" t="s">
        <v>126</v>
      </c>
      <c r="F28" s="102" t="s">
        <v>127</v>
      </c>
      <c r="G28" s="102" t="s">
        <v>112</v>
      </c>
      <c r="H28" s="96"/>
      <c r="I28" s="78"/>
      <c r="J28" s="84"/>
      <c r="K28" s="71"/>
      <c r="L28" s="72" t="s">
        <v>37</v>
      </c>
      <c r="M28" s="79" t="s">
        <v>84</v>
      </c>
      <c r="N28" s="68"/>
    </row>
    <row r="29">
      <c r="A29" s="68"/>
      <c r="D29" s="71"/>
      <c r="E29" s="101" t="s">
        <v>137</v>
      </c>
      <c r="F29" s="102" t="s">
        <v>111</v>
      </c>
      <c r="G29" s="102" t="s">
        <v>115</v>
      </c>
      <c r="H29" s="96"/>
      <c r="I29" s="78"/>
      <c r="J29" s="84"/>
      <c r="K29" s="71"/>
      <c r="L29" s="72" t="s">
        <v>115</v>
      </c>
      <c r="M29" s="68"/>
      <c r="N29" s="68"/>
    </row>
    <row r="30">
      <c r="A30" s="68"/>
      <c r="B30" s="68"/>
      <c r="C30" s="68"/>
      <c r="D30" s="71"/>
      <c r="E30" s="101" t="s">
        <v>113</v>
      </c>
      <c r="F30" s="102" t="s">
        <v>114</v>
      </c>
      <c r="G30" s="102" t="s">
        <v>112</v>
      </c>
      <c r="H30" s="96"/>
      <c r="I30" s="78"/>
      <c r="J30" s="84"/>
      <c r="K30" s="71"/>
      <c r="L30" s="72" t="s">
        <v>112</v>
      </c>
      <c r="M30" s="68"/>
      <c r="N30" s="68"/>
    </row>
    <row r="31">
      <c r="A31" s="68"/>
      <c r="B31" s="68"/>
      <c r="C31" s="68"/>
      <c r="D31" s="71"/>
      <c r="E31" s="101" t="s">
        <v>116</v>
      </c>
      <c r="F31" s="102" t="s">
        <v>289</v>
      </c>
      <c r="G31" s="102" t="s">
        <v>112</v>
      </c>
      <c r="H31" s="96"/>
      <c r="I31" s="78"/>
      <c r="J31" s="84"/>
      <c r="K31" s="71"/>
      <c r="L31" s="72" t="s">
        <v>41</v>
      </c>
      <c r="M31" s="68"/>
      <c r="N31" s="68"/>
    </row>
    <row r="32">
      <c r="A32" s="68"/>
      <c r="B32" s="68"/>
      <c r="C32" s="68"/>
      <c r="D32" s="71"/>
      <c r="E32" s="101" t="s">
        <v>129</v>
      </c>
      <c r="F32" s="102" t="s">
        <v>130</v>
      </c>
      <c r="G32" s="102" t="s">
        <v>41</v>
      </c>
      <c r="H32" s="96"/>
      <c r="I32" s="78"/>
      <c r="J32" s="68"/>
      <c r="K32" s="71"/>
      <c r="L32" s="72" t="s">
        <v>42</v>
      </c>
      <c r="M32" s="68"/>
      <c r="N32" s="68"/>
    </row>
    <row r="33">
      <c r="A33" s="68"/>
      <c r="B33" s="68"/>
      <c r="C33" s="68"/>
      <c r="D33" s="71"/>
      <c r="E33" s="101" t="s">
        <v>146</v>
      </c>
      <c r="F33" s="102" t="s">
        <v>147</v>
      </c>
      <c r="G33" s="102" t="s">
        <v>41</v>
      </c>
      <c r="H33" s="96"/>
      <c r="I33" s="78"/>
      <c r="J33" s="68"/>
      <c r="K33" s="68"/>
      <c r="L33" s="68"/>
      <c r="M33" s="68"/>
      <c r="N33" s="68"/>
    </row>
    <row r="34">
      <c r="A34" s="68"/>
      <c r="B34" s="75"/>
      <c r="C34" s="68"/>
      <c r="D34" s="68"/>
      <c r="E34" s="68"/>
      <c r="F34" s="68"/>
      <c r="G34" s="68"/>
      <c r="H34" s="68"/>
      <c r="I34" s="68"/>
      <c r="J34" s="68"/>
      <c r="K34" s="68"/>
      <c r="L34" s="68"/>
      <c r="M34" s="68"/>
      <c r="N34" s="68"/>
    </row>
    <row r="35">
      <c r="A35" s="68"/>
      <c r="B35" s="75" t="s">
        <v>118</v>
      </c>
      <c r="C35" s="68"/>
      <c r="D35" s="68"/>
      <c r="E35" s="68"/>
      <c r="F35" s="68"/>
      <c r="G35" s="68"/>
      <c r="H35" s="68"/>
      <c r="I35" s="68"/>
      <c r="J35" s="68"/>
      <c r="K35" s="68"/>
      <c r="L35" s="68"/>
      <c r="M35" s="68"/>
      <c r="N35" s="68"/>
    </row>
    <row r="36">
      <c r="A36" s="68"/>
      <c r="B36" s="72" t="s">
        <v>119</v>
      </c>
      <c r="C36" s="68"/>
      <c r="D36" s="68"/>
      <c r="E36" s="68"/>
      <c r="F36" s="68"/>
      <c r="G36" s="68"/>
      <c r="H36" s="68"/>
      <c r="I36" s="68"/>
      <c r="J36" s="68"/>
      <c r="K36" s="68"/>
      <c r="L36" s="68"/>
      <c r="M36" s="68"/>
      <c r="N36" s="68"/>
    </row>
    <row r="37">
      <c r="A37" s="68"/>
      <c r="B37" s="68"/>
      <c r="C37" s="68"/>
      <c r="D37" s="68"/>
      <c r="E37" s="68"/>
      <c r="F37" s="68"/>
      <c r="G37" s="68"/>
      <c r="H37" s="68"/>
      <c r="I37" s="68"/>
      <c r="J37" s="68"/>
      <c r="K37" s="68"/>
      <c r="L37" s="68"/>
      <c r="M37" s="68"/>
      <c r="N37" s="68"/>
    </row>
    <row r="38">
      <c r="A38" s="68"/>
      <c r="B38" s="68"/>
      <c r="C38" s="68"/>
      <c r="D38" s="68"/>
      <c r="E38" s="68"/>
      <c r="F38" s="68"/>
      <c r="G38" s="68"/>
      <c r="H38" s="68"/>
      <c r="I38" s="68"/>
      <c r="J38" s="68"/>
      <c r="K38" s="68"/>
      <c r="L38" s="68"/>
      <c r="M38" s="68"/>
      <c r="N38" s="68"/>
    </row>
    <row r="39">
      <c r="A39" s="68"/>
      <c r="B39" s="68"/>
      <c r="C39" s="68"/>
      <c r="D39" s="68"/>
      <c r="E39" s="68"/>
      <c r="F39" s="68"/>
      <c r="G39" s="68"/>
      <c r="H39" s="68"/>
      <c r="I39" s="68"/>
      <c r="J39" s="68"/>
      <c r="K39" s="68"/>
      <c r="L39" s="68"/>
      <c r="M39" s="68"/>
      <c r="N39" s="68"/>
    </row>
    <row r="40">
      <c r="A40" s="68"/>
      <c r="B40" s="68"/>
      <c r="C40" s="68"/>
      <c r="D40" s="68"/>
      <c r="E40" s="68"/>
      <c r="F40" s="68"/>
      <c r="G40" s="68"/>
      <c r="H40" s="68"/>
      <c r="I40" s="68"/>
      <c r="J40" s="68"/>
      <c r="K40" s="68"/>
      <c r="L40" s="68"/>
      <c r="M40" s="68"/>
      <c r="N40" s="68"/>
    </row>
    <row r="41">
      <c r="A41" s="68"/>
      <c r="B41" s="68"/>
      <c r="C41" s="68"/>
      <c r="D41" s="68"/>
      <c r="E41" s="68"/>
      <c r="F41" s="68"/>
      <c r="G41" s="68"/>
      <c r="H41" s="68"/>
      <c r="I41" s="68"/>
      <c r="J41" s="68"/>
      <c r="K41" s="68"/>
      <c r="L41" s="68"/>
      <c r="M41" s="68"/>
      <c r="N41" s="68"/>
    </row>
    <row r="42">
      <c r="A42" s="68"/>
      <c r="B42" s="68"/>
      <c r="C42" s="68"/>
      <c r="D42" s="68"/>
      <c r="E42" s="68"/>
      <c r="F42" s="68"/>
      <c r="G42" s="68"/>
      <c r="H42" s="68"/>
      <c r="I42" s="68"/>
      <c r="J42" s="68"/>
      <c r="K42" s="68"/>
      <c r="L42" s="68"/>
      <c r="M42" s="68"/>
      <c r="N42" s="68"/>
    </row>
    <row r="43">
      <c r="A43" s="68"/>
      <c r="B43" s="68"/>
      <c r="C43" s="68"/>
      <c r="D43" s="68"/>
      <c r="E43" s="68"/>
      <c r="F43" s="68"/>
      <c r="G43" s="68"/>
      <c r="H43" s="68"/>
      <c r="I43" s="68"/>
      <c r="J43" s="68"/>
      <c r="K43" s="68"/>
      <c r="L43" s="68"/>
      <c r="M43" s="68"/>
      <c r="N43" s="68"/>
    </row>
    <row r="44">
      <c r="A44" s="68"/>
      <c r="B44" s="68"/>
      <c r="C44" s="68"/>
      <c r="D44" s="68"/>
      <c r="E44" s="68"/>
      <c r="F44" s="68"/>
      <c r="G44" s="68"/>
      <c r="H44" s="68"/>
      <c r="I44" s="68"/>
      <c r="J44" s="68"/>
      <c r="K44" s="68"/>
      <c r="L44" s="68"/>
      <c r="M44" s="68"/>
      <c r="N44" s="68"/>
    </row>
    <row r="45">
      <c r="A45" s="68"/>
      <c r="B45" s="68"/>
      <c r="C45" s="68"/>
      <c r="D45" s="68"/>
      <c r="E45" s="68"/>
      <c r="F45" s="68"/>
      <c r="G45" s="68"/>
      <c r="H45" s="68"/>
      <c r="I45" s="68"/>
      <c r="J45" s="68"/>
      <c r="K45" s="68"/>
      <c r="L45" s="68"/>
      <c r="M45" s="68"/>
      <c r="N45" s="68"/>
    </row>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8">
    <mergeCell ref="B5:F6"/>
    <mergeCell ref="E11:G11"/>
    <mergeCell ref="E13:F13"/>
    <mergeCell ref="E15:G15"/>
    <mergeCell ref="E17:F17"/>
    <mergeCell ref="E19:G19"/>
    <mergeCell ref="J19:M19"/>
    <mergeCell ref="H30:I30"/>
    <mergeCell ref="H31:I31"/>
    <mergeCell ref="H32:I32"/>
    <mergeCell ref="H33:I33"/>
    <mergeCell ref="E21:F21"/>
    <mergeCell ref="E23:G23"/>
    <mergeCell ref="E25:L25"/>
    <mergeCell ref="H27:I27"/>
    <mergeCell ref="B28:C29"/>
    <mergeCell ref="H28:I28"/>
    <mergeCell ref="H29:I29"/>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 type="list" allowBlank="1" showInputMessage="1" prompt="Clique e insira um valor de intervalo" sqref="G28:G33">
      <formula1>$L$28:$L$32</formula1>
    </dataValidation>
  </dataValidations>
  <printOptions/>
  <pageMargins bottom="0.787401575" footer="0.0" header="0.0" left="0.511811024" right="0.511811024" top="0.787401575"/>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0.63"/>
    <col customWidth="1" min="2" max="2" width="15.13"/>
    <col customWidth="1" min="3" max="3" width="14.25"/>
    <col customWidth="1" min="4" max="4" width="13.13"/>
    <col customWidth="1" min="5" max="5" width="10.38"/>
  </cols>
  <sheetData>
    <row r="1">
      <c r="A1" s="103"/>
      <c r="B1" s="104" t="s">
        <v>75</v>
      </c>
      <c r="C1" s="104" t="s">
        <v>77</v>
      </c>
      <c r="D1" s="104" t="s">
        <v>78</v>
      </c>
      <c r="E1" s="103"/>
    </row>
    <row r="2">
      <c r="A2" s="105" t="s">
        <v>290</v>
      </c>
      <c r="B2" s="106" t="b">
        <v>1</v>
      </c>
      <c r="C2" s="103" t="b">
        <v>0</v>
      </c>
      <c r="D2" s="103" t="b">
        <v>0</v>
      </c>
      <c r="E2" s="105"/>
    </row>
    <row r="3">
      <c r="A3" s="105" t="s">
        <v>49</v>
      </c>
      <c r="B3" s="103" t="b">
        <v>1</v>
      </c>
      <c r="C3" s="103" t="b">
        <v>0</v>
      </c>
      <c r="D3" s="103" t="b">
        <v>0</v>
      </c>
      <c r="E3" s="105"/>
    </row>
    <row r="4">
      <c r="A4" s="105" t="s">
        <v>50</v>
      </c>
      <c r="B4" s="103" t="b">
        <v>1</v>
      </c>
      <c r="C4" s="103" t="b">
        <v>0</v>
      </c>
      <c r="D4" s="103" t="b">
        <v>0</v>
      </c>
      <c r="E4" s="105"/>
    </row>
    <row r="5">
      <c r="A5" s="105" t="s">
        <v>51</v>
      </c>
      <c r="B5" s="103" t="b">
        <v>1</v>
      </c>
      <c r="C5" s="103" t="b">
        <v>0</v>
      </c>
      <c r="D5" s="103" t="b">
        <v>0</v>
      </c>
      <c r="E5" s="105"/>
    </row>
    <row r="6">
      <c r="A6" s="105" t="s">
        <v>52</v>
      </c>
      <c r="B6" s="103" t="b">
        <v>1</v>
      </c>
      <c r="C6" s="103" t="b">
        <v>0</v>
      </c>
      <c r="D6" s="103" t="b">
        <v>0</v>
      </c>
      <c r="E6" s="105"/>
    </row>
    <row r="7">
      <c r="A7" s="105" t="s">
        <v>53</v>
      </c>
      <c r="B7" s="103" t="b">
        <v>1</v>
      </c>
      <c r="C7" s="103" t="b">
        <v>0</v>
      </c>
      <c r="D7" s="103" t="b">
        <v>0</v>
      </c>
      <c r="E7" s="105"/>
    </row>
    <row r="8">
      <c r="A8" s="105" t="s">
        <v>54</v>
      </c>
      <c r="B8" s="103" t="b">
        <v>1</v>
      </c>
      <c r="C8" s="103" t="b">
        <v>0</v>
      </c>
      <c r="D8" s="103" t="b">
        <v>0</v>
      </c>
      <c r="E8" s="105"/>
    </row>
    <row r="9">
      <c r="A9" s="105" t="s">
        <v>55</v>
      </c>
      <c r="B9" s="103" t="b">
        <v>1</v>
      </c>
      <c r="C9" s="103" t="b">
        <v>0</v>
      </c>
      <c r="D9" s="103" t="b">
        <v>0</v>
      </c>
      <c r="E9" s="105"/>
    </row>
    <row r="10">
      <c r="A10" s="105" t="s">
        <v>56</v>
      </c>
      <c r="B10" s="103" t="b">
        <v>1</v>
      </c>
      <c r="C10" s="103" t="b">
        <v>0</v>
      </c>
      <c r="D10" s="103" t="b">
        <v>0</v>
      </c>
      <c r="E10" s="105"/>
    </row>
    <row r="11">
      <c r="A11" s="105" t="s">
        <v>57</v>
      </c>
      <c r="B11" s="103" t="b">
        <v>1</v>
      </c>
      <c r="C11" s="103" t="b">
        <v>0</v>
      </c>
      <c r="D11" s="103" t="b">
        <v>0</v>
      </c>
      <c r="E11" s="105"/>
    </row>
    <row r="12">
      <c r="A12" s="105" t="s">
        <v>58</v>
      </c>
      <c r="B12" s="103" t="b">
        <v>1</v>
      </c>
      <c r="C12" s="103" t="b">
        <v>0</v>
      </c>
      <c r="D12" s="103" t="b">
        <v>0</v>
      </c>
      <c r="E12" s="105"/>
    </row>
    <row r="13">
      <c r="A13" s="105" t="s">
        <v>59</v>
      </c>
      <c r="B13" s="103" t="b">
        <v>1</v>
      </c>
      <c r="C13" s="103" t="b">
        <v>0</v>
      </c>
      <c r="D13" s="103" t="b">
        <v>0</v>
      </c>
      <c r="E13" s="105"/>
    </row>
    <row r="14">
      <c r="A14" s="105" t="s">
        <v>60</v>
      </c>
      <c r="B14" s="103" t="b">
        <v>1</v>
      </c>
      <c r="C14" s="103" t="b">
        <v>0</v>
      </c>
      <c r="D14" s="103" t="b">
        <v>0</v>
      </c>
      <c r="E14" s="105"/>
    </row>
    <row r="15">
      <c r="A15" s="105" t="s">
        <v>61</v>
      </c>
      <c r="B15" s="103" t="b">
        <v>1</v>
      </c>
      <c r="C15" s="103" t="b">
        <v>0</v>
      </c>
      <c r="D15" s="103" t="b">
        <v>0</v>
      </c>
      <c r="E15" s="105"/>
    </row>
    <row r="16">
      <c r="A16" s="107" t="s">
        <v>62</v>
      </c>
      <c r="B16" s="103" t="b">
        <v>1</v>
      </c>
      <c r="C16" s="103" t="b">
        <v>0</v>
      </c>
      <c r="D16" s="103" t="b">
        <v>0</v>
      </c>
      <c r="E16" s="107"/>
    </row>
    <row r="17">
      <c r="A17" s="107" t="s">
        <v>63</v>
      </c>
      <c r="B17" s="103" t="b">
        <v>1</v>
      </c>
      <c r="C17" s="103" t="b">
        <v>0</v>
      </c>
      <c r="D17" s="103" t="b">
        <v>0</v>
      </c>
      <c r="E17" s="107"/>
    </row>
    <row r="18">
      <c r="A18" s="107" t="s">
        <v>64</v>
      </c>
      <c r="B18" s="106" t="b">
        <v>1</v>
      </c>
      <c r="C18" s="103" t="b">
        <v>0</v>
      </c>
      <c r="D18" s="103" t="b">
        <v>0</v>
      </c>
      <c r="E18" s="107"/>
    </row>
    <row r="19">
      <c r="A19" s="107" t="s">
        <v>65</v>
      </c>
      <c r="B19" s="103" t="b">
        <v>1</v>
      </c>
      <c r="C19" s="103" t="b">
        <v>0</v>
      </c>
      <c r="D19" s="103" t="b">
        <v>0</v>
      </c>
      <c r="E19" s="107"/>
    </row>
    <row r="20">
      <c r="A20" s="107" t="s">
        <v>66</v>
      </c>
      <c r="B20" s="103" t="b">
        <v>1</v>
      </c>
      <c r="C20" s="103" t="b">
        <v>0</v>
      </c>
      <c r="D20" s="103" t="b">
        <v>0</v>
      </c>
      <c r="E20" s="107"/>
    </row>
    <row r="21">
      <c r="A21" s="107" t="s">
        <v>67</v>
      </c>
      <c r="B21" s="103" t="b">
        <v>1</v>
      </c>
      <c r="C21" s="103" t="b">
        <v>0</v>
      </c>
      <c r="D21" s="103" t="b">
        <v>0</v>
      </c>
      <c r="E21" s="107"/>
    </row>
    <row r="22">
      <c r="A22" s="107" t="s">
        <v>68</v>
      </c>
      <c r="B22" s="106" t="b">
        <v>0</v>
      </c>
      <c r="C22" s="103" t="b">
        <v>0</v>
      </c>
      <c r="D22" s="103" t="b">
        <v>0</v>
      </c>
      <c r="E22" s="107"/>
    </row>
    <row r="23">
      <c r="A23" s="107" t="s">
        <v>69</v>
      </c>
      <c r="B23" s="106" t="b">
        <v>1</v>
      </c>
      <c r="C23" s="103" t="b">
        <v>0</v>
      </c>
      <c r="D23" s="103" t="b">
        <v>0</v>
      </c>
      <c r="E23" s="107"/>
    </row>
    <row r="24">
      <c r="A24" s="107" t="s">
        <v>70</v>
      </c>
      <c r="B24" s="106" t="b">
        <v>0</v>
      </c>
      <c r="C24" s="106" t="b">
        <v>0</v>
      </c>
      <c r="D24" s="106" t="b">
        <v>0</v>
      </c>
      <c r="E24" s="107"/>
    </row>
    <row r="25">
      <c r="A25" s="107"/>
      <c r="B25" s="107"/>
      <c r="C25" s="107"/>
      <c r="D25" s="107"/>
      <c r="E25" s="107"/>
    </row>
    <row r="26">
      <c r="A26" s="107"/>
      <c r="B26" s="107"/>
      <c r="C26" s="107"/>
      <c r="D26" s="107"/>
      <c r="E26" s="107"/>
    </row>
    <row r="27">
      <c r="A27" s="107"/>
      <c r="B27" s="107"/>
      <c r="C27" s="107"/>
      <c r="D27" s="107"/>
      <c r="E27" s="107"/>
    </row>
    <row r="28">
      <c r="A28" s="107"/>
      <c r="B28" s="107"/>
      <c r="C28" s="107"/>
      <c r="D28" s="107"/>
      <c r="E28" s="107"/>
    </row>
    <row r="29">
      <c r="A29" s="107"/>
      <c r="B29" s="107"/>
      <c r="D29" s="107"/>
      <c r="E29" s="107"/>
    </row>
    <row r="30">
      <c r="A30" s="107"/>
      <c r="B30" s="107"/>
      <c r="D30" s="107"/>
      <c r="E30" s="107"/>
    </row>
    <row r="31">
      <c r="A31" s="107"/>
      <c r="B31" s="107"/>
      <c r="D31" s="107"/>
      <c r="E31" s="107"/>
    </row>
    <row r="32">
      <c r="A32" s="107"/>
      <c r="B32" s="107"/>
      <c r="D32" s="107"/>
      <c r="E32" s="107"/>
    </row>
    <row r="33">
      <c r="A33" s="107"/>
      <c r="B33" s="107"/>
      <c r="D33" s="107"/>
      <c r="E33" s="107"/>
    </row>
    <row r="34">
      <c r="A34" s="107"/>
      <c r="B34" s="107"/>
      <c r="D34" s="107"/>
      <c r="E34" s="107"/>
    </row>
    <row r="35">
      <c r="A35" s="107"/>
      <c r="B35" s="107"/>
      <c r="D35" s="107"/>
      <c r="E35" s="107"/>
    </row>
    <row r="36">
      <c r="A36" s="107"/>
      <c r="B36" s="107"/>
      <c r="D36" s="107"/>
      <c r="E36" s="107"/>
    </row>
    <row r="37">
      <c r="A37" s="107"/>
      <c r="B37" s="107"/>
      <c r="D37" s="107"/>
      <c r="E37" s="107"/>
    </row>
    <row r="38">
      <c r="A38" s="107"/>
      <c r="B38" s="107"/>
      <c r="E38" s="107"/>
    </row>
    <row r="39">
      <c r="A39" s="107"/>
      <c r="B39" s="107"/>
      <c r="E39" s="107"/>
    </row>
    <row r="40">
      <c r="A40" s="107"/>
      <c r="B40" s="107"/>
      <c r="D40" s="107"/>
      <c r="E40" s="107"/>
    </row>
    <row r="41">
      <c r="A41" s="107"/>
      <c r="B41" s="107"/>
      <c r="D41" s="107"/>
      <c r="E41" s="107"/>
    </row>
    <row r="42">
      <c r="A42" s="107"/>
      <c r="B42" s="107"/>
      <c r="D42" s="107"/>
      <c r="E42" s="107"/>
    </row>
    <row r="43">
      <c r="A43" s="107"/>
      <c r="B43" s="107"/>
      <c r="E43" s="107"/>
    </row>
    <row r="44">
      <c r="A44" s="107"/>
      <c r="B44" s="107"/>
      <c r="E44" s="107"/>
    </row>
    <row r="45">
      <c r="A45" s="107"/>
      <c r="B45" s="107"/>
      <c r="E45" s="107"/>
    </row>
    <row r="46">
      <c r="A46" s="107"/>
      <c r="B46" s="107"/>
      <c r="D46" s="107"/>
      <c r="E46" s="107"/>
    </row>
    <row r="47">
      <c r="A47" s="107"/>
      <c r="B47" s="107"/>
      <c r="D47" s="107"/>
      <c r="E47" s="107"/>
    </row>
    <row r="48">
      <c r="A48" s="107"/>
      <c r="B48" s="107"/>
      <c r="C48" s="107"/>
      <c r="D48" s="107"/>
      <c r="E48" s="107"/>
    </row>
    <row r="49">
      <c r="A49" s="107"/>
      <c r="B49" s="107"/>
      <c r="C49" s="107"/>
      <c r="D49" s="107"/>
      <c r="E49" s="107"/>
    </row>
    <row r="50">
      <c r="A50" s="107"/>
      <c r="B50" s="107"/>
      <c r="C50" s="107"/>
      <c r="D50" s="107"/>
      <c r="E50" s="107"/>
    </row>
    <row r="51">
      <c r="A51" s="107"/>
      <c r="B51" s="107"/>
      <c r="C51" s="107"/>
      <c r="D51" s="107"/>
      <c r="E51" s="107"/>
    </row>
    <row r="52">
      <c r="A52" s="107"/>
      <c r="B52" s="107"/>
      <c r="C52" s="107"/>
      <c r="D52" s="107"/>
      <c r="E52" s="107"/>
    </row>
    <row r="53">
      <c r="A53" s="107"/>
      <c r="B53" s="107"/>
      <c r="C53" s="107"/>
      <c r="D53" s="107"/>
      <c r="E53" s="107"/>
    </row>
    <row r="54">
      <c r="A54" s="107"/>
      <c r="B54" s="107"/>
      <c r="C54" s="107"/>
      <c r="D54" s="107"/>
      <c r="E54" s="107"/>
    </row>
    <row r="55">
      <c r="A55" s="107"/>
      <c r="B55" s="107"/>
      <c r="C55" s="107"/>
      <c r="D55" s="107"/>
      <c r="E55" s="107"/>
    </row>
    <row r="56">
      <c r="A56" s="107"/>
      <c r="B56" s="107"/>
      <c r="C56" s="107"/>
      <c r="D56" s="107"/>
      <c r="E56" s="107"/>
    </row>
    <row r="57">
      <c r="A57" s="107"/>
      <c r="B57" s="107"/>
      <c r="C57" s="107"/>
      <c r="D57" s="107"/>
      <c r="E57" s="107"/>
    </row>
    <row r="58">
      <c r="A58" s="107"/>
      <c r="B58" s="107"/>
      <c r="C58" s="107"/>
      <c r="D58" s="107"/>
      <c r="E58" s="107"/>
    </row>
    <row r="59">
      <c r="A59" s="107"/>
      <c r="B59" s="107"/>
      <c r="C59" s="107"/>
      <c r="D59" s="107"/>
      <c r="E59" s="107"/>
    </row>
    <row r="60">
      <c r="A60" s="107"/>
      <c r="B60" s="107"/>
      <c r="C60" s="107"/>
      <c r="D60" s="107"/>
      <c r="E60" s="107"/>
    </row>
    <row r="61">
      <c r="A61" s="107"/>
      <c r="B61" s="107"/>
      <c r="C61" s="107"/>
      <c r="D61" s="107"/>
      <c r="E61" s="107"/>
    </row>
    <row r="62">
      <c r="A62" s="107"/>
      <c r="B62" s="107"/>
      <c r="C62" s="107"/>
      <c r="D62" s="107"/>
      <c r="E62" s="107"/>
    </row>
    <row r="63">
      <c r="A63" s="107"/>
      <c r="B63" s="107"/>
      <c r="C63" s="107"/>
      <c r="D63" s="107"/>
      <c r="E63" s="107"/>
    </row>
    <row r="64">
      <c r="A64" s="107"/>
      <c r="B64" s="107"/>
      <c r="C64" s="107"/>
      <c r="D64" s="107"/>
      <c r="E64" s="107"/>
    </row>
    <row r="65">
      <c r="A65" s="107"/>
      <c r="B65" s="107"/>
      <c r="C65" s="107"/>
      <c r="D65" s="107"/>
      <c r="E65" s="107"/>
    </row>
    <row r="66">
      <c r="A66" s="107"/>
      <c r="B66" s="107"/>
      <c r="C66" s="107"/>
      <c r="D66" s="107"/>
      <c r="E66" s="107"/>
    </row>
    <row r="67">
      <c r="A67" s="107"/>
      <c r="B67" s="107"/>
      <c r="C67" s="107"/>
      <c r="D67" s="107"/>
      <c r="E67" s="107"/>
    </row>
    <row r="68">
      <c r="A68" s="107"/>
      <c r="B68" s="107"/>
      <c r="C68" s="107"/>
      <c r="D68" s="107"/>
      <c r="E68" s="107"/>
    </row>
    <row r="69">
      <c r="A69" s="107"/>
      <c r="B69" s="107"/>
      <c r="C69" s="107"/>
      <c r="D69" s="107"/>
      <c r="E69" s="107"/>
    </row>
    <row r="70">
      <c r="A70" s="107"/>
      <c r="B70" s="107"/>
      <c r="C70" s="107"/>
      <c r="D70" s="107"/>
      <c r="E70" s="107"/>
    </row>
    <row r="71">
      <c r="A71" s="107"/>
      <c r="B71" s="107"/>
      <c r="C71" s="107"/>
      <c r="D71" s="107"/>
      <c r="E71" s="107"/>
    </row>
    <row r="72">
      <c r="A72" s="107"/>
      <c r="B72" s="107"/>
      <c r="C72" s="107"/>
      <c r="D72" s="107"/>
      <c r="E72" s="107"/>
    </row>
    <row r="73">
      <c r="A73" s="107"/>
      <c r="B73" s="107"/>
      <c r="C73" s="107"/>
      <c r="D73" s="107"/>
      <c r="E73" s="107"/>
    </row>
    <row r="74">
      <c r="A74" s="107"/>
      <c r="B74" s="107"/>
      <c r="C74" s="107"/>
      <c r="D74" s="107"/>
      <c r="E74" s="107"/>
    </row>
    <row r="75">
      <c r="A75" s="107"/>
      <c r="B75" s="107"/>
      <c r="C75" s="107"/>
      <c r="D75" s="107"/>
      <c r="E75" s="107"/>
    </row>
    <row r="76">
      <c r="A76" s="107"/>
      <c r="B76" s="107"/>
      <c r="C76" s="107"/>
      <c r="D76" s="107"/>
      <c r="E76" s="107"/>
    </row>
    <row r="77">
      <c r="A77" s="107"/>
      <c r="B77" s="107"/>
      <c r="C77" s="107"/>
      <c r="D77" s="107"/>
      <c r="E77" s="107"/>
    </row>
    <row r="78">
      <c r="A78" s="107"/>
      <c r="B78" s="107"/>
      <c r="C78" s="107"/>
      <c r="D78" s="107"/>
      <c r="E78" s="107"/>
    </row>
    <row r="79">
      <c r="A79" s="107"/>
      <c r="B79" s="107"/>
      <c r="C79" s="107"/>
      <c r="D79" s="107"/>
      <c r="E79" s="107"/>
    </row>
    <row r="80">
      <c r="A80" s="107"/>
      <c r="B80" s="108"/>
      <c r="C80" s="107"/>
      <c r="D80" s="107"/>
      <c r="E80" s="107"/>
    </row>
    <row r="81">
      <c r="A81" s="107"/>
      <c r="B81" s="108"/>
      <c r="C81" s="107"/>
      <c r="D81" s="107"/>
      <c r="E81" s="107"/>
    </row>
    <row r="82">
      <c r="A82" s="107"/>
      <c r="B82" s="108"/>
      <c r="C82" s="107"/>
      <c r="D82" s="107"/>
      <c r="E82" s="107"/>
    </row>
    <row r="83">
      <c r="A83" s="107"/>
      <c r="B83" s="108"/>
      <c r="C83" s="107"/>
      <c r="D83" s="107"/>
      <c r="E83" s="107"/>
    </row>
    <row r="84">
      <c r="A84" s="107"/>
      <c r="B84" s="108"/>
      <c r="C84" s="107"/>
      <c r="D84" s="107"/>
      <c r="E84" s="107"/>
    </row>
    <row r="85">
      <c r="A85" s="107"/>
      <c r="B85" s="108"/>
      <c r="C85" s="107"/>
      <c r="D85" s="107"/>
      <c r="E85" s="107"/>
    </row>
    <row r="86">
      <c r="A86" s="107"/>
      <c r="B86" s="108"/>
      <c r="C86" s="107"/>
      <c r="D86" s="107"/>
      <c r="E86" s="107"/>
    </row>
    <row r="87">
      <c r="A87" s="107"/>
      <c r="B87" s="108"/>
      <c r="C87" s="107"/>
      <c r="D87" s="107"/>
      <c r="E87" s="107"/>
    </row>
    <row r="88">
      <c r="A88" s="107"/>
      <c r="B88" s="108"/>
      <c r="C88" s="107"/>
      <c r="D88" s="107"/>
      <c r="E88" s="107"/>
    </row>
    <row r="89">
      <c r="A89" s="107"/>
      <c r="B89" s="108"/>
      <c r="C89" s="107"/>
      <c r="D89" s="107"/>
      <c r="E89" s="107"/>
    </row>
    <row r="90">
      <c r="A90" s="107"/>
      <c r="B90" s="108"/>
      <c r="C90" s="107"/>
      <c r="D90" s="107"/>
      <c r="E90" s="107"/>
    </row>
    <row r="91">
      <c r="A91" s="107"/>
      <c r="B91" s="108"/>
      <c r="C91" s="107"/>
      <c r="D91" s="107"/>
      <c r="E91" s="107"/>
    </row>
    <row r="92">
      <c r="A92" s="107"/>
      <c r="B92" s="108"/>
      <c r="C92" s="107"/>
      <c r="D92" s="107"/>
      <c r="E92" s="107"/>
    </row>
    <row r="93">
      <c r="A93" s="107"/>
      <c r="B93" s="108"/>
      <c r="C93" s="107"/>
      <c r="D93" s="107"/>
      <c r="E93" s="107"/>
    </row>
    <row r="94">
      <c r="A94" s="107"/>
      <c r="B94" s="108"/>
      <c r="C94" s="107"/>
      <c r="D94" s="107"/>
      <c r="E94" s="107"/>
    </row>
    <row r="95">
      <c r="A95" s="107"/>
      <c r="B95" s="108"/>
      <c r="C95" s="107"/>
      <c r="D95" s="107"/>
      <c r="E95" s="107"/>
    </row>
    <row r="96">
      <c r="A96" s="107"/>
      <c r="B96" s="108"/>
      <c r="C96" s="107"/>
      <c r="D96" s="107"/>
      <c r="E96" s="107"/>
    </row>
    <row r="97">
      <c r="A97" s="107"/>
      <c r="B97" s="108"/>
      <c r="C97" s="107"/>
      <c r="D97" s="107"/>
      <c r="E97" s="107"/>
    </row>
    <row r="98">
      <c r="A98" s="107"/>
      <c r="B98" s="108"/>
      <c r="C98" s="107"/>
      <c r="D98" s="107"/>
      <c r="E98" s="107"/>
    </row>
    <row r="99">
      <c r="A99" s="107"/>
      <c r="B99" s="108"/>
      <c r="C99" s="107"/>
      <c r="D99" s="107"/>
      <c r="E99" s="107"/>
    </row>
    <row r="100">
      <c r="A100" s="107"/>
      <c r="B100" s="108"/>
      <c r="C100" s="107"/>
      <c r="D100" s="107"/>
      <c r="E100" s="107"/>
    </row>
    <row r="101">
      <c r="A101" s="107"/>
      <c r="B101" s="108"/>
      <c r="C101" s="107"/>
      <c r="D101" s="107"/>
      <c r="E101" s="107"/>
    </row>
    <row r="102">
      <c r="A102" s="107"/>
      <c r="B102" s="108"/>
      <c r="C102" s="107"/>
      <c r="D102" s="107"/>
      <c r="E102" s="107"/>
    </row>
    <row r="103">
      <c r="A103" s="107"/>
      <c r="B103" s="108"/>
      <c r="C103" s="107"/>
      <c r="D103" s="107"/>
      <c r="E103" s="107"/>
    </row>
    <row r="104">
      <c r="A104" s="107"/>
      <c r="B104" s="108"/>
      <c r="C104" s="107"/>
      <c r="D104" s="107"/>
      <c r="E104" s="107"/>
    </row>
    <row r="105">
      <c r="A105" s="107"/>
      <c r="B105" s="108"/>
      <c r="C105" s="107"/>
      <c r="D105" s="107"/>
      <c r="E105" s="107"/>
    </row>
    <row r="106">
      <c r="A106" s="107"/>
      <c r="B106" s="108"/>
      <c r="C106" s="107"/>
      <c r="D106" s="107"/>
      <c r="E106" s="107"/>
    </row>
    <row r="107">
      <c r="A107" s="107"/>
      <c r="B107" s="108"/>
      <c r="C107" s="107"/>
      <c r="D107" s="107"/>
      <c r="E107" s="107"/>
    </row>
    <row r="108">
      <c r="A108" s="107"/>
      <c r="B108" s="108"/>
      <c r="C108" s="107"/>
      <c r="D108" s="107"/>
      <c r="E108" s="107"/>
    </row>
    <row r="109">
      <c r="A109" s="107"/>
      <c r="B109" s="108"/>
      <c r="C109" s="107"/>
      <c r="D109" s="107"/>
      <c r="E109" s="107"/>
    </row>
    <row r="110">
      <c r="A110" s="107"/>
      <c r="B110" s="108"/>
      <c r="C110" s="107"/>
      <c r="D110" s="107"/>
      <c r="E110" s="107"/>
    </row>
    <row r="111">
      <c r="A111" s="107"/>
      <c r="B111" s="108"/>
      <c r="C111" s="107"/>
      <c r="D111" s="107"/>
      <c r="E111" s="107"/>
    </row>
    <row r="112">
      <c r="A112" s="107"/>
      <c r="B112" s="108"/>
      <c r="C112" s="107"/>
      <c r="D112" s="107"/>
      <c r="E112" s="107"/>
    </row>
    <row r="113">
      <c r="A113" s="107"/>
      <c r="B113" s="108"/>
      <c r="C113" s="107"/>
      <c r="D113" s="107"/>
      <c r="E113" s="107"/>
    </row>
    <row r="114">
      <c r="A114" s="107"/>
      <c r="B114" s="108"/>
      <c r="C114" s="107"/>
      <c r="D114" s="107"/>
      <c r="E114" s="107"/>
    </row>
    <row r="115">
      <c r="A115" s="107"/>
      <c r="B115" s="108"/>
      <c r="C115" s="107"/>
      <c r="D115" s="107"/>
      <c r="E115" s="107"/>
    </row>
    <row r="116">
      <c r="A116" s="107"/>
      <c r="B116" s="108"/>
      <c r="C116" s="107"/>
      <c r="D116" s="107"/>
      <c r="E116" s="107"/>
    </row>
    <row r="117">
      <c r="A117" s="107"/>
      <c r="B117" s="108"/>
      <c r="C117" s="107"/>
      <c r="D117" s="107"/>
      <c r="E117" s="107"/>
    </row>
    <row r="118">
      <c r="A118" s="107"/>
      <c r="B118" s="108"/>
      <c r="C118" s="107"/>
      <c r="D118" s="107"/>
      <c r="E118" s="107"/>
    </row>
    <row r="119">
      <c r="A119" s="107"/>
      <c r="B119" s="108"/>
      <c r="C119" s="107"/>
      <c r="D119" s="107"/>
      <c r="E119" s="107"/>
    </row>
    <row r="120">
      <c r="A120" s="107"/>
      <c r="B120" s="108"/>
      <c r="C120" s="107"/>
      <c r="D120" s="107"/>
      <c r="E120" s="107"/>
    </row>
    <row r="121">
      <c r="A121" s="107"/>
      <c r="B121" s="108"/>
      <c r="C121" s="107"/>
      <c r="D121" s="107"/>
      <c r="E121" s="107"/>
    </row>
    <row r="122">
      <c r="A122" s="107"/>
      <c r="B122" s="108"/>
      <c r="C122" s="107"/>
      <c r="D122" s="107"/>
      <c r="E122" s="107"/>
    </row>
    <row r="123">
      <c r="A123" s="107"/>
      <c r="B123" s="108"/>
      <c r="C123" s="107"/>
      <c r="D123" s="107"/>
      <c r="E123" s="107"/>
    </row>
    <row r="124">
      <c r="A124" s="107"/>
      <c r="B124" s="108"/>
      <c r="C124" s="107"/>
      <c r="D124" s="107"/>
      <c r="E124" s="107"/>
    </row>
    <row r="125">
      <c r="A125" s="107"/>
      <c r="B125" s="108"/>
      <c r="C125" s="107"/>
      <c r="D125" s="107"/>
      <c r="E125" s="107"/>
    </row>
    <row r="126">
      <c r="A126" s="107"/>
      <c r="B126" s="108"/>
      <c r="C126" s="107"/>
      <c r="D126" s="107"/>
      <c r="E126" s="107"/>
    </row>
    <row r="127">
      <c r="A127" s="107"/>
      <c r="B127" s="108"/>
      <c r="C127" s="107"/>
      <c r="D127" s="107"/>
      <c r="E127" s="107"/>
    </row>
    <row r="128">
      <c r="A128" s="107"/>
      <c r="B128" s="108"/>
      <c r="C128" s="107"/>
      <c r="D128" s="107"/>
      <c r="E128" s="107"/>
    </row>
    <row r="129">
      <c r="A129" s="107"/>
      <c r="B129" s="108"/>
      <c r="C129" s="107"/>
      <c r="D129" s="107"/>
      <c r="E129" s="107"/>
    </row>
    <row r="130">
      <c r="A130" s="107"/>
      <c r="B130" s="108"/>
      <c r="C130" s="107"/>
      <c r="D130" s="107"/>
      <c r="E130" s="107"/>
    </row>
    <row r="131">
      <c r="A131" s="107"/>
      <c r="B131" s="108"/>
      <c r="C131" s="107"/>
      <c r="D131" s="107"/>
      <c r="E131" s="107"/>
    </row>
    <row r="132">
      <c r="A132" s="107"/>
      <c r="B132" s="108"/>
      <c r="C132" s="107"/>
      <c r="D132" s="107"/>
      <c r="E132" s="107"/>
    </row>
    <row r="133">
      <c r="A133" s="107"/>
      <c r="B133" s="108"/>
      <c r="C133" s="107"/>
      <c r="D133" s="107"/>
      <c r="E133" s="107"/>
    </row>
    <row r="134">
      <c r="A134" s="107"/>
      <c r="B134" s="108"/>
      <c r="C134" s="107"/>
      <c r="D134" s="107"/>
      <c r="E134" s="107"/>
    </row>
    <row r="135">
      <c r="A135" s="107"/>
      <c r="B135" s="108"/>
      <c r="C135" s="107"/>
      <c r="D135" s="107"/>
      <c r="E135" s="107"/>
    </row>
    <row r="136">
      <c r="A136" s="107"/>
      <c r="B136" s="108"/>
      <c r="C136" s="107"/>
      <c r="D136" s="107"/>
      <c r="E136" s="107"/>
    </row>
    <row r="137">
      <c r="A137" s="107"/>
      <c r="B137" s="108"/>
      <c r="C137" s="107"/>
      <c r="D137" s="107"/>
      <c r="E137" s="107"/>
    </row>
    <row r="138">
      <c r="A138" s="107"/>
      <c r="B138" s="108"/>
      <c r="C138" s="107"/>
      <c r="D138" s="107"/>
      <c r="E138" s="107"/>
    </row>
    <row r="139">
      <c r="A139" s="107"/>
      <c r="B139" s="108"/>
      <c r="C139" s="107"/>
      <c r="D139" s="107"/>
      <c r="E139" s="107"/>
    </row>
    <row r="140">
      <c r="A140" s="107"/>
      <c r="B140" s="108"/>
      <c r="C140" s="107"/>
      <c r="D140" s="107"/>
      <c r="E140" s="107"/>
    </row>
    <row r="141">
      <c r="A141" s="107"/>
      <c r="B141" s="108"/>
      <c r="C141" s="107"/>
      <c r="D141" s="107"/>
      <c r="E141" s="107"/>
    </row>
    <row r="142">
      <c r="A142" s="107"/>
      <c r="B142" s="108"/>
      <c r="C142" s="107"/>
      <c r="D142" s="107"/>
      <c r="E142" s="107"/>
    </row>
    <row r="143">
      <c r="A143" s="107"/>
      <c r="B143" s="108"/>
      <c r="C143" s="107"/>
      <c r="D143" s="107"/>
      <c r="E143" s="107"/>
    </row>
    <row r="144">
      <c r="A144" s="107"/>
      <c r="B144" s="108"/>
      <c r="C144" s="107"/>
      <c r="D144" s="107"/>
      <c r="E144" s="107"/>
    </row>
    <row r="145">
      <c r="A145" s="107"/>
      <c r="B145" s="108"/>
      <c r="C145" s="107"/>
      <c r="D145" s="107"/>
      <c r="E145" s="107"/>
    </row>
    <row r="146">
      <c r="A146" s="107"/>
      <c r="B146" s="108"/>
      <c r="C146" s="107"/>
      <c r="D146" s="107"/>
      <c r="E146" s="107"/>
    </row>
    <row r="147">
      <c r="A147" s="107"/>
      <c r="B147" s="108"/>
      <c r="C147" s="107"/>
      <c r="D147" s="107"/>
      <c r="E147" s="107"/>
    </row>
    <row r="148">
      <c r="A148" s="107"/>
      <c r="B148" s="108"/>
      <c r="C148" s="107"/>
      <c r="D148" s="107"/>
      <c r="E148" s="107"/>
    </row>
    <row r="149">
      <c r="A149" s="107"/>
      <c r="B149" s="108"/>
      <c r="C149" s="107"/>
      <c r="D149" s="107"/>
      <c r="E149" s="107"/>
    </row>
    <row r="150">
      <c r="A150" s="107"/>
      <c r="B150" s="108"/>
      <c r="C150" s="107"/>
      <c r="D150" s="107"/>
      <c r="E150" s="107"/>
    </row>
    <row r="151">
      <c r="A151" s="107"/>
      <c r="B151" s="108"/>
      <c r="C151" s="107"/>
      <c r="D151" s="107"/>
      <c r="E151" s="107"/>
    </row>
    <row r="152">
      <c r="A152" s="107"/>
      <c r="B152" s="108"/>
      <c r="C152" s="107"/>
      <c r="D152" s="107"/>
      <c r="E152" s="107"/>
    </row>
    <row r="153">
      <c r="A153" s="107"/>
      <c r="B153" s="108"/>
      <c r="C153" s="107"/>
      <c r="D153" s="107"/>
      <c r="E153" s="107"/>
    </row>
    <row r="154">
      <c r="A154" s="107"/>
      <c r="B154" s="108"/>
      <c r="C154" s="107"/>
      <c r="D154" s="107"/>
      <c r="E154" s="107"/>
    </row>
    <row r="155">
      <c r="A155" s="107"/>
      <c r="B155" s="108"/>
      <c r="C155" s="107"/>
      <c r="D155" s="107"/>
      <c r="E155" s="107"/>
    </row>
    <row r="156">
      <c r="A156" s="107"/>
      <c r="B156" s="108"/>
      <c r="C156" s="107"/>
      <c r="D156" s="107"/>
      <c r="E156" s="107"/>
    </row>
    <row r="157">
      <c r="A157" s="107"/>
      <c r="B157" s="108"/>
      <c r="C157" s="107"/>
      <c r="D157" s="107"/>
      <c r="E157" s="107"/>
    </row>
    <row r="158">
      <c r="A158" s="107"/>
      <c r="B158" s="108"/>
      <c r="C158" s="107"/>
      <c r="D158" s="107"/>
      <c r="E158" s="107"/>
    </row>
    <row r="159">
      <c r="A159" s="107"/>
      <c r="B159" s="108"/>
      <c r="C159" s="107"/>
      <c r="D159" s="107"/>
      <c r="E159" s="107"/>
    </row>
    <row r="160">
      <c r="A160" s="107"/>
      <c r="B160" s="108"/>
      <c r="C160" s="107"/>
      <c r="D160" s="107"/>
      <c r="E160" s="107"/>
    </row>
    <row r="161">
      <c r="A161" s="107"/>
      <c r="B161" s="108"/>
      <c r="C161" s="107"/>
      <c r="D161" s="107"/>
      <c r="E161" s="107"/>
    </row>
    <row r="162">
      <c r="A162" s="107"/>
      <c r="B162" s="108"/>
      <c r="C162" s="107"/>
      <c r="D162" s="107"/>
      <c r="E162" s="107"/>
    </row>
    <row r="163">
      <c r="A163" s="107"/>
      <c r="B163" s="108"/>
      <c r="C163" s="107"/>
      <c r="D163" s="107"/>
      <c r="E163" s="107"/>
    </row>
    <row r="164">
      <c r="A164" s="107"/>
      <c r="B164" s="108"/>
      <c r="C164" s="107"/>
      <c r="D164" s="107"/>
      <c r="E164" s="107"/>
    </row>
    <row r="165">
      <c r="A165" s="107"/>
      <c r="B165" s="108"/>
      <c r="C165" s="107"/>
      <c r="D165" s="107"/>
      <c r="E165" s="107"/>
    </row>
    <row r="166">
      <c r="A166" s="107"/>
      <c r="B166" s="108"/>
      <c r="C166" s="107"/>
      <c r="D166" s="107"/>
      <c r="E166" s="107"/>
    </row>
    <row r="167">
      <c r="A167" s="107"/>
      <c r="B167" s="108"/>
      <c r="C167" s="107"/>
      <c r="D167" s="107"/>
      <c r="E167" s="107"/>
    </row>
    <row r="168">
      <c r="A168" s="107"/>
      <c r="B168" s="108"/>
      <c r="C168" s="107"/>
      <c r="D168" s="107"/>
      <c r="E168" s="107"/>
    </row>
    <row r="169">
      <c r="A169" s="107"/>
      <c r="B169" s="108"/>
      <c r="C169" s="107"/>
      <c r="D169" s="107"/>
      <c r="E169" s="107"/>
    </row>
    <row r="170">
      <c r="A170" s="107"/>
      <c r="B170" s="108"/>
      <c r="C170" s="107"/>
      <c r="D170" s="107"/>
      <c r="E170" s="107"/>
    </row>
    <row r="171">
      <c r="A171" s="107"/>
      <c r="B171" s="108"/>
      <c r="C171" s="107"/>
      <c r="D171" s="107"/>
      <c r="E171" s="107"/>
    </row>
    <row r="172">
      <c r="A172" s="107"/>
      <c r="B172" s="108"/>
      <c r="C172" s="107"/>
      <c r="D172" s="107"/>
      <c r="E172" s="107"/>
    </row>
    <row r="173">
      <c r="A173" s="107"/>
      <c r="B173" s="108"/>
      <c r="C173" s="107"/>
      <c r="D173" s="107"/>
      <c r="E173" s="107"/>
    </row>
    <row r="174">
      <c r="A174" s="107"/>
      <c r="B174" s="108"/>
      <c r="C174" s="107"/>
      <c r="D174" s="107"/>
      <c r="E174" s="107"/>
    </row>
    <row r="175">
      <c r="A175" s="107"/>
      <c r="B175" s="108"/>
      <c r="C175" s="107"/>
      <c r="D175" s="107"/>
      <c r="E175" s="107"/>
    </row>
    <row r="176">
      <c r="A176" s="107"/>
      <c r="B176" s="108"/>
      <c r="C176" s="107"/>
      <c r="D176" s="107"/>
      <c r="E176" s="107"/>
    </row>
    <row r="177">
      <c r="A177" s="107"/>
      <c r="B177" s="108"/>
      <c r="C177" s="107"/>
      <c r="D177" s="107"/>
      <c r="E177" s="107"/>
    </row>
    <row r="178">
      <c r="A178" s="107"/>
      <c r="B178" s="108"/>
      <c r="C178" s="107"/>
      <c r="D178" s="107"/>
      <c r="E178" s="107"/>
    </row>
    <row r="179">
      <c r="A179" s="107"/>
      <c r="B179" s="108"/>
      <c r="C179" s="107"/>
      <c r="D179" s="107"/>
      <c r="E179" s="107"/>
    </row>
    <row r="180">
      <c r="A180" s="107"/>
      <c r="B180" s="108"/>
      <c r="C180" s="107"/>
      <c r="D180" s="107"/>
      <c r="E180" s="107"/>
    </row>
    <row r="181">
      <c r="A181" s="107"/>
      <c r="B181" s="108"/>
      <c r="C181" s="107"/>
      <c r="D181" s="107"/>
      <c r="E181" s="107"/>
    </row>
    <row r="182">
      <c r="A182" s="107"/>
      <c r="B182" s="108"/>
      <c r="C182" s="107"/>
      <c r="D182" s="107"/>
      <c r="E182" s="107"/>
    </row>
    <row r="183">
      <c r="A183" s="107"/>
      <c r="B183" s="108"/>
      <c r="C183" s="107"/>
      <c r="D183" s="107"/>
      <c r="E183" s="107"/>
    </row>
    <row r="184">
      <c r="A184" s="107"/>
      <c r="B184" s="108"/>
      <c r="C184" s="107"/>
      <c r="D184" s="107"/>
      <c r="E184" s="107"/>
    </row>
    <row r="185">
      <c r="A185" s="107"/>
      <c r="B185" s="108"/>
      <c r="C185" s="107"/>
      <c r="D185" s="107"/>
      <c r="E185" s="107"/>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3" max="3" width="6.38"/>
    <col customWidth="1" min="4" max="4" width="2.0"/>
    <col customWidth="1" min="5" max="5" width="18.88"/>
    <col customWidth="1" min="8" max="9" width="2.0"/>
    <col customWidth="1" min="10" max="10" width="6.38"/>
    <col customWidth="1" min="11" max="11" width="2.0"/>
    <col customWidth="1" min="13" max="13" width="2.63"/>
    <col customWidth="1" min="14" max="14" width="2.75"/>
  </cols>
  <sheetData>
    <row r="1" ht="11.25" customHeight="1">
      <c r="A1" s="109"/>
      <c r="B1" s="109"/>
      <c r="C1" s="109"/>
      <c r="D1" s="109"/>
      <c r="E1" s="109"/>
      <c r="F1" s="109"/>
      <c r="G1" s="109"/>
      <c r="H1" s="109"/>
      <c r="I1" s="109"/>
      <c r="J1" s="109"/>
      <c r="K1" s="109"/>
      <c r="L1" s="109"/>
      <c r="M1" s="109"/>
      <c r="N1" s="109"/>
    </row>
    <row r="2">
      <c r="A2" s="109"/>
      <c r="B2" s="110" t="s">
        <v>72</v>
      </c>
      <c r="C2" s="109"/>
      <c r="D2" s="109"/>
      <c r="E2" s="109"/>
      <c r="F2" s="109"/>
      <c r="G2" s="109"/>
      <c r="H2" s="109"/>
      <c r="I2" s="109"/>
      <c r="J2" s="109"/>
      <c r="K2" s="109"/>
      <c r="L2" s="109"/>
      <c r="M2" s="109"/>
      <c r="N2" s="109"/>
    </row>
    <row r="3">
      <c r="A3" s="109"/>
      <c r="B3" s="111" t="s">
        <v>73</v>
      </c>
      <c r="C3" s="109"/>
      <c r="D3" s="109"/>
      <c r="E3" s="109"/>
      <c r="F3" s="109"/>
      <c r="G3" s="109"/>
      <c r="N3" s="109"/>
    </row>
    <row r="4">
      <c r="A4" s="109"/>
      <c r="B4" s="67" t="s">
        <v>291</v>
      </c>
      <c r="C4" s="109"/>
      <c r="D4" s="109"/>
      <c r="E4" s="109"/>
      <c r="F4" s="109"/>
      <c r="G4" s="109"/>
      <c r="H4" s="109"/>
      <c r="I4" s="112"/>
      <c r="J4" s="113" t="s">
        <v>75</v>
      </c>
      <c r="K4" s="109"/>
      <c r="L4" s="109"/>
      <c r="M4" s="73" t="b">
        <v>0</v>
      </c>
      <c r="N4" s="109"/>
    </row>
    <row r="5">
      <c r="A5" s="109"/>
      <c r="B5" s="114" t="s">
        <v>292</v>
      </c>
      <c r="G5" s="109"/>
      <c r="H5" s="109"/>
      <c r="I5" s="112"/>
      <c r="J5" s="113" t="s">
        <v>77</v>
      </c>
      <c r="K5" s="109"/>
      <c r="L5" s="109"/>
      <c r="M5" s="73" t="b">
        <v>0</v>
      </c>
      <c r="N5" s="109"/>
    </row>
    <row r="6">
      <c r="A6" s="109"/>
      <c r="G6" s="109"/>
      <c r="H6" s="109"/>
      <c r="I6" s="112"/>
      <c r="J6" s="113" t="s">
        <v>78</v>
      </c>
      <c r="K6" s="109"/>
      <c r="L6" s="109"/>
      <c r="M6" s="73" t="b">
        <v>0</v>
      </c>
      <c r="N6" s="109"/>
    </row>
    <row r="7">
      <c r="A7" s="109"/>
      <c r="B7" s="109"/>
      <c r="C7" s="109"/>
      <c r="D7" s="109"/>
      <c r="E7" s="109"/>
      <c r="F7" s="109"/>
      <c r="G7" s="109"/>
      <c r="H7" s="109"/>
      <c r="I7" s="109"/>
      <c r="J7" s="113"/>
      <c r="K7" s="109"/>
      <c r="L7" s="109"/>
      <c r="M7" s="109"/>
      <c r="N7" s="109"/>
    </row>
    <row r="8">
      <c r="A8" s="109"/>
      <c r="B8" s="110" t="s">
        <v>293</v>
      </c>
      <c r="C8" s="109"/>
      <c r="D8" s="109"/>
      <c r="E8" s="109"/>
      <c r="F8" s="109"/>
      <c r="G8" s="109"/>
      <c r="H8" s="109"/>
      <c r="N8" s="109"/>
    </row>
    <row r="9">
      <c r="A9" s="109"/>
      <c r="B9" s="111" t="s">
        <v>294</v>
      </c>
      <c r="C9" s="109"/>
      <c r="D9" s="109"/>
      <c r="E9" s="109"/>
      <c r="F9" s="109"/>
      <c r="G9" s="109"/>
      <c r="H9" s="109"/>
      <c r="I9" s="109"/>
      <c r="J9" s="109"/>
      <c r="K9" s="109"/>
      <c r="L9" s="109"/>
      <c r="M9" s="109"/>
      <c r="N9" s="109"/>
    </row>
    <row r="10">
      <c r="A10" s="109"/>
      <c r="B10" s="109"/>
      <c r="C10" s="109"/>
      <c r="D10" s="109"/>
      <c r="E10" s="109"/>
      <c r="F10" s="109"/>
      <c r="G10" s="109"/>
      <c r="H10" s="109"/>
      <c r="I10" s="109"/>
      <c r="J10" s="109"/>
      <c r="K10" s="109"/>
      <c r="L10" s="109"/>
      <c r="M10" s="109"/>
      <c r="N10" s="109"/>
    </row>
    <row r="11">
      <c r="A11" s="109"/>
      <c r="B11" s="115" t="s">
        <v>81</v>
      </c>
      <c r="C11" s="109"/>
      <c r="D11" s="112"/>
      <c r="E11" s="116" t="s">
        <v>295</v>
      </c>
      <c r="H11" s="109"/>
      <c r="I11" s="109"/>
      <c r="J11" s="109"/>
      <c r="K11" s="109"/>
      <c r="L11" s="109"/>
      <c r="M11" s="109"/>
      <c r="N11" s="109"/>
    </row>
    <row r="12">
      <c r="A12" s="109"/>
      <c r="B12" s="109"/>
      <c r="C12" s="109"/>
      <c r="D12" s="109"/>
      <c r="E12" s="109"/>
      <c r="F12" s="109"/>
      <c r="G12" s="109"/>
      <c r="H12" s="109"/>
      <c r="I12" s="112"/>
      <c r="J12" s="113" t="s">
        <v>83</v>
      </c>
      <c r="K12" s="117"/>
      <c r="L12" s="117"/>
      <c r="M12" s="118" t="s">
        <v>84</v>
      </c>
      <c r="N12" s="109"/>
    </row>
    <row r="13">
      <c r="A13" s="109"/>
      <c r="B13" s="115" t="s">
        <v>85</v>
      </c>
      <c r="C13" s="109"/>
      <c r="D13" s="112"/>
      <c r="E13" s="119" t="s">
        <v>86</v>
      </c>
      <c r="G13" s="120"/>
      <c r="H13" s="109"/>
      <c r="I13" s="112"/>
      <c r="J13" s="113" t="s">
        <v>87</v>
      </c>
      <c r="K13" s="117"/>
      <c r="L13" s="117"/>
      <c r="M13" s="118" t="s">
        <v>84</v>
      </c>
      <c r="N13" s="109"/>
    </row>
    <row r="14">
      <c r="A14" s="109"/>
      <c r="B14" s="109"/>
      <c r="C14" s="109"/>
      <c r="D14" s="109"/>
      <c r="E14" s="109"/>
      <c r="F14" s="109"/>
      <c r="G14" s="109"/>
      <c r="H14" s="109"/>
      <c r="I14" s="112"/>
      <c r="J14" s="113" t="s">
        <v>86</v>
      </c>
      <c r="K14" s="117"/>
      <c r="L14" s="117"/>
      <c r="M14" s="118" t="s">
        <v>84</v>
      </c>
      <c r="N14" s="109"/>
    </row>
    <row r="15">
      <c r="A15" s="109"/>
      <c r="B15" s="115" t="s">
        <v>88</v>
      </c>
      <c r="C15" s="109"/>
      <c r="D15" s="112"/>
      <c r="E15" s="116" t="s">
        <v>296</v>
      </c>
      <c r="H15" s="121"/>
      <c r="I15" s="121"/>
      <c r="J15" s="122"/>
      <c r="K15" s="122"/>
      <c r="L15" s="122"/>
      <c r="M15" s="122"/>
      <c r="N15" s="109"/>
    </row>
    <row r="16">
      <c r="A16" s="109"/>
      <c r="B16" s="109"/>
      <c r="C16" s="109"/>
      <c r="D16" s="109"/>
      <c r="E16" s="109"/>
      <c r="F16" s="109"/>
      <c r="G16" s="109"/>
      <c r="H16" s="109"/>
      <c r="I16" s="112"/>
      <c r="J16" s="113" t="s">
        <v>90</v>
      </c>
      <c r="K16" s="117"/>
      <c r="L16" s="117"/>
      <c r="M16" s="118" t="s">
        <v>84</v>
      </c>
      <c r="N16" s="109"/>
    </row>
    <row r="17">
      <c r="A17" s="109"/>
      <c r="B17" s="115" t="s">
        <v>91</v>
      </c>
      <c r="C17" s="109"/>
      <c r="D17" s="112"/>
      <c r="E17" s="119" t="s">
        <v>93</v>
      </c>
      <c r="G17" s="120"/>
      <c r="H17" s="109"/>
      <c r="I17" s="112"/>
      <c r="J17" s="113" t="s">
        <v>92</v>
      </c>
      <c r="K17" s="117"/>
      <c r="L17" s="117"/>
      <c r="M17" s="118" t="s">
        <v>84</v>
      </c>
      <c r="N17" s="109"/>
    </row>
    <row r="18">
      <c r="A18" s="109"/>
      <c r="B18" s="123"/>
      <c r="C18" s="124"/>
      <c r="D18" s="124"/>
      <c r="E18" s="124"/>
      <c r="F18" s="109"/>
      <c r="G18" s="109"/>
      <c r="H18" s="109"/>
      <c r="I18" s="112"/>
      <c r="J18" s="125" t="s">
        <v>93</v>
      </c>
      <c r="K18" s="126"/>
      <c r="L18" s="126"/>
      <c r="M18" s="127" t="s">
        <v>84</v>
      </c>
      <c r="N18" s="109"/>
    </row>
    <row r="19">
      <c r="A19" s="109"/>
      <c r="B19" s="115" t="s">
        <v>94</v>
      </c>
      <c r="C19" s="109"/>
      <c r="D19" s="112"/>
      <c r="E19" s="116" t="s">
        <v>297</v>
      </c>
      <c r="H19" s="109"/>
      <c r="I19" s="109"/>
      <c r="J19" s="128" t="s">
        <v>96</v>
      </c>
      <c r="N19" s="109"/>
    </row>
    <row r="20">
      <c r="A20" s="109"/>
      <c r="B20" s="109"/>
      <c r="C20" s="109"/>
      <c r="D20" s="109"/>
      <c r="E20" s="109"/>
      <c r="F20" s="109"/>
      <c r="G20" s="109"/>
      <c r="H20" s="109"/>
      <c r="I20" s="112"/>
      <c r="J20" s="113" t="s">
        <v>97</v>
      </c>
      <c r="K20" s="117"/>
      <c r="L20" s="117"/>
      <c r="M20" s="118" t="s">
        <v>84</v>
      </c>
      <c r="N20" s="109"/>
    </row>
    <row r="21">
      <c r="A21" s="109"/>
      <c r="B21" s="115" t="s">
        <v>98</v>
      </c>
      <c r="C21" s="109"/>
      <c r="D21" s="112"/>
      <c r="E21" s="119" t="s">
        <v>97</v>
      </c>
      <c r="G21" s="120"/>
      <c r="H21" s="109"/>
      <c r="I21" s="112"/>
      <c r="J21" s="113" t="s">
        <v>99</v>
      </c>
      <c r="K21" s="117"/>
      <c r="L21" s="117"/>
      <c r="M21" s="118" t="s">
        <v>84</v>
      </c>
      <c r="N21" s="109"/>
    </row>
    <row r="22">
      <c r="A22" s="109"/>
      <c r="B22" s="109"/>
      <c r="C22" s="109"/>
      <c r="D22" s="109"/>
      <c r="E22" s="109"/>
      <c r="F22" s="109"/>
      <c r="G22" s="109"/>
      <c r="H22" s="109"/>
      <c r="I22" s="112"/>
      <c r="J22" s="113" t="s">
        <v>100</v>
      </c>
      <c r="K22" s="117"/>
      <c r="L22" s="117"/>
      <c r="M22" s="118" t="s">
        <v>84</v>
      </c>
      <c r="N22" s="109"/>
    </row>
    <row r="23">
      <c r="A23" s="109"/>
      <c r="B23" s="115" t="s">
        <v>101</v>
      </c>
      <c r="C23" s="109"/>
      <c r="D23" s="112"/>
      <c r="E23" s="116" t="s">
        <v>298</v>
      </c>
      <c r="H23" s="109"/>
      <c r="I23" s="109"/>
      <c r="J23" s="109"/>
      <c r="K23" s="109"/>
      <c r="L23" s="109"/>
      <c r="M23" s="109"/>
      <c r="N23" s="109"/>
    </row>
    <row r="24">
      <c r="A24" s="109"/>
      <c r="B24" s="109"/>
      <c r="C24" s="109"/>
      <c r="D24" s="109"/>
      <c r="E24" s="109"/>
      <c r="F24" s="109"/>
      <c r="G24" s="109"/>
      <c r="H24" s="109"/>
      <c r="I24" s="109"/>
      <c r="J24" s="109"/>
      <c r="K24" s="109"/>
      <c r="L24" s="109"/>
      <c r="M24" s="109"/>
      <c r="N24" s="109"/>
    </row>
    <row r="25">
      <c r="A25" s="109"/>
      <c r="B25" s="115" t="s">
        <v>103</v>
      </c>
      <c r="C25" s="109"/>
      <c r="D25" s="112"/>
      <c r="E25" s="116" t="s">
        <v>299</v>
      </c>
      <c r="M25" s="109"/>
      <c r="N25" s="109"/>
    </row>
    <row r="26">
      <c r="A26" s="109"/>
      <c r="B26" s="109"/>
      <c r="C26" s="109"/>
      <c r="D26" s="109"/>
      <c r="E26" s="109"/>
      <c r="F26" s="109"/>
      <c r="G26" s="109"/>
      <c r="H26" s="109"/>
      <c r="I26" s="109"/>
      <c r="J26" s="109"/>
      <c r="K26" s="109"/>
      <c r="L26" s="109"/>
      <c r="M26" s="109"/>
      <c r="N26" s="109"/>
    </row>
    <row r="27">
      <c r="A27" s="109"/>
      <c r="B27" s="115" t="s">
        <v>105</v>
      </c>
      <c r="C27" s="109"/>
      <c r="D27" s="112"/>
      <c r="E27" s="129" t="s">
        <v>300</v>
      </c>
      <c r="F27" s="130" t="s">
        <v>301</v>
      </c>
      <c r="G27" s="129" t="s">
        <v>108</v>
      </c>
      <c r="H27" s="131" t="s">
        <v>109</v>
      </c>
      <c r="I27" s="92"/>
      <c r="J27" s="123"/>
      <c r="K27" s="123"/>
      <c r="L27" s="120"/>
      <c r="M27" s="109"/>
      <c r="N27" s="109"/>
    </row>
    <row r="28">
      <c r="A28" s="109"/>
      <c r="B28" s="132"/>
      <c r="D28" s="112"/>
      <c r="E28" s="119" t="s">
        <v>110</v>
      </c>
      <c r="F28" s="133" t="s">
        <v>111</v>
      </c>
      <c r="G28" s="133" t="s">
        <v>112</v>
      </c>
      <c r="H28" s="134" t="b">
        <v>0</v>
      </c>
      <c r="J28" s="123"/>
      <c r="K28" s="112"/>
      <c r="L28" s="113" t="s">
        <v>37</v>
      </c>
      <c r="M28" s="118" t="s">
        <v>84</v>
      </c>
      <c r="N28" s="109"/>
    </row>
    <row r="29">
      <c r="A29" s="109"/>
      <c r="D29" s="112"/>
      <c r="E29" s="119" t="s">
        <v>113</v>
      </c>
      <c r="F29" s="133" t="s">
        <v>114</v>
      </c>
      <c r="G29" s="133" t="s">
        <v>112</v>
      </c>
      <c r="H29" s="134" t="b">
        <v>0</v>
      </c>
      <c r="J29" s="123"/>
      <c r="K29" s="112"/>
      <c r="L29" s="113" t="s">
        <v>115</v>
      </c>
      <c r="M29" s="109"/>
      <c r="N29" s="109"/>
    </row>
    <row r="30">
      <c r="A30" s="109"/>
      <c r="B30" s="109"/>
      <c r="C30" s="109"/>
      <c r="D30" s="112"/>
      <c r="E30" s="119" t="s">
        <v>116</v>
      </c>
      <c r="F30" s="133" t="s">
        <v>117</v>
      </c>
      <c r="G30" s="133" t="s">
        <v>112</v>
      </c>
      <c r="H30" s="134" t="b">
        <v>0</v>
      </c>
      <c r="J30" s="123"/>
      <c r="K30" s="112"/>
      <c r="L30" s="113" t="s">
        <v>112</v>
      </c>
      <c r="M30" s="109"/>
      <c r="N30" s="109"/>
    </row>
    <row r="31">
      <c r="A31" s="109"/>
      <c r="B31" s="109"/>
      <c r="C31" s="109"/>
      <c r="D31" s="112"/>
      <c r="E31" s="119" t="s">
        <v>126</v>
      </c>
      <c r="F31" s="133" t="s">
        <v>127</v>
      </c>
      <c r="G31" s="133" t="s">
        <v>112</v>
      </c>
      <c r="H31" s="134" t="b">
        <v>0</v>
      </c>
      <c r="J31" s="123"/>
      <c r="K31" s="112"/>
      <c r="L31" s="113" t="s">
        <v>41</v>
      </c>
      <c r="M31" s="109"/>
      <c r="N31" s="109"/>
    </row>
    <row r="32">
      <c r="A32" s="109"/>
      <c r="B32" s="109"/>
      <c r="C32" s="109"/>
      <c r="D32" s="112"/>
      <c r="E32" s="119" t="s">
        <v>128</v>
      </c>
      <c r="F32" s="133" t="s">
        <v>111</v>
      </c>
      <c r="G32" s="133" t="s">
        <v>115</v>
      </c>
      <c r="H32" s="134" t="b">
        <v>0</v>
      </c>
      <c r="J32" s="109"/>
      <c r="K32" s="112"/>
      <c r="L32" s="113" t="s">
        <v>42</v>
      </c>
      <c r="M32" s="109"/>
      <c r="N32" s="109"/>
    </row>
    <row r="33">
      <c r="A33" s="109"/>
      <c r="B33" s="109"/>
      <c r="C33" s="109"/>
      <c r="D33" s="112"/>
      <c r="E33" s="119" t="s">
        <v>129</v>
      </c>
      <c r="F33" s="133" t="s">
        <v>130</v>
      </c>
      <c r="G33" s="133" t="s">
        <v>41</v>
      </c>
      <c r="H33" s="134" t="b">
        <v>0</v>
      </c>
      <c r="J33" s="109"/>
      <c r="K33" s="109"/>
      <c r="L33" s="109"/>
      <c r="M33" s="109"/>
      <c r="N33" s="109"/>
    </row>
    <row r="34">
      <c r="A34" s="109"/>
      <c r="B34" s="115"/>
      <c r="C34" s="109"/>
      <c r="D34" s="109"/>
      <c r="E34" s="119" t="s">
        <v>137</v>
      </c>
      <c r="F34" s="133" t="s">
        <v>111</v>
      </c>
      <c r="G34" s="133" t="s">
        <v>115</v>
      </c>
      <c r="H34" s="134" t="b">
        <v>0</v>
      </c>
      <c r="J34" s="109"/>
      <c r="K34" s="109"/>
      <c r="L34" s="109"/>
      <c r="M34" s="109"/>
      <c r="N34" s="109"/>
    </row>
    <row r="35">
      <c r="A35" s="109"/>
      <c r="B35" s="115"/>
      <c r="C35" s="109"/>
      <c r="D35" s="109"/>
      <c r="E35" s="119" t="s">
        <v>144</v>
      </c>
      <c r="F35" s="119" t="s">
        <v>145</v>
      </c>
      <c r="G35" s="119" t="s">
        <v>41</v>
      </c>
      <c r="H35" s="134" t="b">
        <v>0</v>
      </c>
      <c r="J35" s="109"/>
      <c r="K35" s="109"/>
      <c r="L35" s="109"/>
      <c r="M35" s="109"/>
      <c r="N35" s="109"/>
    </row>
    <row r="36">
      <c r="A36" s="109"/>
      <c r="B36" s="115"/>
      <c r="C36" s="109"/>
      <c r="D36" s="109"/>
      <c r="E36" s="119" t="s">
        <v>146</v>
      </c>
      <c r="F36" s="119" t="s">
        <v>147</v>
      </c>
      <c r="G36" s="119" t="s">
        <v>41</v>
      </c>
      <c r="H36" s="134" t="b">
        <v>0</v>
      </c>
      <c r="J36" s="109"/>
      <c r="K36" s="109"/>
      <c r="L36" s="109"/>
      <c r="M36" s="109"/>
      <c r="N36" s="109"/>
    </row>
    <row r="37">
      <c r="A37" s="109"/>
      <c r="B37" s="115"/>
      <c r="C37" s="109"/>
      <c r="D37" s="109"/>
      <c r="E37" s="119" t="s">
        <v>163</v>
      </c>
      <c r="F37" s="119" t="s">
        <v>111</v>
      </c>
      <c r="G37" s="119" t="s">
        <v>42</v>
      </c>
      <c r="H37" s="134" t="b">
        <v>0</v>
      </c>
      <c r="J37" s="109"/>
      <c r="K37" s="109"/>
      <c r="L37" s="109"/>
      <c r="M37" s="109"/>
      <c r="N37" s="109"/>
    </row>
    <row r="38">
      <c r="A38" s="109"/>
      <c r="B38" s="115"/>
      <c r="C38" s="109"/>
      <c r="D38" s="109"/>
      <c r="E38" s="119" t="s">
        <v>186</v>
      </c>
      <c r="F38" s="119" t="s">
        <v>187</v>
      </c>
      <c r="G38" s="119" t="s">
        <v>112</v>
      </c>
      <c r="H38" s="134" t="b">
        <v>0</v>
      </c>
      <c r="J38" s="109"/>
      <c r="K38" s="109"/>
      <c r="L38" s="109"/>
      <c r="M38" s="109"/>
      <c r="N38" s="109"/>
    </row>
    <row r="39">
      <c r="A39" s="109"/>
      <c r="B39" s="115"/>
      <c r="C39" s="109"/>
      <c r="D39" s="109"/>
      <c r="E39" s="119" t="s">
        <v>302</v>
      </c>
      <c r="F39" s="119" t="s">
        <v>303</v>
      </c>
      <c r="G39" s="119"/>
      <c r="H39" s="109"/>
      <c r="I39" s="109"/>
      <c r="J39" s="109"/>
      <c r="K39" s="109"/>
      <c r="L39" s="109"/>
      <c r="M39" s="109"/>
      <c r="N39" s="109"/>
    </row>
    <row r="40">
      <c r="A40" s="109"/>
      <c r="B40" s="115"/>
      <c r="C40" s="109"/>
      <c r="D40" s="109"/>
      <c r="E40" s="119" t="s">
        <v>304</v>
      </c>
      <c r="F40" s="119" t="s">
        <v>303</v>
      </c>
      <c r="G40" s="119"/>
      <c r="H40" s="109"/>
      <c r="I40" s="109"/>
      <c r="J40" s="109"/>
      <c r="K40" s="109"/>
      <c r="L40" s="109"/>
      <c r="M40" s="109"/>
      <c r="N40" s="109"/>
    </row>
    <row r="41">
      <c r="A41" s="109"/>
      <c r="B41" s="115"/>
      <c r="C41" s="109"/>
      <c r="D41" s="109"/>
      <c r="E41" s="119" t="s">
        <v>305</v>
      </c>
      <c r="F41" s="119" t="s">
        <v>303</v>
      </c>
      <c r="G41" s="119"/>
      <c r="H41" s="109"/>
      <c r="I41" s="109"/>
      <c r="J41" s="109"/>
      <c r="K41" s="109"/>
      <c r="L41" s="109"/>
      <c r="M41" s="109"/>
      <c r="N41" s="109"/>
    </row>
    <row r="42">
      <c r="A42" s="109"/>
      <c r="B42" s="115"/>
      <c r="C42" s="109"/>
      <c r="D42" s="109"/>
      <c r="E42" s="119" t="s">
        <v>306</v>
      </c>
      <c r="F42" s="119"/>
      <c r="G42" s="119"/>
      <c r="H42" s="109"/>
      <c r="I42" s="109"/>
      <c r="J42" s="109"/>
      <c r="K42" s="109"/>
      <c r="L42" s="109"/>
      <c r="M42" s="109"/>
      <c r="N42" s="109"/>
    </row>
    <row r="43">
      <c r="A43" s="109"/>
      <c r="B43" s="115"/>
      <c r="C43" s="109"/>
      <c r="D43" s="109"/>
      <c r="E43" s="119" t="s">
        <v>307</v>
      </c>
      <c r="F43" s="119"/>
      <c r="G43" s="119"/>
      <c r="H43" s="109"/>
      <c r="I43" s="109"/>
      <c r="J43" s="109"/>
      <c r="K43" s="109"/>
      <c r="L43" s="109"/>
      <c r="M43" s="109"/>
      <c r="N43" s="109"/>
    </row>
    <row r="44">
      <c r="A44" s="109"/>
      <c r="B44" s="115"/>
      <c r="C44" s="109"/>
      <c r="D44" s="109"/>
      <c r="E44" s="119" t="s">
        <v>308</v>
      </c>
      <c r="F44" s="119"/>
      <c r="G44" s="119"/>
      <c r="H44" s="109"/>
      <c r="I44" s="109"/>
      <c r="J44" s="109"/>
      <c r="K44" s="109"/>
      <c r="L44" s="109"/>
      <c r="M44" s="109"/>
      <c r="N44" s="109"/>
    </row>
    <row r="45">
      <c r="A45" s="109"/>
      <c r="B45" s="115"/>
      <c r="C45" s="109"/>
      <c r="D45" s="109"/>
      <c r="E45" s="119" t="s">
        <v>309</v>
      </c>
      <c r="F45" s="119"/>
      <c r="G45" s="119"/>
      <c r="H45" s="109"/>
      <c r="I45" s="109"/>
      <c r="J45" s="109"/>
      <c r="K45" s="109"/>
      <c r="L45" s="109"/>
      <c r="M45" s="109"/>
      <c r="N45" s="109"/>
    </row>
    <row r="46">
      <c r="A46" s="109"/>
      <c r="B46" s="115"/>
      <c r="C46" s="109"/>
      <c r="D46" s="109"/>
      <c r="E46" s="109"/>
      <c r="F46" s="109"/>
      <c r="G46" s="109"/>
      <c r="H46" s="109"/>
      <c r="I46" s="109"/>
      <c r="J46" s="109"/>
      <c r="K46" s="109"/>
      <c r="L46" s="109"/>
      <c r="M46" s="109"/>
      <c r="N46" s="109"/>
    </row>
    <row r="47">
      <c r="A47" s="109"/>
      <c r="B47" s="115" t="s">
        <v>118</v>
      </c>
      <c r="C47" s="109"/>
      <c r="D47" s="109"/>
      <c r="E47" s="109"/>
      <c r="F47" s="109"/>
      <c r="G47" s="109"/>
      <c r="H47" s="109"/>
      <c r="I47" s="109"/>
      <c r="J47" s="109"/>
      <c r="K47" s="109"/>
      <c r="L47" s="109"/>
      <c r="M47" s="109"/>
      <c r="N47" s="109"/>
    </row>
    <row r="48">
      <c r="A48" s="109"/>
      <c r="B48" s="113" t="s">
        <v>310</v>
      </c>
      <c r="C48" s="109"/>
      <c r="D48" s="109"/>
      <c r="E48" s="109"/>
      <c r="F48" s="109"/>
      <c r="G48" s="109"/>
      <c r="H48" s="109"/>
      <c r="I48" s="109"/>
      <c r="J48" s="109"/>
      <c r="K48" s="109"/>
      <c r="L48" s="109"/>
      <c r="M48" s="109"/>
      <c r="N48" s="109"/>
    </row>
    <row r="49">
      <c r="A49" s="109"/>
      <c r="B49" s="109"/>
      <c r="C49" s="109"/>
      <c r="D49" s="109"/>
      <c r="E49" s="109"/>
      <c r="F49" s="109"/>
      <c r="G49" s="109"/>
      <c r="H49" s="109"/>
      <c r="I49" s="109"/>
      <c r="J49" s="109"/>
      <c r="K49" s="109"/>
      <c r="L49" s="109"/>
      <c r="M49" s="109"/>
      <c r="N49" s="109"/>
    </row>
    <row r="50">
      <c r="A50" s="109"/>
      <c r="B50" s="109"/>
      <c r="C50" s="109"/>
      <c r="D50" s="109"/>
      <c r="E50" s="109"/>
      <c r="F50" s="109"/>
      <c r="G50" s="109"/>
      <c r="H50" s="109"/>
      <c r="I50" s="109"/>
      <c r="J50" s="109"/>
      <c r="K50" s="109"/>
      <c r="L50" s="109"/>
      <c r="M50" s="109"/>
      <c r="N50" s="109"/>
    </row>
    <row r="51">
      <c r="A51" s="109"/>
      <c r="B51" s="109"/>
      <c r="C51" s="109"/>
      <c r="D51" s="109"/>
      <c r="E51" s="109"/>
      <c r="F51" s="109"/>
      <c r="G51" s="109"/>
      <c r="H51" s="109"/>
      <c r="I51" s="109"/>
      <c r="J51" s="109"/>
      <c r="K51" s="109"/>
      <c r="L51" s="109"/>
      <c r="M51" s="109"/>
      <c r="N51" s="109"/>
    </row>
    <row r="52">
      <c r="A52" s="109"/>
      <c r="B52" s="109"/>
      <c r="C52" s="109"/>
      <c r="D52" s="109"/>
      <c r="E52" s="109"/>
      <c r="F52" s="109"/>
      <c r="G52" s="109"/>
      <c r="H52" s="109"/>
      <c r="I52" s="109"/>
      <c r="J52" s="109"/>
      <c r="K52" s="109"/>
      <c r="L52" s="109"/>
      <c r="M52" s="109"/>
      <c r="N52" s="109"/>
    </row>
    <row r="53">
      <c r="A53" s="109"/>
      <c r="B53" s="109"/>
      <c r="C53" s="109"/>
      <c r="D53" s="109"/>
      <c r="E53" s="109"/>
      <c r="F53" s="109"/>
      <c r="G53" s="109"/>
      <c r="H53" s="109"/>
      <c r="I53" s="109"/>
      <c r="J53" s="109"/>
      <c r="K53" s="109"/>
      <c r="L53" s="109"/>
      <c r="M53" s="109"/>
      <c r="N53" s="109"/>
    </row>
    <row r="54">
      <c r="A54" s="109"/>
      <c r="B54" s="109"/>
      <c r="C54" s="109"/>
      <c r="D54" s="109"/>
      <c r="E54" s="109"/>
      <c r="F54" s="109"/>
      <c r="G54" s="109"/>
      <c r="H54" s="109"/>
      <c r="I54" s="109"/>
      <c r="J54" s="109"/>
      <c r="K54" s="109"/>
      <c r="L54" s="109"/>
      <c r="M54" s="109"/>
      <c r="N54" s="109"/>
    </row>
    <row r="55">
      <c r="A55" s="109"/>
      <c r="B55" s="109"/>
      <c r="C55" s="109"/>
      <c r="D55" s="109"/>
      <c r="E55" s="109"/>
      <c r="F55" s="109"/>
      <c r="G55" s="109"/>
      <c r="H55" s="109"/>
      <c r="I55" s="109"/>
      <c r="J55" s="109"/>
      <c r="K55" s="109"/>
      <c r="L55" s="109"/>
      <c r="M55" s="109"/>
      <c r="N55" s="109"/>
    </row>
    <row r="56">
      <c r="A56" s="109"/>
      <c r="B56" s="109"/>
      <c r="C56" s="109"/>
      <c r="D56" s="109"/>
      <c r="E56" s="109"/>
      <c r="F56" s="109"/>
      <c r="G56" s="109"/>
      <c r="H56" s="109"/>
      <c r="I56" s="109"/>
      <c r="J56" s="109"/>
      <c r="K56" s="109"/>
      <c r="L56" s="109"/>
      <c r="M56" s="109"/>
      <c r="N56" s="109"/>
    </row>
    <row r="57">
      <c r="A57" s="109"/>
      <c r="B57" s="109"/>
      <c r="C57" s="109"/>
      <c r="D57" s="109"/>
      <c r="E57" s="109"/>
      <c r="F57" s="109"/>
      <c r="G57" s="109"/>
      <c r="H57" s="109"/>
      <c r="I57" s="109"/>
      <c r="J57" s="109"/>
      <c r="K57" s="109"/>
      <c r="L57" s="109"/>
      <c r="M57" s="109"/>
      <c r="N57" s="109"/>
    </row>
  </sheetData>
  <mergeCells count="23">
    <mergeCell ref="B5:F6"/>
    <mergeCell ref="E11:G11"/>
    <mergeCell ref="E13:F13"/>
    <mergeCell ref="E15:G15"/>
    <mergeCell ref="E17:F17"/>
    <mergeCell ref="E19:G19"/>
    <mergeCell ref="J19:M19"/>
    <mergeCell ref="E21:F21"/>
    <mergeCell ref="E23:G23"/>
    <mergeCell ref="E25:L25"/>
    <mergeCell ref="H27:I27"/>
    <mergeCell ref="B28:C29"/>
    <mergeCell ref="H28:I28"/>
    <mergeCell ref="H29:I29"/>
    <mergeCell ref="H37:I37"/>
    <mergeCell ref="H38:I38"/>
    <mergeCell ref="H30:I30"/>
    <mergeCell ref="H31:I31"/>
    <mergeCell ref="H32:I32"/>
    <mergeCell ref="H33:I33"/>
    <mergeCell ref="H34:I34"/>
    <mergeCell ref="H35:I35"/>
    <mergeCell ref="H36:I36"/>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 type="list" allowBlank="1" showInputMessage="1" prompt="Clique e insira um valor de intervalo" sqref="G28:G45">
      <formula1>$L$28:$L$32</formula1>
    </dataValidation>
  </dataValidations>
  <drawing r:id="rId2"/>
  <legacyDrawing r:id="rId3"/>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88"/>
    <col customWidth="1" min="2" max="2" width="17.0"/>
    <col customWidth="1" min="3" max="3" width="12.63"/>
    <col customWidth="1" min="4" max="4" width="8.13"/>
    <col customWidth="1" min="5" max="5" width="18.88"/>
    <col customWidth="1" min="6" max="6" width="11.5"/>
    <col customWidth="1" min="7" max="7" width="10.38"/>
    <col customWidth="1" min="8" max="23" width="11.38"/>
  </cols>
  <sheetData>
    <row r="1" ht="11.25" customHeight="1">
      <c r="A1" s="108"/>
      <c r="B1" s="108"/>
      <c r="C1" s="108"/>
      <c r="D1" s="108"/>
      <c r="E1" s="135"/>
      <c r="F1" s="135"/>
      <c r="G1" s="108"/>
      <c r="H1" s="108"/>
      <c r="I1" s="108"/>
      <c r="J1" s="108"/>
      <c r="K1" s="108"/>
      <c r="L1" s="108"/>
      <c r="M1" s="108"/>
      <c r="N1" s="108"/>
      <c r="O1" s="108"/>
      <c r="P1" s="108"/>
      <c r="Q1" s="108"/>
      <c r="R1" s="108"/>
      <c r="S1" s="108"/>
      <c r="T1" s="108"/>
      <c r="U1" s="108"/>
      <c r="V1" s="108"/>
      <c r="W1" s="108"/>
    </row>
    <row r="2">
      <c r="A2" s="108"/>
      <c r="B2" s="110" t="s">
        <v>72</v>
      </c>
      <c r="C2" s="109"/>
      <c r="D2" s="109"/>
      <c r="E2" s="136"/>
      <c r="F2" s="136"/>
      <c r="G2" s="109"/>
      <c r="H2" s="108"/>
      <c r="I2" s="108"/>
      <c r="J2" s="108"/>
      <c r="K2" s="108"/>
      <c r="L2" s="108"/>
      <c r="M2" s="108"/>
      <c r="N2" s="108"/>
      <c r="O2" s="108"/>
      <c r="P2" s="108"/>
      <c r="Q2" s="108"/>
      <c r="R2" s="108"/>
      <c r="S2" s="108"/>
      <c r="T2" s="108"/>
      <c r="U2" s="108"/>
      <c r="V2" s="108"/>
      <c r="W2" s="108"/>
    </row>
    <row r="3">
      <c r="A3" s="108"/>
      <c r="B3" s="111" t="s">
        <v>311</v>
      </c>
      <c r="C3" s="109"/>
      <c r="D3" s="109"/>
      <c r="E3" s="136"/>
      <c r="F3" s="136"/>
      <c r="G3" s="109"/>
      <c r="H3" s="108"/>
      <c r="I3" s="108"/>
      <c r="J3" s="108"/>
      <c r="K3" s="108"/>
      <c r="L3" s="108"/>
      <c r="M3" s="108"/>
      <c r="N3" s="108"/>
      <c r="O3" s="108"/>
      <c r="P3" s="108"/>
      <c r="Q3" s="108"/>
      <c r="R3" s="108"/>
      <c r="S3" s="108"/>
      <c r="T3" s="108"/>
      <c r="U3" s="108"/>
      <c r="V3" s="108"/>
      <c r="W3" s="108"/>
    </row>
    <row r="4">
      <c r="A4" s="108"/>
      <c r="B4" s="67" t="s">
        <v>312</v>
      </c>
      <c r="C4" s="109"/>
      <c r="D4" s="109"/>
      <c r="E4" s="136"/>
      <c r="F4" s="136"/>
      <c r="G4" s="109"/>
      <c r="H4" s="108"/>
      <c r="I4" s="108"/>
      <c r="J4" s="108"/>
      <c r="K4" s="108"/>
      <c r="L4" s="108"/>
      <c r="M4" s="108"/>
      <c r="N4" s="108"/>
      <c r="O4" s="108"/>
      <c r="P4" s="108"/>
      <c r="Q4" s="108"/>
      <c r="R4" s="108"/>
      <c r="S4" s="108"/>
      <c r="T4" s="108"/>
      <c r="U4" s="108"/>
      <c r="V4" s="108"/>
      <c r="W4" s="108"/>
    </row>
    <row r="5">
      <c r="A5" s="108"/>
      <c r="B5" s="137" t="s">
        <v>313</v>
      </c>
      <c r="E5" s="138"/>
      <c r="F5" s="138"/>
      <c r="G5" s="137"/>
      <c r="H5" s="108"/>
      <c r="I5" s="108"/>
      <c r="J5" s="108"/>
      <c r="K5" s="108"/>
      <c r="L5" s="108"/>
      <c r="M5" s="108"/>
      <c r="N5" s="108"/>
      <c r="O5" s="108"/>
      <c r="P5" s="108"/>
      <c r="Q5" s="108"/>
      <c r="R5" s="108"/>
      <c r="S5" s="108"/>
      <c r="T5" s="108"/>
      <c r="U5" s="108"/>
      <c r="V5" s="108"/>
      <c r="W5" s="108"/>
    </row>
    <row r="6">
      <c r="A6" s="108"/>
      <c r="E6" s="138"/>
      <c r="F6" s="138"/>
      <c r="G6" s="137"/>
      <c r="H6" s="108"/>
      <c r="I6" s="108"/>
      <c r="J6" s="108"/>
      <c r="K6" s="108"/>
      <c r="L6" s="108"/>
      <c r="M6" s="108"/>
      <c r="N6" s="108"/>
      <c r="O6" s="108"/>
      <c r="P6" s="108"/>
      <c r="Q6" s="108"/>
      <c r="R6" s="108"/>
      <c r="S6" s="108"/>
      <c r="T6" s="108"/>
      <c r="U6" s="108"/>
      <c r="V6" s="108"/>
      <c r="W6" s="108"/>
    </row>
    <row r="7">
      <c r="A7" s="108"/>
      <c r="B7" s="109"/>
      <c r="C7" s="109"/>
      <c r="D7" s="109"/>
      <c r="E7" s="136"/>
      <c r="F7" s="136"/>
      <c r="G7" s="109"/>
      <c r="H7" s="108"/>
      <c r="I7" s="108"/>
      <c r="J7" s="108"/>
      <c r="K7" s="108"/>
      <c r="L7" s="108"/>
      <c r="M7" s="108"/>
      <c r="N7" s="108"/>
      <c r="O7" s="108"/>
      <c r="P7" s="108"/>
      <c r="Q7" s="108"/>
      <c r="R7" s="108"/>
      <c r="S7" s="108"/>
      <c r="T7" s="108"/>
      <c r="U7" s="108"/>
      <c r="V7" s="108"/>
      <c r="W7" s="108"/>
    </row>
    <row r="8">
      <c r="A8" s="108"/>
      <c r="B8" s="110" t="s">
        <v>79</v>
      </c>
      <c r="C8" s="109"/>
      <c r="D8" s="109"/>
      <c r="E8" s="136"/>
      <c r="F8" s="136"/>
      <c r="G8" s="109"/>
      <c r="H8" s="108"/>
      <c r="I8" s="108"/>
      <c r="J8" s="108"/>
      <c r="K8" s="108"/>
      <c r="L8" s="108"/>
      <c r="M8" s="108"/>
      <c r="N8" s="108"/>
      <c r="O8" s="108"/>
      <c r="P8" s="108"/>
      <c r="Q8" s="108"/>
      <c r="R8" s="108"/>
      <c r="S8" s="108"/>
      <c r="T8" s="108"/>
      <c r="U8" s="108"/>
      <c r="V8" s="108"/>
      <c r="W8" s="108"/>
    </row>
    <row r="9">
      <c r="A9" s="108"/>
      <c r="B9" s="111" t="s">
        <v>314</v>
      </c>
      <c r="C9" s="109"/>
      <c r="D9" s="109"/>
      <c r="E9" s="136"/>
      <c r="F9" s="136"/>
      <c r="G9" s="109"/>
      <c r="H9" s="108"/>
      <c r="I9" s="108"/>
      <c r="J9" s="108"/>
      <c r="K9" s="108"/>
      <c r="L9" s="108"/>
      <c r="M9" s="108"/>
      <c r="N9" s="108"/>
      <c r="O9" s="108"/>
      <c r="P9" s="108"/>
      <c r="Q9" s="108"/>
      <c r="R9" s="108"/>
      <c r="S9" s="108"/>
      <c r="T9" s="108"/>
      <c r="U9" s="108"/>
      <c r="V9" s="108"/>
      <c r="W9" s="108"/>
    </row>
    <row r="10">
      <c r="A10" s="108"/>
      <c r="B10" s="108"/>
      <c r="C10" s="108"/>
      <c r="D10" s="108"/>
      <c r="E10" s="135"/>
      <c r="F10" s="135"/>
      <c r="G10" s="108"/>
      <c r="H10" s="108"/>
      <c r="I10" s="108"/>
      <c r="J10" s="108"/>
      <c r="K10" s="108"/>
      <c r="L10" s="108"/>
      <c r="M10" s="108"/>
      <c r="N10" s="108"/>
      <c r="O10" s="108"/>
      <c r="P10" s="108"/>
      <c r="Q10" s="108"/>
      <c r="R10" s="108"/>
      <c r="S10" s="108"/>
      <c r="T10" s="139"/>
      <c r="U10" s="140"/>
      <c r="V10" s="108"/>
      <c r="W10" s="108"/>
    </row>
    <row r="11">
      <c r="A11" s="108"/>
      <c r="B11" s="107" t="s">
        <v>315</v>
      </c>
      <c r="C11" s="108"/>
      <c r="D11" s="108"/>
      <c r="E11" s="135"/>
      <c r="F11" s="135"/>
      <c r="G11" s="108"/>
      <c r="H11" s="108"/>
      <c r="I11" s="108"/>
      <c r="J11" s="108"/>
      <c r="K11" s="108"/>
      <c r="L11" s="108"/>
      <c r="M11" s="108"/>
      <c r="N11" s="108"/>
      <c r="O11" s="108"/>
      <c r="P11" s="108"/>
      <c r="Q11" s="108"/>
      <c r="R11" s="108"/>
      <c r="S11" s="108"/>
      <c r="T11" s="139">
        <f>(U11/12)*24</f>
        <v>181.8666667</v>
      </c>
      <c r="U11" s="140">
        <f>(SUM(H33:S33)*8.8)/24</f>
        <v>90.93333333</v>
      </c>
      <c r="V11" s="108"/>
      <c r="W11" s="108"/>
    </row>
    <row r="12">
      <c r="A12" s="108"/>
      <c r="B12" s="141" t="s">
        <v>106</v>
      </c>
      <c r="C12" s="141" t="s">
        <v>316</v>
      </c>
      <c r="D12" s="141" t="s">
        <v>317</v>
      </c>
      <c r="E12" s="142" t="s">
        <v>318</v>
      </c>
      <c r="F12" s="142" t="s">
        <v>319</v>
      </c>
      <c r="G12" s="141" t="s">
        <v>320</v>
      </c>
      <c r="H12" s="143" t="s">
        <v>321</v>
      </c>
      <c r="I12" s="143" t="s">
        <v>322</v>
      </c>
      <c r="J12" s="143" t="s">
        <v>323</v>
      </c>
      <c r="K12" s="143" t="s">
        <v>324</v>
      </c>
      <c r="L12" s="143" t="s">
        <v>325</v>
      </c>
      <c r="M12" s="143" t="s">
        <v>326</v>
      </c>
      <c r="N12" s="143" t="s">
        <v>327</v>
      </c>
      <c r="O12" s="143" t="s">
        <v>328</v>
      </c>
      <c r="P12" s="143" t="s">
        <v>329</v>
      </c>
      <c r="Q12" s="143" t="s">
        <v>330</v>
      </c>
      <c r="R12" s="143" t="s">
        <v>331</v>
      </c>
      <c r="S12" s="143" t="s">
        <v>332</v>
      </c>
      <c r="T12" s="143" t="s">
        <v>333</v>
      </c>
      <c r="U12" s="143" t="s">
        <v>334</v>
      </c>
      <c r="V12" s="143" t="s">
        <v>335</v>
      </c>
      <c r="W12" s="143" t="s">
        <v>336</v>
      </c>
    </row>
    <row r="13" ht="11.25" customHeight="1">
      <c r="A13" s="117"/>
      <c r="B13" s="144" t="s">
        <v>144</v>
      </c>
      <c r="C13" s="145" t="s">
        <v>337</v>
      </c>
      <c r="D13" s="145" t="s">
        <v>338</v>
      </c>
      <c r="E13" s="146" t="s">
        <v>127</v>
      </c>
      <c r="F13" s="147" t="s">
        <v>41</v>
      </c>
      <c r="G13" s="145"/>
      <c r="H13" s="148">
        <v>5343.94</v>
      </c>
      <c r="I13" s="148">
        <v>5343.94</v>
      </c>
      <c r="J13" s="148">
        <v>5343.94</v>
      </c>
      <c r="K13" s="148">
        <v>5343.94</v>
      </c>
      <c r="L13" s="148">
        <v>5584.42</v>
      </c>
      <c r="M13" s="148">
        <v>5584.42</v>
      </c>
      <c r="N13" s="148">
        <v>5743.25</v>
      </c>
      <c r="O13" s="148">
        <v>5743.25</v>
      </c>
      <c r="P13" s="148">
        <v>5743.25</v>
      </c>
      <c r="Q13" s="148">
        <v>6143.46</v>
      </c>
      <c r="R13" s="148">
        <v>6143.46</v>
      </c>
      <c r="S13" s="148">
        <v>6143.46</v>
      </c>
      <c r="T13" s="140">
        <f>IFERROR(__xludf.DUMMYFUNCTION("IFERROR(if(W13=true, SUM(FILTER(TIMESHEET!$G:$G,TIMESHEET!O:O = TRUE,TIMESHEET!P:P = TRUE,TIMESHEET!E:E = B13,TIMESHEET!F:F &lt; DATE(2024,1,1))),0),0)"),29.781250000000032)</f>
        <v>29.78125</v>
      </c>
      <c r="U13" s="149">
        <f t="shared" ref="U13:U25" si="1">T13/$U$11</f>
        <v>0.327506415</v>
      </c>
      <c r="V13" s="150" t="str">
        <f t="shared" ref="V13:V25" si="2">IF(U13&lt;80%,"Parcial","Exclusivo")</f>
        <v>Parcial</v>
      </c>
      <c r="W13" s="151" t="b">
        <v>1</v>
      </c>
    </row>
    <row r="14" ht="11.25" customHeight="1">
      <c r="A14" s="117"/>
      <c r="B14" s="134" t="s">
        <v>307</v>
      </c>
      <c r="C14" s="145" t="s">
        <v>339</v>
      </c>
      <c r="D14" s="145" t="s">
        <v>338</v>
      </c>
      <c r="E14" s="146" t="s">
        <v>340</v>
      </c>
      <c r="F14" s="147" t="s">
        <v>41</v>
      </c>
      <c r="G14" s="145"/>
      <c r="H14" s="148">
        <v>0.0</v>
      </c>
      <c r="I14" s="148">
        <v>0.0</v>
      </c>
      <c r="J14" s="148">
        <v>0.0</v>
      </c>
      <c r="K14" s="148">
        <v>0.0</v>
      </c>
      <c r="L14" s="148">
        <v>4594.31</v>
      </c>
      <c r="M14" s="148">
        <v>4594.31</v>
      </c>
      <c r="N14" s="148">
        <v>4594.31</v>
      </c>
      <c r="O14" s="148">
        <v>4594.31</v>
      </c>
      <c r="P14" s="148">
        <v>4594.31</v>
      </c>
      <c r="Q14" s="148">
        <v>4594.31</v>
      </c>
      <c r="R14" s="148">
        <v>4594.31</v>
      </c>
      <c r="S14" s="148">
        <v>4594.31</v>
      </c>
      <c r="T14" s="140">
        <f>IFERROR(__xludf.DUMMYFUNCTION("IFERROR(if(W14=true, SUM(FILTER(TIMESHEET!$G:$G,TIMESHEET!O:O = TRUE,TIMESHEET!P:P = TRUE,TIMESHEET!E:E = B14,TIMESHEET!F:F &lt; DATE(2024,1,1))),0),0)"),3.1319444444444455)</f>
        <v>3.131944444</v>
      </c>
      <c r="U14" s="149">
        <f t="shared" si="1"/>
        <v>0.0344422043</v>
      </c>
      <c r="V14" s="150" t="str">
        <f t="shared" si="2"/>
        <v>Parcial</v>
      </c>
      <c r="W14" s="152" t="b">
        <v>1</v>
      </c>
    </row>
    <row r="15" ht="11.25" customHeight="1">
      <c r="A15" s="117"/>
      <c r="B15" s="153" t="s">
        <v>113</v>
      </c>
      <c r="C15" s="154" t="s">
        <v>341</v>
      </c>
      <c r="D15" s="154" t="s">
        <v>342</v>
      </c>
      <c r="E15" s="146" t="s">
        <v>114</v>
      </c>
      <c r="F15" s="147" t="s">
        <v>343</v>
      </c>
      <c r="G15" s="145"/>
      <c r="H15" s="148">
        <v>36129.83</v>
      </c>
      <c r="I15" s="148">
        <v>36129.83</v>
      </c>
      <c r="J15" s="148">
        <v>36129.83</v>
      </c>
      <c r="K15" s="148">
        <v>36129.83</v>
      </c>
      <c r="L15" s="148">
        <v>36129.83</v>
      </c>
      <c r="M15" s="148">
        <v>37755.67</v>
      </c>
      <c r="N15" s="148">
        <v>37755.67</v>
      </c>
      <c r="O15" s="148">
        <v>37755.67</v>
      </c>
      <c r="P15" s="148">
        <v>37755.67</v>
      </c>
      <c r="Q15" s="148">
        <v>37755.67</v>
      </c>
      <c r="R15" s="148">
        <v>37755.67</v>
      </c>
      <c r="S15" s="148">
        <v>37755.67</v>
      </c>
      <c r="T15" s="140">
        <f>IFERROR(__xludf.DUMMYFUNCTION("IFERROR(if(W15=true, SUM(FILTER(TIMESHEET!$G:$G,TIMESHEET!O:O = TRUE,TIMESHEET!P:P = TRUE,TIMESHEET!E:E = B15,TIMESHEET!F:F &lt; DATE(2024,1,1))),0),0)"),1.1354166666666667)</f>
        <v>1.135416667</v>
      </c>
      <c r="U15" s="149">
        <f t="shared" si="1"/>
        <v>0.01248625367</v>
      </c>
      <c r="V15" s="150" t="str">
        <f t="shared" si="2"/>
        <v>Parcial</v>
      </c>
      <c r="W15" s="151" t="b">
        <v>1</v>
      </c>
    </row>
    <row r="16" ht="11.25" customHeight="1">
      <c r="A16" s="117"/>
      <c r="B16" s="144" t="s">
        <v>137</v>
      </c>
      <c r="C16" s="145" t="s">
        <v>344</v>
      </c>
      <c r="D16" s="145" t="s">
        <v>338</v>
      </c>
      <c r="E16" s="146" t="s">
        <v>111</v>
      </c>
      <c r="F16" s="147" t="s">
        <v>39</v>
      </c>
      <c r="G16" s="145"/>
      <c r="H16" s="148">
        <v>4757.63</v>
      </c>
      <c r="I16" s="148">
        <v>4757.63</v>
      </c>
      <c r="J16" s="148">
        <v>4757.63</v>
      </c>
      <c r="K16" s="148">
        <v>4757.63</v>
      </c>
      <c r="L16" s="148">
        <v>4971.72</v>
      </c>
      <c r="M16" s="148">
        <v>5318.49</v>
      </c>
      <c r="N16" s="148">
        <v>5469.76</v>
      </c>
      <c r="O16" s="148">
        <v>5469.76</v>
      </c>
      <c r="P16" s="148">
        <v>5469.76</v>
      </c>
      <c r="Q16" s="148">
        <v>5469.76</v>
      </c>
      <c r="R16" s="148">
        <v>5469.76</v>
      </c>
      <c r="S16" s="148">
        <v>5469.76</v>
      </c>
      <c r="T16" s="140">
        <f>IFERROR(__xludf.DUMMYFUNCTION("IFERROR(if(W16=true, SUM(FILTER(TIMESHEET!$G:$G,TIMESHEET!O:O = TRUE,TIMESHEET!P:P = TRUE,TIMESHEET!E:E = B16,TIMESHEET!F:F &lt; DATE(2024,1,1))),0),0)"),7.510416666666668)</f>
        <v>7.510416667</v>
      </c>
      <c r="U16" s="149">
        <f t="shared" si="1"/>
        <v>0.08259255865</v>
      </c>
      <c r="V16" s="150" t="str">
        <f t="shared" si="2"/>
        <v>Parcial</v>
      </c>
      <c r="W16" s="151" t="b">
        <v>1</v>
      </c>
    </row>
    <row r="17" ht="11.25" customHeight="1">
      <c r="A17" s="117"/>
      <c r="B17" s="144" t="s">
        <v>126</v>
      </c>
      <c r="C17" s="145" t="s">
        <v>345</v>
      </c>
      <c r="D17" s="145" t="s">
        <v>338</v>
      </c>
      <c r="E17" s="146" t="s">
        <v>127</v>
      </c>
      <c r="F17" s="147" t="s">
        <v>343</v>
      </c>
      <c r="G17" s="145"/>
      <c r="H17" s="148">
        <v>5343.94</v>
      </c>
      <c r="I17" s="148">
        <v>5343.94</v>
      </c>
      <c r="J17" s="148">
        <v>5343.94</v>
      </c>
      <c r="K17" s="148">
        <v>5343.94</v>
      </c>
      <c r="L17" s="148">
        <v>5584.42</v>
      </c>
      <c r="M17" s="148">
        <v>5584.42</v>
      </c>
      <c r="N17" s="148">
        <v>5743.25</v>
      </c>
      <c r="O17" s="148">
        <v>5743.25</v>
      </c>
      <c r="P17" s="148">
        <v>5743.25</v>
      </c>
      <c r="Q17" s="148">
        <v>5743.25</v>
      </c>
      <c r="R17" s="148">
        <v>5743.25</v>
      </c>
      <c r="S17" s="148">
        <v>5743.25</v>
      </c>
      <c r="T17" s="140">
        <f>IFERROR(__xludf.DUMMYFUNCTION("IFERROR(if(W17=true, SUM(FILTER(TIMESHEET!$G:$G,TIMESHEET!O:O = TRUE,TIMESHEET!P:P = TRUE,TIMESHEET!E:E = B17,TIMESHEET!F:F &lt; DATE(2024,1,1))),0),0)"),8.249999999999998)</f>
        <v>8.25</v>
      </c>
      <c r="U17" s="149">
        <f t="shared" si="1"/>
        <v>0.09072580645</v>
      </c>
      <c r="V17" s="150" t="str">
        <f t="shared" si="2"/>
        <v>Parcial</v>
      </c>
      <c r="W17" s="151" t="b">
        <v>1</v>
      </c>
    </row>
    <row r="18" ht="11.25" customHeight="1">
      <c r="A18" s="117"/>
      <c r="B18" s="144" t="s">
        <v>129</v>
      </c>
      <c r="C18" s="145" t="s">
        <v>346</v>
      </c>
      <c r="D18" s="145" t="s">
        <v>338</v>
      </c>
      <c r="E18" s="146" t="s">
        <v>130</v>
      </c>
      <c r="F18" s="147" t="s">
        <v>41</v>
      </c>
      <c r="G18" s="145"/>
      <c r="H18" s="148">
        <v>16734.6</v>
      </c>
      <c r="I18" s="148">
        <v>16734.6</v>
      </c>
      <c r="J18" s="148">
        <v>16734.6</v>
      </c>
      <c r="K18" s="148">
        <v>16734.6</v>
      </c>
      <c r="L18" s="148">
        <v>17487.66</v>
      </c>
      <c r="M18" s="148">
        <v>17487.66</v>
      </c>
      <c r="N18" s="148">
        <v>17985.04</v>
      </c>
      <c r="O18" s="148">
        <v>17985.04</v>
      </c>
      <c r="P18" s="148">
        <v>17985.04</v>
      </c>
      <c r="Q18" s="148">
        <v>17985.04</v>
      </c>
      <c r="R18" s="148">
        <v>17985.04</v>
      </c>
      <c r="S18" s="148">
        <v>17985.04</v>
      </c>
      <c r="T18" s="140">
        <f>IFERROR(__xludf.DUMMYFUNCTION("IFERROR(if(W18=true, SUM(FILTER(TIMESHEET!$G:$G,TIMESHEET!O:O = TRUE,TIMESHEET!P:P = TRUE,TIMESHEET!E:E = B18,TIMESHEET!F:F &lt; DATE(2024,1,1))),0),0)"),6.437500000000004)</f>
        <v>6.4375</v>
      </c>
      <c r="U18" s="149">
        <f t="shared" si="1"/>
        <v>0.0707936217</v>
      </c>
      <c r="V18" s="150" t="str">
        <f t="shared" si="2"/>
        <v>Parcial</v>
      </c>
      <c r="W18" s="151" t="b">
        <v>1</v>
      </c>
    </row>
    <row r="19" ht="11.25" customHeight="1">
      <c r="A19" s="117"/>
      <c r="B19" s="144" t="s">
        <v>146</v>
      </c>
      <c r="C19" s="145" t="s">
        <v>347</v>
      </c>
      <c r="D19" s="145" t="s">
        <v>338</v>
      </c>
      <c r="E19" s="146" t="s">
        <v>348</v>
      </c>
      <c r="F19" s="147" t="s">
        <v>41</v>
      </c>
      <c r="G19" s="145"/>
      <c r="H19" s="148">
        <v>9883.44</v>
      </c>
      <c r="I19" s="148">
        <v>9883.44</v>
      </c>
      <c r="J19" s="148">
        <v>9883.44</v>
      </c>
      <c r="K19" s="148">
        <v>9883.44</v>
      </c>
      <c r="L19" s="148">
        <v>10328.19</v>
      </c>
      <c r="M19" s="148">
        <v>10915.04</v>
      </c>
      <c r="N19" s="148">
        <v>11225.48</v>
      </c>
      <c r="O19" s="148">
        <v>11225.48</v>
      </c>
      <c r="P19" s="148">
        <v>11225.48</v>
      </c>
      <c r="Q19" s="148">
        <v>11225.48</v>
      </c>
      <c r="R19" s="148">
        <v>11225.48</v>
      </c>
      <c r="S19" s="148">
        <v>11225.48</v>
      </c>
      <c r="T19" s="140">
        <f>IFERROR(__xludf.DUMMYFUNCTION("IFERROR(if(W19=true, SUM(FILTER(TIMESHEET!$G:$G,TIMESHEET!O:O = TRUE,TIMESHEET!P:P = TRUE,TIMESHEET!E:E = B19,TIMESHEET!F:F &lt; DATE(2024,1,1))),0),0)"),23.151388888888892)</f>
        <v>23.15138889</v>
      </c>
      <c r="U19" s="149">
        <f t="shared" si="1"/>
        <v>0.2545973851</v>
      </c>
      <c r="V19" s="150" t="str">
        <f t="shared" si="2"/>
        <v>Parcial</v>
      </c>
      <c r="W19" s="151" t="b">
        <v>1</v>
      </c>
    </row>
    <row r="20" ht="11.25" customHeight="1">
      <c r="A20" s="117"/>
      <c r="B20" s="144" t="s">
        <v>110</v>
      </c>
      <c r="C20" s="145" t="s">
        <v>349</v>
      </c>
      <c r="D20" s="145" t="s">
        <v>338</v>
      </c>
      <c r="E20" s="146" t="s">
        <v>111</v>
      </c>
      <c r="F20" s="147" t="s">
        <v>39</v>
      </c>
      <c r="G20" s="145"/>
      <c r="H20" s="148">
        <v>7037.58</v>
      </c>
      <c r="I20" s="148">
        <v>7037.58</v>
      </c>
      <c r="J20" s="148">
        <v>7037.58</v>
      </c>
      <c r="K20" s="148">
        <v>7037.58</v>
      </c>
      <c r="L20" s="148">
        <v>7354.27</v>
      </c>
      <c r="M20" s="148">
        <v>7354.27</v>
      </c>
      <c r="N20" s="148">
        <v>7563.44</v>
      </c>
      <c r="O20" s="148">
        <v>7563.44</v>
      </c>
      <c r="P20" s="148">
        <v>7563.44</v>
      </c>
      <c r="Q20" s="148">
        <v>7563.44</v>
      </c>
      <c r="R20" s="148">
        <v>7563.44</v>
      </c>
      <c r="S20" s="148">
        <v>7563.44</v>
      </c>
      <c r="T20" s="140">
        <f>IFERROR(__xludf.DUMMYFUNCTION("IFERROR(if(W20=true, SUM(FILTER(TIMESHEET!$G:$G,TIMESHEET!O:O = TRUE,TIMESHEET!P:P = TRUE,TIMESHEET!E:E = B20,TIMESHEET!F:F &lt; DATE(2024,1,1))),0),0)"),39.485416666666666)</f>
        <v>39.48541667</v>
      </c>
      <c r="U20" s="149">
        <f t="shared" si="1"/>
        <v>0.4342237903</v>
      </c>
      <c r="V20" s="150" t="str">
        <f t="shared" si="2"/>
        <v>Parcial</v>
      </c>
      <c r="W20" s="151" t="b">
        <v>1</v>
      </c>
    </row>
    <row r="21" ht="9.75" customHeight="1">
      <c r="A21" s="117"/>
      <c r="B21" s="144" t="s">
        <v>116</v>
      </c>
      <c r="C21" s="145" t="s">
        <v>350</v>
      </c>
      <c r="D21" s="145" t="s">
        <v>338</v>
      </c>
      <c r="E21" s="146" t="s">
        <v>351</v>
      </c>
      <c r="F21" s="147" t="s">
        <v>343</v>
      </c>
      <c r="G21" s="145"/>
      <c r="H21" s="148">
        <v>21522.0</v>
      </c>
      <c r="I21" s="148">
        <v>21522.0</v>
      </c>
      <c r="J21" s="148">
        <v>21522.0</v>
      </c>
      <c r="K21" s="148">
        <v>21522.0</v>
      </c>
      <c r="L21" s="148">
        <v>22940.49</v>
      </c>
      <c r="M21" s="148">
        <v>22940.49</v>
      </c>
      <c r="N21" s="148">
        <v>23130.16</v>
      </c>
      <c r="O21" s="148">
        <v>23130.16</v>
      </c>
      <c r="P21" s="148">
        <v>23130.16</v>
      </c>
      <c r="Q21" s="148">
        <v>23130.16</v>
      </c>
      <c r="R21" s="148">
        <v>23130.16</v>
      </c>
      <c r="S21" s="148">
        <v>23130.16</v>
      </c>
      <c r="T21" s="140">
        <f>IFERROR(__xludf.DUMMYFUNCTION("IFERROR(if(W21=true, SUM(FILTER(TIMESHEET!$G:$G,TIMESHEET!O:O = TRUE,TIMESHEET!P:P = TRUE,TIMESHEET!E:E = B21,TIMESHEET!F:F &lt; DATE(2024,1,1))),0),0)"),1.9375000000000007)</f>
        <v>1.9375</v>
      </c>
      <c r="U21" s="149">
        <f t="shared" si="1"/>
        <v>0.02130681818</v>
      </c>
      <c r="V21" s="150" t="str">
        <f t="shared" si="2"/>
        <v>Parcial</v>
      </c>
      <c r="W21" s="151" t="b">
        <v>1</v>
      </c>
    </row>
    <row r="22" ht="11.25" customHeight="1">
      <c r="A22" s="117"/>
      <c r="B22" s="144" t="s">
        <v>128</v>
      </c>
      <c r="C22" s="145" t="s">
        <v>352</v>
      </c>
      <c r="D22" s="145" t="s">
        <v>338</v>
      </c>
      <c r="E22" s="146" t="s">
        <v>111</v>
      </c>
      <c r="F22" s="147" t="s">
        <v>39</v>
      </c>
      <c r="G22" s="145"/>
      <c r="H22" s="148">
        <v>3962.54</v>
      </c>
      <c r="I22" s="148">
        <v>3962.54</v>
      </c>
      <c r="J22" s="148">
        <v>3962.54</v>
      </c>
      <c r="K22" s="148">
        <v>3962.54</v>
      </c>
      <c r="L22" s="148">
        <v>4140.85</v>
      </c>
      <c r="M22" s="148">
        <v>5318.49</v>
      </c>
      <c r="N22" s="148">
        <v>5318.49</v>
      </c>
      <c r="O22" s="148">
        <v>5318.49</v>
      </c>
      <c r="P22" s="148">
        <v>5318.49</v>
      </c>
      <c r="Q22" s="148">
        <v>5318.49</v>
      </c>
      <c r="R22" s="148">
        <v>5318.49</v>
      </c>
      <c r="S22" s="148">
        <v>5318.49</v>
      </c>
      <c r="T22" s="140">
        <f>IFERROR(__xludf.DUMMYFUNCTION("IFERROR(if(W22=true, SUM(FILTER(TIMESHEET!$G:$G,TIMESHEET!O:O = TRUE,TIMESHEET!P:P = TRUE,TIMESHEET!E:E = B22,TIMESHEET!F:F &lt; DATE(2024,1,1))),0),0)"),2.447916666666667)</f>
        <v>2.447916667</v>
      </c>
      <c r="U22" s="149">
        <f t="shared" si="1"/>
        <v>0.02691990469</v>
      </c>
      <c r="V22" s="150" t="str">
        <f t="shared" si="2"/>
        <v>Parcial</v>
      </c>
      <c r="W22" s="151" t="b">
        <v>1</v>
      </c>
    </row>
    <row r="23" ht="11.25" customHeight="1">
      <c r="A23" s="117"/>
      <c r="B23" s="155" t="s">
        <v>306</v>
      </c>
      <c r="C23" s="156"/>
      <c r="D23" s="156" t="s">
        <v>338</v>
      </c>
      <c r="E23" s="157"/>
      <c r="F23" s="158" t="s">
        <v>39</v>
      </c>
      <c r="G23" s="145"/>
      <c r="H23" s="148">
        <v>4616.29</v>
      </c>
      <c r="I23" s="148">
        <v>4616.29</v>
      </c>
      <c r="J23" s="148">
        <v>4616.29</v>
      </c>
      <c r="K23" s="148">
        <v>4616.29</v>
      </c>
      <c r="L23" s="148">
        <v>4824.02</v>
      </c>
      <c r="M23" s="148">
        <v>0.0</v>
      </c>
      <c r="N23" s="148">
        <v>0.0</v>
      </c>
      <c r="O23" s="148">
        <v>0.0</v>
      </c>
      <c r="P23" s="148">
        <v>0.0</v>
      </c>
      <c r="Q23" s="148">
        <v>0.0</v>
      </c>
      <c r="R23" s="148">
        <v>0.0</v>
      </c>
      <c r="S23" s="148">
        <v>0.0</v>
      </c>
      <c r="T23" s="140">
        <f>IFERROR(__xludf.DUMMYFUNCTION("IFERROR(if(W23=true, SUM(FILTER(TIMESHEET!$G:$G,TIMESHEET!O:O = TRUE,TIMESHEET!P:P = TRUE,TIMESHEET!E:E = B23,TIMESHEET!F:F &lt; DATE(2024,1,1))),0),0)"),4.829861111111112)</f>
        <v>4.829861111</v>
      </c>
      <c r="U23" s="149">
        <f t="shared" si="1"/>
        <v>0.05311430841</v>
      </c>
      <c r="V23" s="150" t="str">
        <f t="shared" si="2"/>
        <v>Parcial</v>
      </c>
      <c r="W23" s="151" t="b">
        <v>1</v>
      </c>
    </row>
    <row r="24" ht="11.25" customHeight="1">
      <c r="A24" s="117"/>
      <c r="B24" s="144" t="s">
        <v>309</v>
      </c>
      <c r="C24" s="145" t="s">
        <v>353</v>
      </c>
      <c r="D24" s="145" t="s">
        <v>338</v>
      </c>
      <c r="E24" s="146" t="s">
        <v>354</v>
      </c>
      <c r="F24" s="147" t="s">
        <v>42</v>
      </c>
      <c r="G24" s="145"/>
      <c r="H24" s="148">
        <v>0.0</v>
      </c>
      <c r="I24" s="148">
        <v>0.0</v>
      </c>
      <c r="J24" s="148">
        <v>0.0</v>
      </c>
      <c r="K24" s="148">
        <v>0.0</v>
      </c>
      <c r="L24" s="148">
        <v>0.0</v>
      </c>
      <c r="M24" s="148">
        <v>0.0</v>
      </c>
      <c r="N24" s="148">
        <v>0.0</v>
      </c>
      <c r="O24" s="148">
        <v>0.0</v>
      </c>
      <c r="P24" s="148">
        <v>0.0</v>
      </c>
      <c r="Q24" s="148">
        <v>7234.78</v>
      </c>
      <c r="R24" s="148">
        <v>7234.78</v>
      </c>
      <c r="S24" s="148">
        <v>7234.78</v>
      </c>
      <c r="T24" s="140">
        <f>IFERROR(__xludf.DUMMYFUNCTION("IFERROR(if(W24=true, SUM(FILTER(TIMESHEET!$G:$G,TIMESHEET!O:O = TRUE,TIMESHEET!P:P = TRUE,TIMESHEET!E:E = B24,TIMESHEET!F:F &lt; DATE(2024,1,1))),0),0)"),2.15625)</f>
        <v>2.15625</v>
      </c>
      <c r="U24" s="149">
        <f t="shared" si="1"/>
        <v>0.02371242669</v>
      </c>
      <c r="V24" s="150" t="str">
        <f t="shared" si="2"/>
        <v>Parcial</v>
      </c>
      <c r="W24" s="151" t="b">
        <v>1</v>
      </c>
    </row>
    <row r="25" ht="11.25" customHeight="1">
      <c r="A25" s="117"/>
      <c r="B25" s="144" t="s">
        <v>308</v>
      </c>
      <c r="C25" s="145" t="s">
        <v>355</v>
      </c>
      <c r="D25" s="145" t="s">
        <v>338</v>
      </c>
      <c r="E25" s="146" t="s">
        <v>127</v>
      </c>
      <c r="F25" s="147" t="s">
        <v>356</v>
      </c>
      <c r="G25" s="145"/>
      <c r="H25" s="148">
        <v>0.0</v>
      </c>
      <c r="I25" s="148">
        <v>0.0</v>
      </c>
      <c r="J25" s="148">
        <v>0.0</v>
      </c>
      <c r="K25" s="148">
        <v>0.0</v>
      </c>
      <c r="L25" s="148">
        <v>0.0</v>
      </c>
      <c r="M25" s="148">
        <v>0.0</v>
      </c>
      <c r="N25" s="148">
        <v>0.0</v>
      </c>
      <c r="O25" s="148">
        <v>0.0</v>
      </c>
      <c r="P25" s="148">
        <v>0.0</v>
      </c>
      <c r="Q25" s="148">
        <v>4780.42</v>
      </c>
      <c r="R25" s="148">
        <v>4780.42</v>
      </c>
      <c r="S25" s="148">
        <v>4780.42</v>
      </c>
      <c r="T25" s="140">
        <f>IFERROR(__xludf.DUMMYFUNCTION("IFERROR(if(W25=true, SUM(FILTER(TIMESHEET!$G:$G,TIMESHEET!O:O = TRUE,TIMESHEET!P:P = TRUE,TIMESHEET!E:E = B25,TIMESHEET!F:F &lt; DATE(2024,1,1))),0),0)"),4.298611111111112)</f>
        <v>4.298611111</v>
      </c>
      <c r="U25" s="149">
        <f t="shared" si="1"/>
        <v>0.04727211632</v>
      </c>
      <c r="V25" s="150" t="str">
        <f t="shared" si="2"/>
        <v>Parcial</v>
      </c>
      <c r="W25" s="151" t="b">
        <v>1</v>
      </c>
    </row>
    <row r="26">
      <c r="B26" s="113"/>
      <c r="C26" s="137"/>
      <c r="D26" s="137"/>
      <c r="E26" s="159"/>
      <c r="F26" s="138"/>
      <c r="G26" s="137"/>
      <c r="H26" s="160"/>
      <c r="I26" s="160"/>
      <c r="J26" s="160"/>
      <c r="K26" s="160"/>
      <c r="L26" s="160"/>
      <c r="M26" s="160"/>
      <c r="N26" s="160"/>
      <c r="O26" s="160"/>
      <c r="P26" s="160"/>
      <c r="Q26" s="160"/>
      <c r="R26" s="160"/>
      <c r="S26" s="160"/>
      <c r="T26" s="150"/>
      <c r="U26" s="149"/>
      <c r="V26" s="150"/>
      <c r="W26" s="151"/>
    </row>
    <row r="27">
      <c r="A27" s="117"/>
      <c r="B27" s="161" t="s">
        <v>357</v>
      </c>
      <c r="C27" s="162"/>
      <c r="D27" s="162"/>
      <c r="E27" s="162"/>
      <c r="F27" s="162"/>
      <c r="G27" s="162"/>
      <c r="H27" s="163"/>
      <c r="I27" s="163"/>
      <c r="J27" s="163"/>
      <c r="K27" s="163"/>
      <c r="L27" s="160"/>
      <c r="M27" s="160"/>
      <c r="N27" s="160"/>
      <c r="O27" s="160"/>
      <c r="P27" s="160"/>
      <c r="Q27" s="160"/>
      <c r="R27" s="160"/>
      <c r="S27" s="160"/>
      <c r="T27" s="150"/>
      <c r="U27" s="149"/>
      <c r="V27" s="150"/>
      <c r="W27" s="151"/>
    </row>
    <row r="28">
      <c r="A28" s="117"/>
      <c r="B28" s="164"/>
      <c r="C28" s="164"/>
      <c r="D28" s="164"/>
      <c r="E28" s="164"/>
      <c r="F28" s="164"/>
      <c r="G28" s="162"/>
      <c r="H28" s="163"/>
      <c r="I28" s="165"/>
      <c r="J28" s="165"/>
      <c r="K28" s="165"/>
      <c r="L28" s="160"/>
      <c r="M28" s="160"/>
      <c r="N28" s="160"/>
      <c r="O28" s="160"/>
      <c r="P28" s="160"/>
      <c r="Q28" s="160"/>
      <c r="R28" s="160"/>
      <c r="S28" s="160"/>
      <c r="T28" s="150"/>
      <c r="U28" s="149"/>
      <c r="V28" s="150"/>
      <c r="W28" s="151"/>
    </row>
    <row r="29" ht="12.0" customHeight="1">
      <c r="A29" s="117"/>
      <c r="B29" s="166" t="s">
        <v>358</v>
      </c>
      <c r="C29" s="167"/>
      <c r="D29" s="167"/>
      <c r="E29" s="167"/>
      <c r="F29" s="168"/>
      <c r="G29" s="162"/>
      <c r="H29" s="169"/>
      <c r="I29" s="170" t="s">
        <v>359</v>
      </c>
      <c r="J29" s="171" t="s">
        <v>360</v>
      </c>
      <c r="K29" s="172">
        <v>0.2</v>
      </c>
      <c r="L29" s="160"/>
      <c r="M29" s="160"/>
      <c r="N29" s="160"/>
      <c r="O29" s="160"/>
      <c r="P29" s="160"/>
      <c r="Q29" s="160"/>
      <c r="R29" s="160"/>
      <c r="S29" s="160"/>
      <c r="T29" s="150"/>
      <c r="U29" s="149"/>
      <c r="V29" s="150"/>
      <c r="W29" s="151"/>
    </row>
    <row r="30" ht="12.0" customHeight="1">
      <c r="A30" s="117"/>
      <c r="B30" s="173" t="s">
        <v>359</v>
      </c>
      <c r="C30" s="174" t="s">
        <v>361</v>
      </c>
      <c r="D30" s="174" t="s">
        <v>362</v>
      </c>
      <c r="E30" s="174" t="s">
        <v>363</v>
      </c>
      <c r="F30" s="175" t="s">
        <v>364</v>
      </c>
      <c r="G30" s="176"/>
      <c r="H30" s="169"/>
      <c r="J30" s="171" t="s">
        <v>14</v>
      </c>
      <c r="K30" s="172">
        <v>0.058</v>
      </c>
      <c r="L30" s="160"/>
      <c r="M30" s="160"/>
      <c r="N30" s="160"/>
      <c r="O30" s="160"/>
      <c r="P30" s="160"/>
      <c r="Q30" s="160"/>
      <c r="R30" s="160"/>
      <c r="S30" s="160"/>
      <c r="T30" s="150"/>
      <c r="U30" s="149"/>
      <c r="V30" s="150"/>
      <c r="W30" s="151"/>
    </row>
    <row r="31" ht="12.0" customHeight="1">
      <c r="A31" s="117"/>
      <c r="B31" s="177">
        <f>SUM(K29:K31)</f>
        <v>0.273</v>
      </c>
      <c r="C31" s="177">
        <v>0.08</v>
      </c>
      <c r="D31" s="177">
        <f>((1+(1/3))*(1+B31+C31)/12)</f>
        <v>0.1503333333</v>
      </c>
      <c r="E31" s="177">
        <f>(1+B31+C31)/12</f>
        <v>0.11275</v>
      </c>
      <c r="F31" s="178">
        <f>SUM(B31:E31)</f>
        <v>0.6160833333</v>
      </c>
      <c r="G31" s="162"/>
      <c r="H31" s="169"/>
      <c r="I31" s="167"/>
      <c r="J31" s="171" t="s">
        <v>365</v>
      </c>
      <c r="K31" s="172">
        <v>0.015</v>
      </c>
      <c r="L31" s="160"/>
      <c r="M31" s="160"/>
      <c r="N31" s="160"/>
      <c r="O31" s="160"/>
      <c r="P31" s="160"/>
      <c r="Q31" s="160"/>
      <c r="R31" s="160"/>
      <c r="S31" s="160"/>
      <c r="T31" s="150"/>
      <c r="U31" s="149"/>
      <c r="V31" s="150"/>
      <c r="W31" s="151"/>
    </row>
    <row r="32">
      <c r="A32" s="117"/>
      <c r="B32" s="179"/>
      <c r="C32" s="180"/>
      <c r="D32" s="179"/>
      <c r="E32" s="179"/>
      <c r="F32" s="181"/>
      <c r="G32" s="182"/>
      <c r="H32" s="151"/>
      <c r="I32" s="183"/>
      <c r="J32" s="184"/>
      <c r="K32" s="185"/>
      <c r="L32" s="160"/>
      <c r="M32" s="160"/>
      <c r="N32" s="160"/>
      <c r="O32" s="160"/>
      <c r="P32" s="160"/>
      <c r="Q32" s="160"/>
      <c r="R32" s="160"/>
      <c r="S32" s="160"/>
      <c r="T32" s="150"/>
      <c r="U32" s="149"/>
      <c r="V32" s="150"/>
      <c r="W32" s="151"/>
    </row>
    <row r="33">
      <c r="A33" s="108"/>
      <c r="B33" s="107"/>
      <c r="C33" s="108"/>
      <c r="D33" s="108"/>
      <c r="E33" s="135"/>
      <c r="F33" s="135"/>
      <c r="G33" s="108"/>
      <c r="H33" s="186">
        <f t="shared" ref="H33:S33" si="3">NETWORKDAYS(DATE(right(H34,4),mid(H34,4,2),1),DATE(right(H34,4),mid(H34,4,2)+1,0),$B$50:$B$61)</f>
        <v>22</v>
      </c>
      <c r="I33" s="186">
        <f t="shared" si="3"/>
        <v>17</v>
      </c>
      <c r="J33" s="186">
        <f t="shared" si="3"/>
        <v>23</v>
      </c>
      <c r="K33" s="186">
        <f t="shared" si="3"/>
        <v>18</v>
      </c>
      <c r="L33" s="186">
        <f t="shared" si="3"/>
        <v>22</v>
      </c>
      <c r="M33" s="186">
        <f t="shared" si="3"/>
        <v>21</v>
      </c>
      <c r="N33" s="186">
        <f t="shared" si="3"/>
        <v>21</v>
      </c>
      <c r="O33" s="186">
        <f t="shared" si="3"/>
        <v>23</v>
      </c>
      <c r="P33" s="186">
        <f t="shared" si="3"/>
        <v>19</v>
      </c>
      <c r="Q33" s="186">
        <f t="shared" si="3"/>
        <v>21</v>
      </c>
      <c r="R33" s="186">
        <f t="shared" si="3"/>
        <v>20</v>
      </c>
      <c r="S33" s="186">
        <f t="shared" si="3"/>
        <v>21</v>
      </c>
      <c r="T33" s="150">
        <f t="shared" ref="T33:U33" si="4">SUM(T35:T49)</f>
        <v>206908.853</v>
      </c>
      <c r="U33" s="150">
        <f t="shared" si="4"/>
        <v>206908.853</v>
      </c>
      <c r="V33" s="150">
        <f>U33-T33</f>
        <v>0</v>
      </c>
      <c r="W33" s="108"/>
    </row>
    <row r="34">
      <c r="A34" s="108"/>
      <c r="B34" s="141" t="s">
        <v>106</v>
      </c>
      <c r="C34" s="141"/>
      <c r="D34" s="141"/>
      <c r="E34" s="142" t="s">
        <v>335</v>
      </c>
      <c r="F34" s="142" t="s">
        <v>319</v>
      </c>
      <c r="G34" s="141"/>
      <c r="H34" s="187">
        <v>44957.0</v>
      </c>
      <c r="I34" s="187">
        <v>44985.0</v>
      </c>
      <c r="J34" s="187">
        <v>45016.0</v>
      </c>
      <c r="K34" s="187">
        <v>45046.0</v>
      </c>
      <c r="L34" s="187">
        <v>45077.0</v>
      </c>
      <c r="M34" s="187">
        <v>45107.0</v>
      </c>
      <c r="N34" s="187">
        <v>45138.0</v>
      </c>
      <c r="O34" s="187">
        <v>45169.0</v>
      </c>
      <c r="P34" s="187">
        <v>45199.0</v>
      </c>
      <c r="Q34" s="188">
        <v>45230.0</v>
      </c>
      <c r="R34" s="188">
        <v>45260.0</v>
      </c>
      <c r="S34" s="188">
        <v>45291.0</v>
      </c>
      <c r="T34" s="143" t="s">
        <v>366</v>
      </c>
      <c r="U34" s="143" t="s">
        <v>367</v>
      </c>
      <c r="V34" s="143" t="s">
        <v>336</v>
      </c>
      <c r="W34" s="143"/>
    </row>
    <row r="35" ht="11.25" customHeight="1">
      <c r="A35" s="117"/>
      <c r="B35" s="113" t="str">
        <f t="array" ref="B35:B47">unique(B13:B25)</f>
        <v>Ana Claudia Zanini</v>
      </c>
      <c r="C35" s="137"/>
      <c r="D35" s="137"/>
      <c r="E35" s="189" t="str">
        <f t="array" ref="E35:E47">V13:V25</f>
        <v>Parcial</v>
      </c>
      <c r="F35" s="138" t="str">
        <f t="array" ref="F35:F47">F13:F25</f>
        <v>Mestrado</v>
      </c>
      <c r="G35" s="137"/>
      <c r="H35" s="160">
        <f t="shared" ref="H35:S35" si="5">vlookup($B35,$B$13:$S$23,month(H$34)+6,0)*(1+$F$31)/(H$33*8.8)</f>
        <v>44.60874157</v>
      </c>
      <c r="I35" s="160">
        <f t="shared" si="5"/>
        <v>57.72895968</v>
      </c>
      <c r="J35" s="160">
        <f t="shared" si="5"/>
        <v>42.66923107</v>
      </c>
      <c r="K35" s="160">
        <f t="shared" si="5"/>
        <v>54.52179525</v>
      </c>
      <c r="L35" s="160">
        <f t="shared" si="5"/>
        <v>46.61615748</v>
      </c>
      <c r="M35" s="160">
        <f t="shared" si="5"/>
        <v>48.8359745</v>
      </c>
      <c r="N35" s="160">
        <f t="shared" si="5"/>
        <v>50.22494916</v>
      </c>
      <c r="O35" s="160">
        <f t="shared" si="5"/>
        <v>45.85756227</v>
      </c>
      <c r="P35" s="160">
        <f t="shared" si="5"/>
        <v>55.51178591</v>
      </c>
      <c r="Q35" s="160">
        <f t="shared" si="5"/>
        <v>53.72480149</v>
      </c>
      <c r="R35" s="160">
        <f t="shared" si="5"/>
        <v>56.41104156</v>
      </c>
      <c r="S35" s="160">
        <f t="shared" si="5"/>
        <v>53.72480149</v>
      </c>
      <c r="T35" s="150">
        <f>SUMIF(TIMESHEET!E:E,B35,TIMESHEET!N:N)</f>
        <v>27768.62166</v>
      </c>
      <c r="U35" s="150">
        <f t="shared" ref="U35:U47" si="7">SUMIF(V35,TRUE,T35)</f>
        <v>27768.62166</v>
      </c>
      <c r="V35" s="151" t="b">
        <v>1</v>
      </c>
      <c r="W35" s="151"/>
    </row>
    <row r="36" ht="11.25" customHeight="1">
      <c r="A36" s="117"/>
      <c r="B36" s="113" t="s">
        <v>307</v>
      </c>
      <c r="C36" s="137"/>
      <c r="D36" s="137"/>
      <c r="E36" s="189" t="s">
        <v>368</v>
      </c>
      <c r="F36" s="138" t="s">
        <v>41</v>
      </c>
      <c r="G36" s="137"/>
      <c r="H36" s="160">
        <f t="shared" ref="H36:S36" si="6">vlookup($B36,$B$13:$S$23,month(H$34)+6,0)*(1+$F$31)/(H$33*8.8)</f>
        <v>0</v>
      </c>
      <c r="I36" s="160">
        <f t="shared" si="6"/>
        <v>0</v>
      </c>
      <c r="J36" s="160">
        <f t="shared" si="6"/>
        <v>0</v>
      </c>
      <c r="K36" s="160">
        <f t="shared" si="6"/>
        <v>0</v>
      </c>
      <c r="L36" s="160">
        <f t="shared" si="6"/>
        <v>38.35117675</v>
      </c>
      <c r="M36" s="160">
        <f t="shared" si="6"/>
        <v>40.17742326</v>
      </c>
      <c r="N36" s="160">
        <f t="shared" si="6"/>
        <v>40.17742326</v>
      </c>
      <c r="O36" s="160">
        <f t="shared" si="6"/>
        <v>36.68373428</v>
      </c>
      <c r="P36" s="160">
        <f t="shared" si="6"/>
        <v>44.40662571</v>
      </c>
      <c r="Q36" s="160">
        <f t="shared" si="6"/>
        <v>40.17742326</v>
      </c>
      <c r="R36" s="160">
        <f t="shared" si="6"/>
        <v>42.18629443</v>
      </c>
      <c r="S36" s="160">
        <f t="shared" si="6"/>
        <v>40.17742326</v>
      </c>
      <c r="T36" s="150">
        <f>SUMIF(TIMESHEET!E:E,B36,TIMESHEET!N:N)</f>
        <v>3015.703293</v>
      </c>
      <c r="U36" s="150">
        <f t="shared" si="7"/>
        <v>3015.703293</v>
      </c>
      <c r="V36" s="151" t="b">
        <v>1</v>
      </c>
      <c r="W36" s="151"/>
    </row>
    <row r="37" ht="11.25" customHeight="1">
      <c r="A37" s="117"/>
      <c r="B37" s="190" t="s">
        <v>113</v>
      </c>
      <c r="C37" s="191"/>
      <c r="D37" s="191"/>
      <c r="E37" s="192" t="s">
        <v>368</v>
      </c>
      <c r="F37" s="193" t="s">
        <v>343</v>
      </c>
      <c r="G37" s="191"/>
      <c r="H37" s="194">
        <f t="shared" ref="H37:M37" si="8">vlookup($B37,$B$13:$S$23,month(H$34)+6,0)*(1+$F$31)/(H$33*8.8)</f>
        <v>301.5951245</v>
      </c>
      <c r="I37" s="194">
        <f t="shared" si="8"/>
        <v>390.2995729</v>
      </c>
      <c r="J37" s="194">
        <f t="shared" si="8"/>
        <v>288.482293</v>
      </c>
      <c r="K37" s="194">
        <f t="shared" si="8"/>
        <v>368.6162633</v>
      </c>
      <c r="L37" s="194">
        <f t="shared" si="8"/>
        <v>301.5951245</v>
      </c>
      <c r="M37" s="194">
        <f t="shared" si="8"/>
        <v>330.1748324</v>
      </c>
      <c r="N37" s="160">
        <f t="shared" ref="N37:S37" si="9">vlookup($B37,$B$13:$S$23,month(N$34)+6,0)/(N$33*8.8)</f>
        <v>204.3055736</v>
      </c>
      <c r="O37" s="160">
        <f t="shared" si="9"/>
        <v>186.5398715</v>
      </c>
      <c r="P37" s="160">
        <f t="shared" si="9"/>
        <v>225.8114234</v>
      </c>
      <c r="Q37" s="160">
        <f t="shared" si="9"/>
        <v>204.3055736</v>
      </c>
      <c r="R37" s="160">
        <f t="shared" si="9"/>
        <v>214.5208523</v>
      </c>
      <c r="S37" s="160">
        <f t="shared" si="9"/>
        <v>204.3055736</v>
      </c>
      <c r="T37" s="150">
        <f>SUMIF(TIMESHEET!E:E,B37,TIMESHEET!N:N)</f>
        <v>6544.841201</v>
      </c>
      <c r="U37" s="150">
        <f t="shared" si="7"/>
        <v>6544.841201</v>
      </c>
      <c r="V37" s="152" t="b">
        <v>1</v>
      </c>
      <c r="W37" s="151"/>
    </row>
    <row r="38" ht="11.25" customHeight="1">
      <c r="A38" s="117"/>
      <c r="B38" s="113" t="s">
        <v>137</v>
      </c>
      <c r="C38" s="137"/>
      <c r="D38" s="137"/>
      <c r="E38" s="189" t="s">
        <v>368</v>
      </c>
      <c r="F38" s="138" t="s">
        <v>39</v>
      </c>
      <c r="G38" s="137"/>
      <c r="H38" s="160">
        <f t="shared" ref="H38:S38" si="10">vlookup($B38,$B$13:$S$23,month(H$34)+6,0)*(1+$F$31)/(H$33*8.8)</f>
        <v>39.71449664</v>
      </c>
      <c r="I38" s="160">
        <f t="shared" si="10"/>
        <v>51.39523094</v>
      </c>
      <c r="J38" s="160">
        <f t="shared" si="10"/>
        <v>37.98777939</v>
      </c>
      <c r="K38" s="160">
        <f t="shared" si="10"/>
        <v>48.53994034</v>
      </c>
      <c r="L38" s="160">
        <f t="shared" si="10"/>
        <v>41.50162102</v>
      </c>
      <c r="M38" s="160">
        <f t="shared" si="10"/>
        <v>46.5104061</v>
      </c>
      <c r="N38" s="160">
        <f t="shared" si="10"/>
        <v>47.83326825</v>
      </c>
      <c r="O38" s="160">
        <f t="shared" si="10"/>
        <v>43.67385362</v>
      </c>
      <c r="P38" s="160">
        <f t="shared" si="10"/>
        <v>52.86834912</v>
      </c>
      <c r="Q38" s="160">
        <f t="shared" si="10"/>
        <v>47.83326825</v>
      </c>
      <c r="R38" s="160">
        <f t="shared" si="10"/>
        <v>50.22493167</v>
      </c>
      <c r="S38" s="160">
        <f t="shared" si="10"/>
        <v>47.83326825</v>
      </c>
      <c r="T38" s="150">
        <f>SUMIF(TIMESHEET!E:E,B38,TIMESHEET!N:N)</f>
        <v>8272.484287</v>
      </c>
      <c r="U38" s="150">
        <f t="shared" si="7"/>
        <v>8272.484287</v>
      </c>
      <c r="V38" s="151" t="b">
        <v>1</v>
      </c>
      <c r="W38" s="151"/>
    </row>
    <row r="39" ht="11.25" customHeight="1">
      <c r="A39" s="117"/>
      <c r="B39" s="113" t="s">
        <v>126</v>
      </c>
      <c r="C39" s="137"/>
      <c r="D39" s="137"/>
      <c r="E39" s="189" t="s">
        <v>368</v>
      </c>
      <c r="F39" s="138" t="s">
        <v>343</v>
      </c>
      <c r="G39" s="137"/>
      <c r="H39" s="160">
        <f t="shared" ref="H39:S39" si="11">vlookup($B39,$B$13:$S$23,month(H$34)+6,0)*(1+$F$31)/(H$33*8.8)</f>
        <v>44.60874157</v>
      </c>
      <c r="I39" s="160">
        <f t="shared" si="11"/>
        <v>57.72895968</v>
      </c>
      <c r="J39" s="160">
        <f t="shared" si="11"/>
        <v>42.66923107</v>
      </c>
      <c r="K39" s="160">
        <f t="shared" si="11"/>
        <v>54.52179525</v>
      </c>
      <c r="L39" s="160">
        <f t="shared" si="11"/>
        <v>46.61615748</v>
      </c>
      <c r="M39" s="160">
        <f t="shared" si="11"/>
        <v>48.8359745</v>
      </c>
      <c r="N39" s="160">
        <f t="shared" si="11"/>
        <v>50.22494916</v>
      </c>
      <c r="O39" s="160">
        <f t="shared" si="11"/>
        <v>45.85756227</v>
      </c>
      <c r="P39" s="160">
        <f t="shared" si="11"/>
        <v>55.51178591</v>
      </c>
      <c r="Q39" s="160">
        <f t="shared" si="11"/>
        <v>50.22494916</v>
      </c>
      <c r="R39" s="160">
        <f t="shared" si="11"/>
        <v>52.73619661</v>
      </c>
      <c r="S39" s="160">
        <f t="shared" si="11"/>
        <v>50.22494916</v>
      </c>
      <c r="T39" s="150">
        <f>SUMIF(TIMESHEET!E:E,B39,TIMESHEET!N:N)</f>
        <v>7868.123397</v>
      </c>
      <c r="U39" s="150">
        <f t="shared" si="7"/>
        <v>7868.123397</v>
      </c>
      <c r="V39" s="152" t="b">
        <v>1</v>
      </c>
      <c r="W39" s="151"/>
    </row>
    <row r="40" ht="11.25" customHeight="1">
      <c r="A40" s="117"/>
      <c r="B40" s="113" t="s">
        <v>129</v>
      </c>
      <c r="C40" s="137"/>
      <c r="D40" s="137"/>
      <c r="E40" s="189" t="s">
        <v>368</v>
      </c>
      <c r="F40" s="138" t="s">
        <v>41</v>
      </c>
      <c r="G40" s="137"/>
      <c r="H40" s="160">
        <f t="shared" ref="H40:S40" si="12">vlookup($B40,$B$13:$S$23,month(H$34)+6,0)*(1+$F$31)/(H$33*8.8)</f>
        <v>139.6927074</v>
      </c>
      <c r="I40" s="160">
        <f t="shared" si="12"/>
        <v>180.7787978</v>
      </c>
      <c r="J40" s="160">
        <f t="shared" si="12"/>
        <v>133.6191114</v>
      </c>
      <c r="K40" s="160">
        <f t="shared" si="12"/>
        <v>170.7355313</v>
      </c>
      <c r="L40" s="160">
        <f t="shared" si="12"/>
        <v>145.9789043</v>
      </c>
      <c r="M40" s="160">
        <f t="shared" si="12"/>
        <v>152.9302807</v>
      </c>
      <c r="N40" s="160">
        <f t="shared" si="12"/>
        <v>157.2798885</v>
      </c>
      <c r="O40" s="160">
        <f t="shared" si="12"/>
        <v>143.6033764</v>
      </c>
      <c r="P40" s="160">
        <f t="shared" si="12"/>
        <v>173.8356662</v>
      </c>
      <c r="Q40" s="160">
        <f t="shared" si="12"/>
        <v>157.2798885</v>
      </c>
      <c r="R40" s="160">
        <f t="shared" si="12"/>
        <v>165.1438829</v>
      </c>
      <c r="S40" s="160">
        <f t="shared" si="12"/>
        <v>157.2798885</v>
      </c>
      <c r="T40" s="150">
        <f>SUMIF(TIMESHEET!E:E,B40,TIMESHEET!N:N)</f>
        <v>16555.42511</v>
      </c>
      <c r="U40" s="150">
        <f t="shared" si="7"/>
        <v>16555.42511</v>
      </c>
      <c r="V40" s="151" t="b">
        <v>1</v>
      </c>
      <c r="W40" s="151"/>
    </row>
    <row r="41" ht="11.25" customHeight="1">
      <c r="A41" s="117"/>
      <c r="B41" s="113" t="s">
        <v>146</v>
      </c>
      <c r="C41" s="137"/>
      <c r="D41" s="137"/>
      <c r="E41" s="189" t="s">
        <v>368</v>
      </c>
      <c r="F41" s="138" t="s">
        <v>41</v>
      </c>
      <c r="G41" s="137"/>
      <c r="H41" s="160">
        <f t="shared" ref="H41:S41" si="13">vlookup($B41,$B$13:$S$23,month(H$34)+6,0)*(1+$F$31)/(H$33*8.8)</f>
        <v>82.50238977</v>
      </c>
      <c r="I41" s="160">
        <f t="shared" si="13"/>
        <v>106.7677985</v>
      </c>
      <c r="J41" s="160">
        <f t="shared" si="13"/>
        <v>78.91532935</v>
      </c>
      <c r="K41" s="160">
        <f t="shared" si="13"/>
        <v>100.8362542</v>
      </c>
      <c r="L41" s="160">
        <f t="shared" si="13"/>
        <v>86.21495724</v>
      </c>
      <c r="M41" s="160">
        <f t="shared" si="13"/>
        <v>95.45245794</v>
      </c>
      <c r="N41" s="160">
        <f t="shared" si="13"/>
        <v>98.16726806</v>
      </c>
      <c r="O41" s="160">
        <f t="shared" si="13"/>
        <v>89.63098388</v>
      </c>
      <c r="P41" s="160">
        <f t="shared" si="13"/>
        <v>108.5006647</v>
      </c>
      <c r="Q41" s="160">
        <f t="shared" si="13"/>
        <v>98.16726806</v>
      </c>
      <c r="R41" s="160">
        <f t="shared" si="13"/>
        <v>103.0756315</v>
      </c>
      <c r="S41" s="160">
        <f t="shared" si="13"/>
        <v>98.16726806</v>
      </c>
      <c r="T41" s="150">
        <f>SUMIF(TIMESHEET!E:E,B41,TIMESHEET!N:N)</f>
        <v>52769.51972</v>
      </c>
      <c r="U41" s="150">
        <f t="shared" si="7"/>
        <v>52769.51972</v>
      </c>
      <c r="V41" s="151" t="b">
        <v>1</v>
      </c>
      <c r="W41" s="151"/>
    </row>
    <row r="42" ht="11.25" customHeight="1">
      <c r="A42" s="117"/>
      <c r="B42" s="113" t="s">
        <v>110</v>
      </c>
      <c r="C42" s="137"/>
      <c r="D42" s="137"/>
      <c r="E42" s="189" t="s">
        <v>368</v>
      </c>
      <c r="F42" s="138" t="s">
        <v>39</v>
      </c>
      <c r="G42" s="137"/>
      <c r="H42" s="160">
        <f t="shared" ref="H42:S42" si="14">vlookup($B42,$B$13:$S$23,month(H$34)+6,0)*(1+$F$31)/(H$33*8.8)</f>
        <v>58.74646563</v>
      </c>
      <c r="I42" s="160">
        <f t="shared" si="14"/>
        <v>76.02483787</v>
      </c>
      <c r="J42" s="160">
        <f t="shared" si="14"/>
        <v>56.19227147</v>
      </c>
      <c r="K42" s="160">
        <f t="shared" si="14"/>
        <v>71.80123576</v>
      </c>
      <c r="L42" s="160">
        <f t="shared" si="14"/>
        <v>61.3900474</v>
      </c>
      <c r="M42" s="160">
        <f t="shared" si="14"/>
        <v>64.31338299</v>
      </c>
      <c r="N42" s="160">
        <f t="shared" si="14"/>
        <v>66.14258294</v>
      </c>
      <c r="O42" s="160">
        <f t="shared" si="14"/>
        <v>60.39105399</v>
      </c>
      <c r="P42" s="160">
        <f t="shared" si="14"/>
        <v>73.10496009</v>
      </c>
      <c r="Q42" s="160">
        <f t="shared" si="14"/>
        <v>66.14258294</v>
      </c>
      <c r="R42" s="160">
        <f t="shared" si="14"/>
        <v>69.44971208</v>
      </c>
      <c r="S42" s="160">
        <f t="shared" si="14"/>
        <v>66.14258294</v>
      </c>
      <c r="T42" s="150">
        <f>SUMIF(TIMESHEET!E:E,B42,TIMESHEET!N:N)</f>
        <v>61507.29402</v>
      </c>
      <c r="U42" s="150">
        <f t="shared" si="7"/>
        <v>61507.29402</v>
      </c>
      <c r="V42" s="151" t="b">
        <v>1</v>
      </c>
      <c r="W42" s="151"/>
    </row>
    <row r="43" ht="11.25" customHeight="1">
      <c r="A43" s="117"/>
      <c r="B43" s="113" t="s">
        <v>116</v>
      </c>
      <c r="C43" s="137"/>
      <c r="D43" s="137"/>
      <c r="E43" s="189" t="s">
        <v>368</v>
      </c>
      <c r="F43" s="138" t="s">
        <v>343</v>
      </c>
      <c r="G43" s="137"/>
      <c r="H43" s="160">
        <f t="shared" ref="H43:S43" si="15">vlookup($B43,$B$13:$S$23,month(H$34)+6,0)*(1+$F$31)/(H$33*8.8)</f>
        <v>179.6557102</v>
      </c>
      <c r="I43" s="160">
        <f t="shared" si="15"/>
        <v>232.495625</v>
      </c>
      <c r="J43" s="160">
        <f t="shared" si="15"/>
        <v>171.8445924</v>
      </c>
      <c r="K43" s="160">
        <f t="shared" si="15"/>
        <v>219.5792014</v>
      </c>
      <c r="L43" s="160">
        <f t="shared" si="15"/>
        <v>191.4966092</v>
      </c>
      <c r="M43" s="160">
        <f t="shared" si="15"/>
        <v>200.6154954</v>
      </c>
      <c r="N43" s="160">
        <f t="shared" si="15"/>
        <v>202.2741671</v>
      </c>
      <c r="O43" s="160">
        <f t="shared" si="15"/>
        <v>184.6851091</v>
      </c>
      <c r="P43" s="160">
        <f t="shared" si="15"/>
        <v>223.5661846</v>
      </c>
      <c r="Q43" s="160">
        <f t="shared" si="15"/>
        <v>202.2741671</v>
      </c>
      <c r="R43" s="160">
        <f t="shared" si="15"/>
        <v>212.3878754</v>
      </c>
      <c r="S43" s="160">
        <f t="shared" si="15"/>
        <v>202.2741671</v>
      </c>
      <c r="T43" s="150">
        <f>SUMIF(TIMESHEET!E:E,B43,TIMESHEET!N:N)</f>
        <v>8705.918711</v>
      </c>
      <c r="U43" s="150">
        <f t="shared" si="7"/>
        <v>8705.918711</v>
      </c>
      <c r="V43" s="151" t="b">
        <v>1</v>
      </c>
      <c r="W43" s="151"/>
    </row>
    <row r="44" ht="11.25" customHeight="1">
      <c r="A44" s="117"/>
      <c r="B44" s="113" t="s">
        <v>128</v>
      </c>
      <c r="C44" s="137"/>
      <c r="D44" s="137"/>
      <c r="E44" s="189" t="s">
        <v>368</v>
      </c>
      <c r="F44" s="138" t="s">
        <v>39</v>
      </c>
      <c r="G44" s="137"/>
      <c r="H44" s="160">
        <f>vlookup($B44,$B$13:$S$25,month(H$34)+6,0)*(1+$F$31)/(H$33*8.8)</f>
        <v>33.07745275</v>
      </c>
      <c r="I44" s="160">
        <f t="shared" ref="I44:S44" si="16">vlookup($B44,$B$13:$S$23,month(I$34)+6,0)*(1+$F$31)/(I$33*8.8)</f>
        <v>42.80611532</v>
      </c>
      <c r="J44" s="160">
        <f t="shared" si="16"/>
        <v>31.63930263</v>
      </c>
      <c r="K44" s="160">
        <f t="shared" si="16"/>
        <v>40.4279978</v>
      </c>
      <c r="L44" s="160">
        <f t="shared" si="16"/>
        <v>34.56590223</v>
      </c>
      <c r="M44" s="160">
        <f t="shared" si="16"/>
        <v>46.5104061</v>
      </c>
      <c r="N44" s="160">
        <f t="shared" si="16"/>
        <v>46.5104061</v>
      </c>
      <c r="O44" s="160">
        <f t="shared" si="16"/>
        <v>42.46602296</v>
      </c>
      <c r="P44" s="160">
        <f t="shared" si="16"/>
        <v>51.40623832</v>
      </c>
      <c r="Q44" s="160">
        <f t="shared" si="16"/>
        <v>46.5104061</v>
      </c>
      <c r="R44" s="160">
        <f t="shared" si="16"/>
        <v>48.83592641</v>
      </c>
      <c r="S44" s="160">
        <f t="shared" si="16"/>
        <v>46.5104061</v>
      </c>
      <c r="T44" s="150">
        <f>SUMIF(TIMESHEET!E:E,B44,TIMESHEET!N:N)</f>
        <v>2090.04</v>
      </c>
      <c r="U44" s="150">
        <f t="shared" si="7"/>
        <v>2090.04</v>
      </c>
      <c r="V44" s="151" t="b">
        <v>1</v>
      </c>
      <c r="W44" s="151"/>
    </row>
    <row r="45" ht="11.25" customHeight="1">
      <c r="A45" s="117"/>
      <c r="B45" s="113" t="s">
        <v>306</v>
      </c>
      <c r="C45" s="137"/>
      <c r="D45" s="137"/>
      <c r="E45" s="189" t="s">
        <v>368</v>
      </c>
      <c r="F45" s="138" t="s">
        <v>39</v>
      </c>
      <c r="G45" s="137"/>
      <c r="H45" s="160">
        <f t="shared" ref="H45:S45" si="17">vlookup($B45,$B$13:$S$23,month(H$34)+6,0)*(1+$F$31)/(H$33*8.8)</f>
        <v>38.53465563</v>
      </c>
      <c r="I45" s="160">
        <f t="shared" si="17"/>
        <v>49.86837788</v>
      </c>
      <c r="J45" s="160">
        <f t="shared" si="17"/>
        <v>36.85923582</v>
      </c>
      <c r="K45" s="160">
        <f t="shared" si="17"/>
        <v>47.09791244</v>
      </c>
      <c r="L45" s="160">
        <f t="shared" si="17"/>
        <v>40.26868968</v>
      </c>
      <c r="M45" s="160">
        <f t="shared" si="17"/>
        <v>0</v>
      </c>
      <c r="N45" s="160">
        <f t="shared" si="17"/>
        <v>0</v>
      </c>
      <c r="O45" s="160">
        <f t="shared" si="17"/>
        <v>0</v>
      </c>
      <c r="P45" s="160">
        <f t="shared" si="17"/>
        <v>0</v>
      </c>
      <c r="Q45" s="160">
        <f t="shared" si="17"/>
        <v>0</v>
      </c>
      <c r="R45" s="160">
        <f t="shared" si="17"/>
        <v>0</v>
      </c>
      <c r="S45" s="160">
        <f t="shared" si="17"/>
        <v>0</v>
      </c>
      <c r="T45" s="150">
        <f>SUMIF(TIMESHEET!E:E,B45,TIMESHEET!N:N)</f>
        <v>4085.964626</v>
      </c>
      <c r="U45" s="150">
        <f t="shared" si="7"/>
        <v>4085.964626</v>
      </c>
      <c r="V45" s="151" t="b">
        <v>1</v>
      </c>
      <c r="W45" s="151"/>
    </row>
    <row r="46" ht="11.25" customHeight="1">
      <c r="A46" s="117"/>
      <c r="B46" s="113" t="s">
        <v>309</v>
      </c>
      <c r="C46" s="137"/>
      <c r="D46" s="137"/>
      <c r="E46" s="189" t="s">
        <v>368</v>
      </c>
      <c r="F46" s="138" t="s">
        <v>42</v>
      </c>
      <c r="G46" s="137"/>
      <c r="H46" s="160">
        <f t="shared" ref="H46:S46" si="18">vlookup($B46,$B$13:$S$25,month(H$34)+6,0)*(1+$F$31)/(H$33*8.8)</f>
        <v>0</v>
      </c>
      <c r="I46" s="160">
        <f t="shared" si="18"/>
        <v>0</v>
      </c>
      <c r="J46" s="160">
        <f t="shared" si="18"/>
        <v>0</v>
      </c>
      <c r="K46" s="160">
        <f t="shared" si="18"/>
        <v>0</v>
      </c>
      <c r="L46" s="160">
        <f t="shared" si="18"/>
        <v>0</v>
      </c>
      <c r="M46" s="160">
        <f t="shared" si="18"/>
        <v>0</v>
      </c>
      <c r="N46" s="160">
        <f t="shared" si="18"/>
        <v>0</v>
      </c>
      <c r="O46" s="160">
        <f t="shared" si="18"/>
        <v>0</v>
      </c>
      <c r="P46" s="160">
        <f t="shared" si="18"/>
        <v>0</v>
      </c>
      <c r="Q46" s="160">
        <f t="shared" si="18"/>
        <v>63.26843819</v>
      </c>
      <c r="R46" s="160">
        <f t="shared" si="18"/>
        <v>66.4318601</v>
      </c>
      <c r="S46" s="160">
        <f t="shared" si="18"/>
        <v>63.26843819</v>
      </c>
      <c r="T46" s="150">
        <f>SUMIF(TIMESHEET!E:E,B46,TIMESHEET!N:N)</f>
        <v>3326.338138</v>
      </c>
      <c r="U46" s="150">
        <f t="shared" si="7"/>
        <v>3326.338138</v>
      </c>
      <c r="V46" s="151" t="b">
        <v>1</v>
      </c>
      <c r="W46" s="151"/>
    </row>
    <row r="47" ht="11.25" customHeight="1">
      <c r="A47" s="117"/>
      <c r="B47" s="113" t="s">
        <v>308</v>
      </c>
      <c r="C47" s="182"/>
      <c r="D47" s="182"/>
      <c r="E47" s="189" t="s">
        <v>368</v>
      </c>
      <c r="F47" s="138" t="s">
        <v>356</v>
      </c>
      <c r="G47" s="137"/>
      <c r="H47" s="160">
        <f t="shared" ref="H47:S47" si="19">vlookup($B47,$B$13:$S$25,month(H$34)+6,0)*(1+$F$31)/(H$33*8.8)</f>
        <v>0</v>
      </c>
      <c r="I47" s="160">
        <f t="shared" si="19"/>
        <v>0</v>
      </c>
      <c r="J47" s="160">
        <f t="shared" si="19"/>
        <v>0</v>
      </c>
      <c r="K47" s="160">
        <f t="shared" si="19"/>
        <v>0</v>
      </c>
      <c r="L47" s="160">
        <f t="shared" si="19"/>
        <v>0</v>
      </c>
      <c r="M47" s="160">
        <f t="shared" si="19"/>
        <v>0</v>
      </c>
      <c r="N47" s="160">
        <f t="shared" si="19"/>
        <v>0</v>
      </c>
      <c r="O47" s="160">
        <f t="shared" si="19"/>
        <v>0</v>
      </c>
      <c r="P47" s="160">
        <f t="shared" si="19"/>
        <v>0</v>
      </c>
      <c r="Q47" s="160">
        <f t="shared" si="19"/>
        <v>41.8049626</v>
      </c>
      <c r="R47" s="160">
        <f t="shared" si="19"/>
        <v>43.89521073</v>
      </c>
      <c r="S47" s="160">
        <f t="shared" si="19"/>
        <v>41.8049626</v>
      </c>
      <c r="T47" s="150">
        <f>SUMIF(TIMESHEET!E:E,B47,TIMESHEET!N:N)</f>
        <v>4398.578815</v>
      </c>
      <c r="U47" s="150">
        <f t="shared" si="7"/>
        <v>4398.578815</v>
      </c>
      <c r="V47" s="151" t="b">
        <v>1</v>
      </c>
      <c r="W47" s="151"/>
    </row>
    <row r="48">
      <c r="A48" s="117"/>
      <c r="B48" s="195"/>
      <c r="C48" s="182"/>
      <c r="D48" s="182"/>
      <c r="E48" s="182"/>
      <c r="F48" s="138"/>
      <c r="G48" s="137"/>
      <c r="H48" s="160"/>
      <c r="I48" s="160"/>
      <c r="J48" s="160"/>
      <c r="K48" s="160"/>
      <c r="L48" s="160"/>
      <c r="M48" s="160"/>
      <c r="N48" s="160"/>
      <c r="O48" s="160"/>
      <c r="P48" s="160"/>
      <c r="Q48" s="160"/>
      <c r="R48" s="160"/>
      <c r="S48" s="160"/>
      <c r="T48" s="150"/>
      <c r="U48" s="149"/>
      <c r="V48" s="150"/>
      <c r="W48" s="151"/>
    </row>
    <row r="49">
      <c r="A49" s="117"/>
      <c r="B49" s="195" t="s">
        <v>369</v>
      </c>
      <c r="C49" s="182"/>
      <c r="D49" s="182"/>
      <c r="E49" s="182"/>
      <c r="F49" s="138"/>
      <c r="G49" s="137"/>
      <c r="H49" s="160"/>
      <c r="I49" s="160"/>
      <c r="J49" s="160"/>
      <c r="K49" s="160"/>
      <c r="L49" s="160"/>
      <c r="M49" s="160"/>
      <c r="N49" s="160"/>
      <c r="O49" s="160"/>
      <c r="P49" s="160"/>
      <c r="Q49" s="160"/>
      <c r="R49" s="160"/>
      <c r="S49" s="160"/>
      <c r="T49" s="150"/>
      <c r="U49" s="149"/>
      <c r="V49" s="150"/>
      <c r="W49" s="151"/>
    </row>
    <row r="50" ht="11.25" customHeight="1">
      <c r="A50" s="117"/>
      <c r="B50" s="196">
        <v>44977.0</v>
      </c>
      <c r="C50" s="146"/>
      <c r="D50" s="197"/>
      <c r="E50" s="146" t="s">
        <v>370</v>
      </c>
      <c r="F50" s="138"/>
      <c r="G50" s="137"/>
      <c r="H50" s="160"/>
      <c r="I50" s="160"/>
      <c r="J50" s="160"/>
      <c r="K50" s="160"/>
      <c r="L50" s="160"/>
      <c r="M50" s="160"/>
      <c r="N50" s="160"/>
      <c r="O50" s="160"/>
      <c r="P50" s="160"/>
      <c r="Q50" s="160"/>
      <c r="R50" s="160"/>
      <c r="S50" s="160"/>
      <c r="T50" s="150"/>
      <c r="U50" s="149"/>
      <c r="V50" s="150"/>
      <c r="W50" s="151"/>
    </row>
    <row r="51" ht="11.25" customHeight="1">
      <c r="A51" s="117"/>
      <c r="B51" s="196">
        <v>44978.0</v>
      </c>
      <c r="C51" s="146"/>
      <c r="D51" s="198"/>
      <c r="E51" s="146" t="s">
        <v>370</v>
      </c>
      <c r="F51" s="138"/>
      <c r="G51" s="137"/>
      <c r="H51" s="160"/>
      <c r="I51" s="160"/>
      <c r="J51" s="160"/>
      <c r="K51" s="160"/>
      <c r="L51" s="160"/>
      <c r="M51" s="160"/>
      <c r="N51" s="160"/>
      <c r="O51" s="160"/>
      <c r="P51" s="160"/>
      <c r="Q51" s="160"/>
      <c r="R51" s="160"/>
      <c r="S51" s="160"/>
      <c r="T51" s="150"/>
      <c r="U51" s="149"/>
      <c r="V51" s="150"/>
      <c r="W51" s="151"/>
    </row>
    <row r="52" ht="11.25" customHeight="1">
      <c r="A52" s="117"/>
      <c r="B52" s="196">
        <v>44979.0</v>
      </c>
      <c r="C52" s="146"/>
      <c r="D52" s="146"/>
      <c r="E52" s="146" t="s">
        <v>371</v>
      </c>
      <c r="F52" s="138"/>
      <c r="G52" s="137"/>
      <c r="H52" s="160"/>
      <c r="I52" s="160"/>
      <c r="J52" s="160"/>
      <c r="K52" s="160"/>
      <c r="L52" s="160"/>
      <c r="M52" s="160"/>
      <c r="N52" s="160"/>
      <c r="O52" s="160"/>
      <c r="P52" s="160"/>
      <c r="Q52" s="160"/>
      <c r="R52" s="160"/>
      <c r="S52" s="160"/>
      <c r="T52" s="150"/>
      <c r="U52" s="149"/>
      <c r="V52" s="150"/>
      <c r="W52" s="151"/>
    </row>
    <row r="53" ht="11.25" customHeight="1">
      <c r="A53" s="117"/>
      <c r="B53" s="196">
        <v>45023.0</v>
      </c>
      <c r="C53" s="146"/>
      <c r="D53" s="146"/>
      <c r="E53" s="146" t="s">
        <v>372</v>
      </c>
      <c r="F53" s="138"/>
      <c r="G53" s="137"/>
      <c r="H53" s="160"/>
      <c r="I53" s="160"/>
      <c r="J53" s="160"/>
      <c r="K53" s="160"/>
      <c r="L53" s="160"/>
      <c r="M53" s="160"/>
      <c r="N53" s="160"/>
      <c r="O53" s="160"/>
      <c r="P53" s="160"/>
      <c r="Q53" s="160"/>
      <c r="R53" s="160"/>
      <c r="S53" s="160"/>
      <c r="T53" s="150"/>
      <c r="U53" s="149"/>
      <c r="V53" s="150"/>
      <c r="W53" s="151"/>
    </row>
    <row r="54" ht="11.25" customHeight="1">
      <c r="A54" s="117"/>
      <c r="B54" s="196">
        <v>45037.0</v>
      </c>
      <c r="C54" s="146"/>
      <c r="D54" s="146"/>
      <c r="E54" s="146" t="s">
        <v>373</v>
      </c>
      <c r="F54" s="138"/>
      <c r="G54" s="137"/>
      <c r="H54" s="160"/>
      <c r="I54" s="160"/>
      <c r="J54" s="160"/>
      <c r="K54" s="160"/>
      <c r="L54" s="160"/>
      <c r="M54" s="160"/>
      <c r="N54" s="160"/>
      <c r="O54" s="160"/>
      <c r="P54" s="160"/>
      <c r="Q54" s="160"/>
      <c r="R54" s="160"/>
      <c r="S54" s="160"/>
      <c r="T54" s="150"/>
      <c r="U54" s="149"/>
      <c r="V54" s="150"/>
      <c r="W54" s="151"/>
    </row>
    <row r="55" ht="11.25" customHeight="1">
      <c r="A55" s="117"/>
      <c r="B55" s="196">
        <v>45047.0</v>
      </c>
      <c r="C55" s="146"/>
      <c r="D55" s="199"/>
      <c r="E55" s="146" t="s">
        <v>374</v>
      </c>
      <c r="F55" s="138"/>
      <c r="G55" s="137"/>
      <c r="H55" s="160"/>
      <c r="I55" s="160"/>
      <c r="J55" s="160"/>
      <c r="K55" s="160"/>
      <c r="L55" s="160"/>
      <c r="M55" s="160"/>
      <c r="N55" s="160"/>
      <c r="O55" s="160"/>
      <c r="P55" s="160"/>
      <c r="Q55" s="160"/>
      <c r="R55" s="160"/>
      <c r="S55" s="160"/>
      <c r="T55" s="150"/>
      <c r="U55" s="149"/>
      <c r="V55" s="150"/>
      <c r="W55" s="151"/>
    </row>
    <row r="56" ht="11.25" customHeight="1">
      <c r="A56" s="117"/>
      <c r="B56" s="196">
        <v>45085.0</v>
      </c>
      <c r="C56" s="146"/>
      <c r="D56" s="198"/>
      <c r="E56" s="146" t="s">
        <v>375</v>
      </c>
      <c r="F56" s="138"/>
      <c r="G56" s="137"/>
      <c r="H56" s="160"/>
      <c r="I56" s="160"/>
      <c r="J56" s="160"/>
      <c r="K56" s="160"/>
      <c r="L56" s="160"/>
      <c r="M56" s="160"/>
      <c r="N56" s="160"/>
      <c r="O56" s="160"/>
      <c r="P56" s="160"/>
      <c r="Q56" s="160"/>
      <c r="R56" s="160"/>
      <c r="S56" s="160"/>
      <c r="T56" s="150"/>
      <c r="U56" s="149"/>
      <c r="V56" s="150"/>
      <c r="W56" s="151"/>
    </row>
    <row r="57" ht="11.25" customHeight="1">
      <c r="A57" s="117"/>
      <c r="B57" s="196">
        <v>45176.0</v>
      </c>
      <c r="C57" s="146"/>
      <c r="D57" s="197"/>
      <c r="E57" s="146" t="s">
        <v>376</v>
      </c>
      <c r="F57" s="138"/>
      <c r="G57" s="137"/>
      <c r="H57" s="160"/>
      <c r="I57" s="160"/>
      <c r="J57" s="160"/>
      <c r="K57" s="160"/>
      <c r="L57" s="160"/>
      <c r="M57" s="160"/>
      <c r="N57" s="160"/>
      <c r="O57" s="160"/>
      <c r="P57" s="160"/>
      <c r="Q57" s="160"/>
      <c r="R57" s="160"/>
      <c r="S57" s="160"/>
      <c r="T57" s="150"/>
      <c r="U57" s="149"/>
      <c r="V57" s="150"/>
      <c r="W57" s="151"/>
    </row>
    <row r="58" ht="11.25" customHeight="1">
      <c r="A58" s="117"/>
      <c r="B58" s="196">
        <v>45177.0</v>
      </c>
      <c r="C58" s="146"/>
      <c r="D58" s="198"/>
      <c r="E58" s="146" t="s">
        <v>377</v>
      </c>
      <c r="F58" s="138"/>
      <c r="G58" s="137"/>
      <c r="H58" s="160"/>
      <c r="I58" s="160"/>
      <c r="J58" s="160"/>
      <c r="K58" s="160"/>
      <c r="L58" s="160"/>
      <c r="M58" s="160"/>
      <c r="N58" s="160"/>
      <c r="O58" s="160"/>
      <c r="P58" s="160"/>
      <c r="Q58" s="160"/>
      <c r="R58" s="160"/>
      <c r="S58" s="160"/>
      <c r="T58" s="150"/>
      <c r="U58" s="149"/>
      <c r="V58" s="150"/>
      <c r="W58" s="151"/>
    </row>
    <row r="59" ht="11.25" customHeight="1">
      <c r="A59" s="117"/>
      <c r="B59" s="196">
        <v>45211.0</v>
      </c>
      <c r="C59" s="146"/>
      <c r="D59" s="198"/>
      <c r="E59" s="146" t="s">
        <v>378</v>
      </c>
      <c r="F59" s="138"/>
      <c r="G59" s="137"/>
      <c r="H59" s="160"/>
      <c r="I59" s="160"/>
      <c r="J59" s="160"/>
      <c r="K59" s="160"/>
      <c r="L59" s="160"/>
      <c r="M59" s="160"/>
      <c r="N59" s="160"/>
      <c r="O59" s="160"/>
      <c r="P59" s="160"/>
      <c r="Q59" s="160"/>
      <c r="R59" s="160"/>
      <c r="S59" s="160"/>
      <c r="T59" s="150"/>
      <c r="U59" s="149"/>
      <c r="V59" s="150"/>
      <c r="W59" s="151"/>
    </row>
    <row r="60" ht="11.25" customHeight="1">
      <c r="A60" s="117"/>
      <c r="B60" s="196">
        <v>45232.0</v>
      </c>
      <c r="C60" s="146"/>
      <c r="D60" s="198"/>
      <c r="E60" s="146" t="s">
        <v>379</v>
      </c>
      <c r="F60" s="138"/>
      <c r="G60" s="137"/>
      <c r="H60" s="160"/>
      <c r="I60" s="160"/>
      <c r="J60" s="160"/>
      <c r="K60" s="160"/>
      <c r="L60" s="160"/>
      <c r="M60" s="160"/>
      <c r="N60" s="160"/>
      <c r="O60" s="160"/>
      <c r="P60" s="160"/>
      <c r="Q60" s="160"/>
      <c r="R60" s="160"/>
      <c r="S60" s="160"/>
      <c r="T60" s="150"/>
      <c r="U60" s="149"/>
      <c r="V60" s="150"/>
      <c r="W60" s="151"/>
    </row>
    <row r="61" ht="11.25" customHeight="1">
      <c r="A61" s="117"/>
      <c r="B61" s="196">
        <v>45245.0</v>
      </c>
      <c r="C61" s="146"/>
      <c r="D61" s="198"/>
      <c r="E61" s="146" t="s">
        <v>380</v>
      </c>
      <c r="F61" s="138"/>
      <c r="G61" s="137"/>
      <c r="H61" s="160"/>
      <c r="I61" s="160"/>
      <c r="J61" s="160"/>
      <c r="K61" s="160"/>
      <c r="L61" s="160"/>
      <c r="M61" s="160"/>
      <c r="N61" s="160"/>
      <c r="O61" s="160"/>
      <c r="P61" s="160"/>
      <c r="Q61" s="160"/>
      <c r="R61" s="160"/>
      <c r="S61" s="160"/>
      <c r="T61" s="150"/>
      <c r="U61" s="149"/>
      <c r="V61" s="150"/>
      <c r="W61" s="151"/>
    </row>
    <row r="62" ht="11.25" customHeight="1">
      <c r="A62" s="117"/>
      <c r="B62" s="196">
        <v>45285.0</v>
      </c>
      <c r="C62" s="146"/>
      <c r="D62" s="198"/>
      <c r="E62" s="146" t="s">
        <v>381</v>
      </c>
      <c r="F62" s="138"/>
      <c r="G62" s="137"/>
      <c r="H62" s="160"/>
      <c r="I62" s="160"/>
      <c r="J62" s="160"/>
      <c r="K62" s="160"/>
      <c r="L62" s="160"/>
      <c r="M62" s="160"/>
      <c r="N62" s="160"/>
      <c r="O62" s="160"/>
      <c r="P62" s="160"/>
      <c r="Q62" s="160"/>
      <c r="R62" s="160"/>
      <c r="S62" s="160"/>
      <c r="T62" s="150"/>
      <c r="U62" s="149"/>
      <c r="V62" s="150"/>
      <c r="W62" s="151"/>
    </row>
  </sheetData>
  <mergeCells count="3">
    <mergeCell ref="B5:D6"/>
    <mergeCell ref="B29:F29"/>
    <mergeCell ref="I29:I31"/>
  </mergeCell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63"/>
    <col customWidth="1" min="2" max="2" width="10.63"/>
    <col customWidth="1" min="3" max="3" width="12.63"/>
    <col customWidth="1" min="4" max="4" width="31.38"/>
    <col customWidth="1" min="5" max="5" width="18.88"/>
    <col customWidth="1" min="6" max="7" width="25.13"/>
    <col customWidth="1" min="8" max="8" width="5.13"/>
  </cols>
  <sheetData>
    <row r="1" ht="11.25" customHeight="1">
      <c r="A1" s="108"/>
      <c r="B1" s="108"/>
      <c r="C1" s="108"/>
      <c r="D1" s="108"/>
      <c r="E1" s="200"/>
      <c r="F1" s="108"/>
      <c r="G1" s="108"/>
      <c r="H1" s="108"/>
    </row>
    <row r="2">
      <c r="A2" s="108"/>
      <c r="B2" s="110" t="s">
        <v>72</v>
      </c>
      <c r="C2" s="109"/>
      <c r="D2" s="109"/>
      <c r="E2" s="201"/>
      <c r="F2" s="109"/>
      <c r="G2" s="109"/>
      <c r="H2" s="108"/>
    </row>
    <row r="3">
      <c r="A3" s="108"/>
      <c r="B3" s="111" t="s">
        <v>311</v>
      </c>
      <c r="C3" s="109"/>
      <c r="D3" s="109"/>
      <c r="E3" s="201"/>
      <c r="F3" s="109"/>
      <c r="G3" s="109"/>
      <c r="H3" s="108"/>
    </row>
    <row r="4">
      <c r="A4" s="108"/>
      <c r="B4" s="67" t="s">
        <v>382</v>
      </c>
      <c r="C4" s="109"/>
      <c r="D4" s="109"/>
      <c r="E4" s="201"/>
      <c r="F4" s="109"/>
      <c r="G4" s="109"/>
      <c r="H4" s="108"/>
    </row>
    <row r="5">
      <c r="A5" s="108"/>
      <c r="B5" s="137" t="s">
        <v>313</v>
      </c>
      <c r="E5" s="114"/>
      <c r="F5" s="114"/>
      <c r="G5" s="114"/>
      <c r="H5" s="108"/>
    </row>
    <row r="6">
      <c r="A6" s="108"/>
      <c r="E6" s="114"/>
      <c r="F6" s="114"/>
      <c r="G6" s="114"/>
      <c r="H6" s="108"/>
    </row>
    <row r="7">
      <c r="A7" s="108"/>
      <c r="B7" s="109"/>
      <c r="C7" s="109"/>
      <c r="D7" s="109"/>
      <c r="E7" s="201"/>
      <c r="F7" s="109"/>
      <c r="G7" s="109"/>
      <c r="H7" s="108"/>
    </row>
    <row r="8">
      <c r="A8" s="108"/>
      <c r="B8" s="110" t="s">
        <v>79</v>
      </c>
      <c r="C8" s="109"/>
      <c r="D8" s="109"/>
      <c r="E8" s="201"/>
      <c r="F8" s="109"/>
      <c r="G8" s="109"/>
      <c r="H8" s="108"/>
    </row>
    <row r="9">
      <c r="A9" s="108"/>
      <c r="B9" s="111" t="s">
        <v>383</v>
      </c>
      <c r="C9" s="109"/>
      <c r="D9" s="109"/>
      <c r="E9" s="201"/>
      <c r="F9" s="109"/>
      <c r="G9" s="109"/>
      <c r="H9" s="108"/>
    </row>
    <row r="10">
      <c r="A10" s="108"/>
      <c r="B10" s="108"/>
      <c r="C10" s="108"/>
      <c r="D10" s="108"/>
      <c r="E10" s="200"/>
      <c r="F10" s="108"/>
      <c r="G10" s="108"/>
      <c r="H10" s="108"/>
    </row>
    <row r="11">
      <c r="A11" s="108"/>
      <c r="B11" s="141" t="s">
        <v>384</v>
      </c>
      <c r="C11" s="141" t="s">
        <v>385</v>
      </c>
      <c r="D11" s="141" t="s">
        <v>386</v>
      </c>
      <c r="E11" s="202" t="s">
        <v>387</v>
      </c>
      <c r="F11" s="141" t="s">
        <v>388</v>
      </c>
      <c r="G11" s="141" t="s">
        <v>389</v>
      </c>
      <c r="H11" s="108"/>
    </row>
    <row r="12">
      <c r="A12" s="117"/>
      <c r="B12" s="113" t="s">
        <v>390</v>
      </c>
      <c r="C12" s="137" t="s">
        <v>391</v>
      </c>
      <c r="D12" s="137" t="s">
        <v>392</v>
      </c>
      <c r="E12" s="203" t="s">
        <v>368</v>
      </c>
      <c r="F12" s="145" t="s">
        <v>393</v>
      </c>
      <c r="G12" s="137"/>
      <c r="H12" s="117"/>
    </row>
    <row r="13">
      <c r="A13" s="117"/>
      <c r="B13" s="113" t="s">
        <v>390</v>
      </c>
      <c r="C13" s="137" t="s">
        <v>394</v>
      </c>
      <c r="D13" s="137" t="s">
        <v>395</v>
      </c>
      <c r="E13" s="203" t="s">
        <v>396</v>
      </c>
      <c r="F13" s="145"/>
      <c r="G13" s="137"/>
      <c r="H13" s="117"/>
    </row>
    <row r="14">
      <c r="A14" s="117"/>
      <c r="B14" s="113" t="s">
        <v>390</v>
      </c>
      <c r="C14" s="137" t="s">
        <v>369</v>
      </c>
      <c r="D14" s="137" t="s">
        <v>397</v>
      </c>
      <c r="E14" s="203" t="s">
        <v>396</v>
      </c>
      <c r="F14" s="145"/>
      <c r="G14" s="137"/>
      <c r="H14" s="117"/>
    </row>
    <row r="15">
      <c r="A15" s="117"/>
      <c r="B15" s="113" t="s">
        <v>390</v>
      </c>
      <c r="C15" s="137" t="s">
        <v>398</v>
      </c>
      <c r="D15" s="137" t="s">
        <v>399</v>
      </c>
      <c r="E15" s="203" t="s">
        <v>396</v>
      </c>
      <c r="F15" s="145"/>
      <c r="G15" s="137"/>
      <c r="H15" s="117"/>
    </row>
    <row r="16">
      <c r="A16" s="117"/>
      <c r="B16" s="113" t="s">
        <v>390</v>
      </c>
      <c r="C16" s="137" t="s">
        <v>400</v>
      </c>
      <c r="D16" s="137" t="s">
        <v>401</v>
      </c>
      <c r="E16" s="203" t="s">
        <v>396</v>
      </c>
      <c r="F16" s="145"/>
      <c r="G16" s="137"/>
      <c r="H16" s="117"/>
    </row>
    <row r="17">
      <c r="A17" s="117"/>
      <c r="B17" s="113" t="s">
        <v>402</v>
      </c>
      <c r="C17" s="137" t="s">
        <v>403</v>
      </c>
      <c r="D17" s="137" t="s">
        <v>404</v>
      </c>
      <c r="E17" s="203" t="s">
        <v>396</v>
      </c>
      <c r="F17" s="145"/>
      <c r="G17" s="137"/>
      <c r="H17" s="117"/>
    </row>
    <row r="18">
      <c r="A18" s="117"/>
      <c r="B18" s="113" t="s">
        <v>402</v>
      </c>
      <c r="C18" s="137" t="s">
        <v>405</v>
      </c>
      <c r="D18" s="137" t="s">
        <v>406</v>
      </c>
      <c r="E18" s="203" t="s">
        <v>396</v>
      </c>
      <c r="F18" s="145"/>
      <c r="G18" s="137"/>
      <c r="H18" s="117"/>
    </row>
    <row r="19">
      <c r="A19" s="117"/>
      <c r="B19" s="113" t="s">
        <v>402</v>
      </c>
      <c r="C19" s="137" t="s">
        <v>407</v>
      </c>
      <c r="D19" s="137" t="s">
        <v>408</v>
      </c>
      <c r="E19" s="203" t="s">
        <v>396</v>
      </c>
      <c r="F19" s="145"/>
      <c r="G19" s="137"/>
      <c r="H19" s="117"/>
    </row>
    <row r="20">
      <c r="A20" s="117"/>
      <c r="B20" s="113" t="s">
        <v>402</v>
      </c>
      <c r="C20" s="137" t="s">
        <v>409</v>
      </c>
      <c r="D20" s="137" t="s">
        <v>410</v>
      </c>
      <c r="E20" s="203" t="s">
        <v>396</v>
      </c>
      <c r="F20" s="145"/>
      <c r="G20" s="137"/>
      <c r="H20" s="117"/>
    </row>
    <row r="21">
      <c r="A21" s="117"/>
      <c r="B21" s="113" t="s">
        <v>411</v>
      </c>
      <c r="C21" s="137" t="s">
        <v>412</v>
      </c>
      <c r="D21" s="137" t="s">
        <v>413</v>
      </c>
      <c r="E21" s="203" t="s">
        <v>396</v>
      </c>
      <c r="F21" s="145"/>
      <c r="G21" s="137"/>
      <c r="H21" s="117"/>
    </row>
  </sheetData>
  <mergeCells count="1">
    <mergeCell ref="B5:D6"/>
  </mergeCells>
  <conditionalFormatting sqref="E12:E21">
    <cfRule type="containsText" dxfId="0" priority="1" operator="containsText" text="Disponibilizado">
      <formula>NOT(ISERROR(SEARCH(("Disponibilizado"),(E12))))</formula>
    </cfRule>
  </conditionalFormatting>
  <conditionalFormatting sqref="E12:E21">
    <cfRule type="containsText" dxfId="1" priority="2" operator="containsText" text="Parcial">
      <formula>NOT(ISERROR(SEARCH(("Parcial"),(E12))))</formula>
    </cfRule>
  </conditionalFormatting>
  <conditionalFormatting sqref="E12:E21">
    <cfRule type="containsText" dxfId="2" priority="3" operator="containsText" text="Pendente">
      <formula>NOT(ISERROR(SEARCH(("Pendente"),(E12))))</formula>
    </cfRule>
  </conditionalFormatting>
  <dataValidations>
    <dataValidation type="list" allowBlank="1" sqref="E12:E21">
      <formula1>"Disponibilizado,Parcial,Pendente"</formula1>
    </dataValidation>
  </dataValidation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25"/>
  </cols>
  <sheetData>
    <row r="1">
      <c r="A1" s="99" t="s">
        <v>414</v>
      </c>
      <c r="B1" s="99" t="s">
        <v>415</v>
      </c>
      <c r="C1" s="99" t="s">
        <v>387</v>
      </c>
    </row>
    <row r="2">
      <c r="A2" s="99" t="s">
        <v>416</v>
      </c>
      <c r="B2" s="99" t="s">
        <v>290</v>
      </c>
      <c r="C2" s="99" t="s">
        <v>417</v>
      </c>
    </row>
    <row r="3">
      <c r="A3" s="99" t="s">
        <v>418</v>
      </c>
      <c r="B3" s="99" t="s">
        <v>419</v>
      </c>
      <c r="C3" s="99" t="s">
        <v>420</v>
      </c>
      <c r="F3" s="204" t="s">
        <v>309</v>
      </c>
    </row>
    <row r="4">
      <c r="A4" s="99" t="s">
        <v>421</v>
      </c>
      <c r="B4" s="99" t="s">
        <v>49</v>
      </c>
      <c r="C4" s="99" t="s">
        <v>417</v>
      </c>
      <c r="F4" s="204" t="s">
        <v>144</v>
      </c>
    </row>
    <row r="5">
      <c r="A5" s="99" t="s">
        <v>422</v>
      </c>
      <c r="B5" s="99" t="s">
        <v>50</v>
      </c>
      <c r="C5" s="99" t="s">
        <v>417</v>
      </c>
      <c r="F5" s="204" t="s">
        <v>307</v>
      </c>
    </row>
    <row r="6">
      <c r="A6" s="99" t="s">
        <v>423</v>
      </c>
      <c r="B6" s="99" t="s">
        <v>51</v>
      </c>
      <c r="C6" s="99" t="s">
        <v>417</v>
      </c>
      <c r="F6" s="204" t="s">
        <v>113</v>
      </c>
    </row>
    <row r="7">
      <c r="A7" s="99" t="s">
        <v>424</v>
      </c>
      <c r="B7" s="99" t="s">
        <v>425</v>
      </c>
      <c r="C7" s="99" t="s">
        <v>417</v>
      </c>
      <c r="F7" s="204" t="s">
        <v>137</v>
      </c>
    </row>
    <row r="8">
      <c r="A8" s="99" t="s">
        <v>426</v>
      </c>
      <c r="B8" s="99" t="s">
        <v>52</v>
      </c>
      <c r="C8" s="99" t="s">
        <v>417</v>
      </c>
      <c r="F8" s="204" t="s">
        <v>126</v>
      </c>
    </row>
    <row r="9">
      <c r="A9" s="99" t="s">
        <v>427</v>
      </c>
      <c r="B9" s="99" t="s">
        <v>53</v>
      </c>
      <c r="C9" s="99" t="s">
        <v>417</v>
      </c>
      <c r="F9" s="204" t="s">
        <v>129</v>
      </c>
    </row>
    <row r="10">
      <c r="A10" s="99" t="s">
        <v>428</v>
      </c>
      <c r="B10" s="99" t="s">
        <v>54</v>
      </c>
      <c r="C10" s="99" t="s">
        <v>417</v>
      </c>
      <c r="F10" s="204" t="s">
        <v>146</v>
      </c>
    </row>
    <row r="11">
      <c r="A11" s="99" t="s">
        <v>429</v>
      </c>
      <c r="B11" s="99" t="s">
        <v>55</v>
      </c>
      <c r="C11" s="99" t="s">
        <v>417</v>
      </c>
      <c r="F11" s="204" t="s">
        <v>110</v>
      </c>
    </row>
    <row r="12">
      <c r="A12" s="99" t="s">
        <v>430</v>
      </c>
      <c r="B12" s="99" t="s">
        <v>431</v>
      </c>
      <c r="C12" s="99" t="s">
        <v>420</v>
      </c>
      <c r="F12" s="204" t="s">
        <v>116</v>
      </c>
    </row>
    <row r="13">
      <c r="A13" s="99" t="s">
        <v>432</v>
      </c>
      <c r="B13" s="99" t="s">
        <v>433</v>
      </c>
      <c r="C13" s="99" t="s">
        <v>420</v>
      </c>
      <c r="F13" s="204" t="s">
        <v>128</v>
      </c>
    </row>
    <row r="14">
      <c r="A14" s="99" t="s">
        <v>434</v>
      </c>
      <c r="B14" s="99" t="s">
        <v>435</v>
      </c>
      <c r="C14" s="99" t="s">
        <v>417</v>
      </c>
      <c r="F14" s="204" t="s">
        <v>308</v>
      </c>
    </row>
    <row r="15">
      <c r="A15" s="99" t="s">
        <v>436</v>
      </c>
      <c r="B15" s="99" t="s">
        <v>56</v>
      </c>
      <c r="C15" s="99" t="s">
        <v>417</v>
      </c>
      <c r="F15" s="204" t="s">
        <v>306</v>
      </c>
    </row>
    <row r="16">
      <c r="A16" s="99" t="s">
        <v>437</v>
      </c>
      <c r="B16" s="99" t="s">
        <v>57</v>
      </c>
      <c r="C16" s="99" t="s">
        <v>417</v>
      </c>
    </row>
    <row r="17">
      <c r="A17" s="99" t="s">
        <v>438</v>
      </c>
      <c r="B17" s="99" t="s">
        <v>58</v>
      </c>
      <c r="C17" s="99" t="s">
        <v>417</v>
      </c>
    </row>
    <row r="18">
      <c r="A18" s="99" t="s">
        <v>439</v>
      </c>
      <c r="B18" s="99" t="s">
        <v>59</v>
      </c>
      <c r="C18" s="99" t="s">
        <v>417</v>
      </c>
    </row>
    <row r="19">
      <c r="A19" s="99" t="s">
        <v>440</v>
      </c>
      <c r="B19" s="99" t="s">
        <v>441</v>
      </c>
      <c r="C19" s="99" t="s">
        <v>417</v>
      </c>
    </row>
    <row r="20">
      <c r="A20" s="99" t="s">
        <v>442</v>
      </c>
      <c r="B20" s="99" t="s">
        <v>443</v>
      </c>
      <c r="C20" s="99" t="s">
        <v>417</v>
      </c>
    </row>
    <row r="21">
      <c r="A21" s="99" t="s">
        <v>444</v>
      </c>
      <c r="B21" s="99" t="s">
        <v>60</v>
      </c>
      <c r="C21" s="99" t="s">
        <v>417</v>
      </c>
    </row>
    <row r="22">
      <c r="A22" s="99" t="s">
        <v>445</v>
      </c>
      <c r="B22" s="99" t="s">
        <v>446</v>
      </c>
      <c r="C22" s="99" t="s">
        <v>417</v>
      </c>
    </row>
    <row r="23">
      <c r="A23" s="99" t="s">
        <v>447</v>
      </c>
      <c r="B23" s="99" t="s">
        <v>448</v>
      </c>
      <c r="C23" s="99" t="s">
        <v>417</v>
      </c>
    </row>
    <row r="24">
      <c r="A24" s="99" t="s">
        <v>449</v>
      </c>
      <c r="B24" s="99" t="s">
        <v>450</v>
      </c>
      <c r="C24" s="99" t="s">
        <v>417</v>
      </c>
    </row>
    <row r="25">
      <c r="A25" s="99" t="s">
        <v>451</v>
      </c>
      <c r="B25" s="99" t="s">
        <v>61</v>
      </c>
      <c r="C25" s="99" t="s">
        <v>417</v>
      </c>
    </row>
    <row r="26">
      <c r="A26" s="99" t="s">
        <v>452</v>
      </c>
      <c r="B26" s="99" t="s">
        <v>453</v>
      </c>
      <c r="C26" s="99" t="s">
        <v>417</v>
      </c>
    </row>
    <row r="27">
      <c r="A27" s="99" t="s">
        <v>454</v>
      </c>
      <c r="B27" s="99" t="s">
        <v>455</v>
      </c>
      <c r="C27" s="99" t="s">
        <v>417</v>
      </c>
    </row>
    <row r="28">
      <c r="A28" s="99" t="s">
        <v>456</v>
      </c>
      <c r="B28" s="99" t="s">
        <v>62</v>
      </c>
      <c r="C28" s="99" t="s">
        <v>417</v>
      </c>
    </row>
    <row r="29">
      <c r="A29" s="99" t="s">
        <v>457</v>
      </c>
      <c r="B29" s="99" t="s">
        <v>63</v>
      </c>
      <c r="C29" s="99" t="s">
        <v>417</v>
      </c>
    </row>
    <row r="30">
      <c r="A30" s="99" t="s">
        <v>458</v>
      </c>
      <c r="B30" s="99" t="s">
        <v>64</v>
      </c>
      <c r="C30" s="99" t="s">
        <v>417</v>
      </c>
    </row>
    <row r="31">
      <c r="A31" s="99" t="s">
        <v>459</v>
      </c>
      <c r="B31" s="99" t="s">
        <v>65</v>
      </c>
      <c r="C31" s="99" t="s">
        <v>417</v>
      </c>
    </row>
    <row r="32">
      <c r="A32" s="99" t="s">
        <v>460</v>
      </c>
      <c r="B32" s="99" t="s">
        <v>66</v>
      </c>
      <c r="C32" s="99" t="s">
        <v>417</v>
      </c>
    </row>
    <row r="33">
      <c r="A33" s="99" t="s">
        <v>461</v>
      </c>
      <c r="B33" s="99" t="s">
        <v>67</v>
      </c>
      <c r="C33" s="99" t="s">
        <v>417</v>
      </c>
    </row>
    <row r="34">
      <c r="A34" s="99" t="s">
        <v>462</v>
      </c>
      <c r="B34" s="99" t="s">
        <v>68</v>
      </c>
      <c r="C34" s="99" t="s">
        <v>417</v>
      </c>
    </row>
    <row r="35">
      <c r="A35" s="99" t="s">
        <v>463</v>
      </c>
      <c r="B35" s="99" t="s">
        <v>69</v>
      </c>
      <c r="C35" s="99" t="s">
        <v>417</v>
      </c>
    </row>
    <row r="36">
      <c r="A36" s="99" t="s">
        <v>464</v>
      </c>
      <c r="B36" s="99" t="s">
        <v>465</v>
      </c>
      <c r="C36" s="99" t="s">
        <v>417</v>
      </c>
    </row>
    <row r="37">
      <c r="A37" s="99" t="s">
        <v>466</v>
      </c>
      <c r="B37" s="99" t="s">
        <v>467</v>
      </c>
      <c r="C37" s="99" t="s">
        <v>417</v>
      </c>
    </row>
    <row r="38">
      <c r="A38" s="99" t="s">
        <v>468</v>
      </c>
      <c r="B38" s="99" t="s">
        <v>469</v>
      </c>
      <c r="C38" s="99" t="s">
        <v>417</v>
      </c>
    </row>
    <row r="39">
      <c r="A39" s="99" t="s">
        <v>470</v>
      </c>
      <c r="B39" s="99" t="s">
        <v>471</v>
      </c>
      <c r="C39" s="99" t="s">
        <v>417</v>
      </c>
    </row>
    <row r="40">
      <c r="A40" s="99" t="s">
        <v>472</v>
      </c>
      <c r="B40" s="99" t="s">
        <v>70</v>
      </c>
      <c r="C40" s="99" t="s">
        <v>417</v>
      </c>
    </row>
    <row r="42">
      <c r="A42" s="99" t="s">
        <v>468</v>
      </c>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1.0" topLeftCell="A12" activePane="bottomLeft" state="frozen"/>
      <selection activeCell="B13" sqref="B13" pane="bottomLeft"/>
    </sheetView>
  </sheetViews>
  <sheetFormatPr customHeight="1" defaultColWidth="12.63" defaultRowHeight="15.75"/>
  <cols>
    <col customWidth="1" min="1" max="1" width="2.63"/>
    <col customWidth="1" min="2" max="2" width="6.38"/>
    <col customWidth="1" min="3" max="5" width="18.88"/>
    <col customWidth="1" hidden="1" min="7" max="7" width="10.13"/>
    <col customWidth="1" hidden="1" min="8" max="9" width="13.25"/>
    <col customWidth="1" hidden="1" min="10" max="10" width="3.88"/>
    <col customWidth="1" min="11" max="12" width="30.38"/>
    <col customWidth="1" min="13" max="13" width="27.0"/>
    <col customWidth="1" min="14" max="17" width="12.63"/>
  </cols>
  <sheetData>
    <row r="1" ht="11.25" customHeight="1">
      <c r="A1" s="108"/>
      <c r="B1" s="108"/>
      <c r="C1" s="108"/>
      <c r="D1" s="108"/>
      <c r="E1" s="108"/>
      <c r="F1" s="205"/>
      <c r="G1" s="206"/>
      <c r="H1" s="108"/>
      <c r="I1" s="108"/>
      <c r="J1" s="200"/>
      <c r="K1" s="108"/>
      <c r="L1" s="108"/>
      <c r="M1" s="108"/>
      <c r="N1" s="150"/>
      <c r="O1" s="117"/>
      <c r="P1" s="117"/>
      <c r="Q1" s="117"/>
    </row>
    <row r="2">
      <c r="A2" s="108"/>
      <c r="B2" s="110" t="s">
        <v>72</v>
      </c>
      <c r="C2" s="109"/>
      <c r="D2" s="109"/>
      <c r="E2" s="109"/>
      <c r="F2" s="207"/>
      <c r="G2" s="206"/>
      <c r="H2" s="108"/>
      <c r="I2" s="108"/>
      <c r="J2" s="200"/>
      <c r="K2" s="108"/>
      <c r="L2" s="108"/>
      <c r="M2" s="108"/>
      <c r="N2" s="150"/>
      <c r="O2" s="117"/>
      <c r="P2" s="117"/>
      <c r="Q2" s="117"/>
    </row>
    <row r="3">
      <c r="A3" s="108"/>
      <c r="B3" s="111" t="s">
        <v>311</v>
      </c>
      <c r="C3" s="109"/>
      <c r="D3" s="109"/>
      <c r="E3" s="109"/>
      <c r="F3" s="207"/>
      <c r="G3" s="206"/>
      <c r="H3" s="108"/>
      <c r="I3" s="108"/>
      <c r="J3" s="200"/>
      <c r="K3" s="108"/>
      <c r="L3" s="108"/>
      <c r="M3" s="108"/>
      <c r="N3" s="150"/>
      <c r="O3" s="117"/>
      <c r="P3" s="117"/>
      <c r="Q3" s="117"/>
    </row>
    <row r="4">
      <c r="A4" s="108"/>
      <c r="B4" s="67" t="s">
        <v>473</v>
      </c>
      <c r="C4" s="109"/>
      <c r="D4" s="109"/>
      <c r="E4" s="109"/>
      <c r="F4" s="207"/>
      <c r="G4" s="206"/>
      <c r="H4" s="108"/>
      <c r="I4" s="108"/>
      <c r="J4" s="200"/>
      <c r="K4" s="108"/>
      <c r="L4" s="108"/>
      <c r="M4" s="108"/>
      <c r="N4" s="150"/>
      <c r="O4" s="117"/>
      <c r="P4" s="117"/>
      <c r="Q4" s="117"/>
    </row>
    <row r="5">
      <c r="A5" s="108"/>
      <c r="B5" s="137" t="s">
        <v>313</v>
      </c>
      <c r="E5" s="137"/>
      <c r="F5" s="137"/>
      <c r="G5" s="206"/>
      <c r="H5" s="108"/>
      <c r="I5" s="108"/>
      <c r="J5" s="200"/>
      <c r="K5" s="108"/>
      <c r="L5" s="108"/>
      <c r="M5" s="108"/>
      <c r="N5" s="150"/>
      <c r="O5" s="117"/>
      <c r="P5" s="117"/>
      <c r="Q5" s="117"/>
    </row>
    <row r="6">
      <c r="A6" s="108"/>
      <c r="E6" s="137"/>
      <c r="F6" s="137"/>
      <c r="G6" s="206"/>
      <c r="H6" s="208" t="s">
        <v>474</v>
      </c>
      <c r="I6" s="108"/>
      <c r="J6" s="200"/>
      <c r="K6" s="108"/>
      <c r="L6" s="108"/>
      <c r="M6" s="108"/>
      <c r="N6" s="150"/>
      <c r="O6" s="117"/>
      <c r="P6" s="117"/>
      <c r="Q6" s="117"/>
    </row>
    <row r="7">
      <c r="A7" s="108"/>
      <c r="B7" s="109"/>
      <c r="C7" s="109"/>
      <c r="D7" s="109"/>
      <c r="E7" s="109"/>
      <c r="F7" s="207"/>
      <c r="G7" s="206"/>
      <c r="H7" s="208" t="s">
        <v>475</v>
      </c>
      <c r="I7" s="113" t="s">
        <v>476</v>
      </c>
      <c r="J7" s="200"/>
      <c r="K7" s="108"/>
      <c r="L7" s="108"/>
      <c r="M7" s="108"/>
      <c r="N7" s="150"/>
      <c r="O7" s="117"/>
      <c r="P7" s="117"/>
      <c r="Q7" s="117"/>
    </row>
    <row r="8">
      <c r="A8" s="108"/>
      <c r="B8" s="110" t="s">
        <v>79</v>
      </c>
      <c r="C8" s="109"/>
      <c r="D8" s="109"/>
      <c r="E8" s="109"/>
      <c r="F8" s="207"/>
      <c r="G8" s="206"/>
      <c r="H8" s="208" t="s">
        <v>411</v>
      </c>
      <c r="I8" s="113" t="s">
        <v>477</v>
      </c>
      <c r="J8" s="200"/>
      <c r="K8" s="108"/>
      <c r="L8" s="108"/>
      <c r="M8" s="108"/>
      <c r="N8" s="150"/>
      <c r="O8" s="117"/>
      <c r="P8" s="117"/>
      <c r="Q8" s="117"/>
    </row>
    <row r="9">
      <c r="A9" s="108"/>
      <c r="B9" s="111" t="s">
        <v>478</v>
      </c>
      <c r="C9" s="109"/>
      <c r="D9" s="109"/>
      <c r="E9" s="109"/>
      <c r="F9" s="207"/>
      <c r="G9" s="206"/>
      <c r="H9" s="208" t="s">
        <v>479</v>
      </c>
      <c r="I9" s="113" t="s">
        <v>480</v>
      </c>
      <c r="J9" s="200"/>
      <c r="K9" s="108"/>
      <c r="L9" s="108"/>
      <c r="M9" s="108"/>
      <c r="N9" s="150"/>
      <c r="O9" s="117"/>
      <c r="P9" s="117"/>
      <c r="Q9" s="117"/>
    </row>
    <row r="10">
      <c r="A10" s="108"/>
      <c r="B10" s="108"/>
      <c r="C10" s="108"/>
      <c r="D10" s="108"/>
      <c r="E10" s="108"/>
      <c r="F10" s="205"/>
      <c r="G10" s="206"/>
      <c r="H10" s="209"/>
      <c r="I10" s="108"/>
      <c r="J10" s="200"/>
      <c r="K10" s="108"/>
      <c r="L10" s="108"/>
      <c r="M10" s="108"/>
      <c r="N10" s="210">
        <f>subtotal(9,N12:N1903)</f>
        <v>548.5030345</v>
      </c>
      <c r="O10" s="117"/>
      <c r="P10" s="117"/>
      <c r="Q10" s="117"/>
    </row>
    <row r="11">
      <c r="A11" s="108"/>
      <c r="B11" s="141" t="s">
        <v>481</v>
      </c>
      <c r="C11" s="141" t="s">
        <v>482</v>
      </c>
      <c r="D11" s="141" t="s">
        <v>483</v>
      </c>
      <c r="E11" s="141" t="s">
        <v>484</v>
      </c>
      <c r="F11" s="211" t="s">
        <v>485</v>
      </c>
      <c r="G11" s="212" t="s">
        <v>486</v>
      </c>
      <c r="H11" s="213" t="s">
        <v>487</v>
      </c>
      <c r="I11" s="214" t="s">
        <v>488</v>
      </c>
      <c r="J11" s="215" t="s">
        <v>71</v>
      </c>
      <c r="K11" s="141" t="s">
        <v>489</v>
      </c>
      <c r="L11" s="216" t="s">
        <v>490</v>
      </c>
      <c r="M11" s="217" t="s">
        <v>414</v>
      </c>
      <c r="N11" s="218" t="s">
        <v>491</v>
      </c>
      <c r="O11" s="219" t="s">
        <v>492</v>
      </c>
      <c r="P11" s="219" t="s">
        <v>493</v>
      </c>
      <c r="Q11" s="219"/>
    </row>
    <row r="12" hidden="1">
      <c r="A12" s="108"/>
      <c r="B12" s="220"/>
      <c r="C12" s="134" t="s">
        <v>290</v>
      </c>
      <c r="D12" s="220" t="str">
        <f>vlookup(M12,'Página10'!A:B,2,false)</f>
        <v>INOV00001</v>
      </c>
      <c r="E12" s="134" t="s">
        <v>113</v>
      </c>
      <c r="F12" s="221">
        <v>44932.0</v>
      </c>
      <c r="G12" s="222">
        <v>0.0625</v>
      </c>
      <c r="H12" s="134" t="s">
        <v>479</v>
      </c>
      <c r="I12" s="223" t="s">
        <v>411</v>
      </c>
      <c r="J12" s="223" t="b">
        <f t="shared" ref="J12:J1903" si="1">I12=H12</f>
        <v>0</v>
      </c>
      <c r="K12" s="145" t="s">
        <v>494</v>
      </c>
      <c r="L12" s="156"/>
      <c r="M12" s="134" t="s">
        <v>416</v>
      </c>
      <c r="N12" s="224">
        <v>0.0</v>
      </c>
      <c r="O12" s="117" t="b">
        <f t="shared" ref="O12:O1441" si="2">if(OR(H12="Treinamento",H12="Pesquisa",H12="Desenvolvimento"),TRUE,FALSE)</f>
        <v>0</v>
      </c>
      <c r="P12" s="117" t="b">
        <f t="array" ref="P12:P1903">iferror(vlookup($C$12:$C1903,'BD Projetos'!$A:$B,2,false),FALSE)</f>
        <v>1</v>
      </c>
      <c r="Q12" s="117" t="str">
        <f t="array" ref="Q12:Q1903">vlookup($E$12:$E1903,PESSOAL!B$35:$E$47,4,false)</f>
        <v>Parcial</v>
      </c>
    </row>
    <row r="13" hidden="1">
      <c r="A13" s="108"/>
      <c r="B13" s="220"/>
      <c r="C13" s="134" t="s">
        <v>290</v>
      </c>
      <c r="D13" s="220" t="str">
        <f>vlookup(M13,'Página10'!A:B,2,false)</f>
        <v>INOV00001</v>
      </c>
      <c r="E13" s="134" t="s">
        <v>113</v>
      </c>
      <c r="F13" s="221">
        <v>44932.0</v>
      </c>
      <c r="G13" s="222">
        <v>0.041666666666666664</v>
      </c>
      <c r="H13" s="134" t="s">
        <v>411</v>
      </c>
      <c r="I13" s="223" t="s">
        <v>411</v>
      </c>
      <c r="J13" s="223" t="b">
        <f t="shared" si="1"/>
        <v>1</v>
      </c>
      <c r="K13" s="145" t="s">
        <v>495</v>
      </c>
      <c r="L13" s="156"/>
      <c r="M13" s="134" t="s">
        <v>416</v>
      </c>
      <c r="N13" s="224">
        <v>299.77</v>
      </c>
      <c r="O13" s="117" t="b">
        <f t="shared" si="2"/>
        <v>1</v>
      </c>
      <c r="P13" s="117" t="b">
        <v>1</v>
      </c>
      <c r="Q13" s="117" t="s">
        <v>368</v>
      </c>
    </row>
    <row r="14" hidden="1">
      <c r="A14" s="108"/>
      <c r="B14" s="220"/>
      <c r="C14" s="134" t="s">
        <v>425</v>
      </c>
      <c r="D14" s="220" t="str">
        <f>vlookup(M14,'Página10'!A:B,2,false)</f>
        <v>INOV00012</v>
      </c>
      <c r="E14" s="134" t="s">
        <v>113</v>
      </c>
      <c r="F14" s="221">
        <v>44935.0</v>
      </c>
      <c r="G14" s="222">
        <v>0.041666666666666664</v>
      </c>
      <c r="H14" s="134" t="s">
        <v>411</v>
      </c>
      <c r="I14" s="223" t="s">
        <v>411</v>
      </c>
      <c r="J14" s="223" t="b">
        <f t="shared" si="1"/>
        <v>1</v>
      </c>
      <c r="K14" s="145" t="s">
        <v>496</v>
      </c>
      <c r="L14" s="156"/>
      <c r="M14" s="134" t="s">
        <v>424</v>
      </c>
      <c r="N14" s="224">
        <v>0.0</v>
      </c>
      <c r="O14" s="117" t="b">
        <f t="shared" si="2"/>
        <v>1</v>
      </c>
      <c r="P14" s="117" t="b">
        <v>0</v>
      </c>
      <c r="Q14" s="117" t="s">
        <v>368</v>
      </c>
    </row>
    <row r="15" hidden="1">
      <c r="A15" s="108"/>
      <c r="B15" s="220"/>
      <c r="C15" s="134" t="s">
        <v>290</v>
      </c>
      <c r="D15" s="220" t="str">
        <f>vlookup(M15,'Página10'!A:B,2,false)</f>
        <v>INOV00001</v>
      </c>
      <c r="E15" s="134" t="s">
        <v>113</v>
      </c>
      <c r="F15" s="221">
        <v>44939.0</v>
      </c>
      <c r="G15" s="222">
        <v>0.041666666666666664</v>
      </c>
      <c r="H15" s="134" t="s">
        <v>475</v>
      </c>
      <c r="I15" s="223" t="s">
        <v>475</v>
      </c>
      <c r="J15" s="223" t="b">
        <f t="shared" si="1"/>
        <v>1</v>
      </c>
      <c r="K15" s="145" t="s">
        <v>497</v>
      </c>
      <c r="L15" s="156"/>
      <c r="M15" s="134" t="s">
        <v>416</v>
      </c>
      <c r="N15" s="224">
        <v>299.77</v>
      </c>
      <c r="O15" s="117" t="b">
        <f t="shared" si="2"/>
        <v>1</v>
      </c>
      <c r="P15" s="117" t="b">
        <v>1</v>
      </c>
      <c r="Q15" s="117" t="s">
        <v>368</v>
      </c>
    </row>
    <row r="16" hidden="1">
      <c r="A16" s="108"/>
      <c r="B16" s="220"/>
      <c r="C16" s="134" t="s">
        <v>290</v>
      </c>
      <c r="D16" s="220" t="str">
        <f>vlookup(M16,'Página10'!A:B,2,false)</f>
        <v>INOV00001</v>
      </c>
      <c r="E16" s="134" t="s">
        <v>113</v>
      </c>
      <c r="F16" s="221">
        <v>44942.0</v>
      </c>
      <c r="G16" s="222">
        <v>0.020833333333333332</v>
      </c>
      <c r="H16" s="134" t="s">
        <v>411</v>
      </c>
      <c r="I16" s="223" t="s">
        <v>411</v>
      </c>
      <c r="J16" s="223" t="b">
        <f t="shared" si="1"/>
        <v>1</v>
      </c>
      <c r="K16" s="145" t="s">
        <v>498</v>
      </c>
      <c r="L16" s="156"/>
      <c r="M16" s="134" t="s">
        <v>416</v>
      </c>
      <c r="N16" s="224">
        <v>149.88</v>
      </c>
      <c r="O16" s="117" t="b">
        <f t="shared" si="2"/>
        <v>1</v>
      </c>
      <c r="P16" s="117" t="b">
        <v>1</v>
      </c>
      <c r="Q16" s="117" t="s">
        <v>368</v>
      </c>
    </row>
    <row r="17" hidden="1">
      <c r="A17" s="108"/>
      <c r="B17" s="220"/>
      <c r="C17" s="134" t="s">
        <v>290</v>
      </c>
      <c r="D17" s="220" t="str">
        <f>vlookup(M17,'Página10'!A:B,2,false)</f>
        <v>INOV00001</v>
      </c>
      <c r="E17" s="134" t="s">
        <v>113</v>
      </c>
      <c r="F17" s="221">
        <v>44943.0</v>
      </c>
      <c r="G17" s="222">
        <v>0.020833333333333332</v>
      </c>
      <c r="H17" s="134" t="s">
        <v>479</v>
      </c>
      <c r="I17" s="223" t="s">
        <v>479</v>
      </c>
      <c r="J17" s="223" t="b">
        <f t="shared" si="1"/>
        <v>1</v>
      </c>
      <c r="K17" s="145" t="s">
        <v>499</v>
      </c>
      <c r="L17" s="156"/>
      <c r="M17" s="134" t="s">
        <v>416</v>
      </c>
      <c r="N17" s="224">
        <v>0.0</v>
      </c>
      <c r="O17" s="117" t="b">
        <f t="shared" si="2"/>
        <v>0</v>
      </c>
      <c r="P17" s="117" t="b">
        <v>1</v>
      </c>
      <c r="Q17" s="117" t="s">
        <v>368</v>
      </c>
    </row>
    <row r="18" hidden="1">
      <c r="A18" s="108"/>
      <c r="B18" s="220"/>
      <c r="C18" s="134" t="s">
        <v>435</v>
      </c>
      <c r="D18" s="220" t="str">
        <f>vlookup(M18,'Página10'!A:B,2,false)</f>
        <v>INOV00020</v>
      </c>
      <c r="E18" s="134" t="s">
        <v>113</v>
      </c>
      <c r="F18" s="221">
        <v>44951.0</v>
      </c>
      <c r="G18" s="222">
        <v>0.08333333333333333</v>
      </c>
      <c r="H18" s="134" t="s">
        <v>411</v>
      </c>
      <c r="I18" s="223" t="s">
        <v>411</v>
      </c>
      <c r="J18" s="223" t="b">
        <f t="shared" si="1"/>
        <v>1</v>
      </c>
      <c r="K18" s="145" t="s">
        <v>500</v>
      </c>
      <c r="L18" s="156"/>
      <c r="M18" s="134" t="s">
        <v>434</v>
      </c>
      <c r="N18" s="224">
        <v>0.0</v>
      </c>
      <c r="O18" s="117" t="b">
        <f t="shared" si="2"/>
        <v>1</v>
      </c>
      <c r="P18" s="117" t="b">
        <v>0</v>
      </c>
      <c r="Q18" s="117" t="s">
        <v>368</v>
      </c>
    </row>
    <row r="19" hidden="1">
      <c r="A19" s="108"/>
      <c r="B19" s="220"/>
      <c r="C19" s="134" t="s">
        <v>49</v>
      </c>
      <c r="D19" s="220" t="str">
        <f>vlookup(M19,'Página10'!A:B,2,false)</f>
        <v>INOV00004</v>
      </c>
      <c r="E19" s="134" t="s">
        <v>113</v>
      </c>
      <c r="F19" s="221">
        <v>44951.0</v>
      </c>
      <c r="G19" s="222">
        <v>0.03125</v>
      </c>
      <c r="H19" s="134" t="s">
        <v>411</v>
      </c>
      <c r="I19" s="223" t="s">
        <v>411</v>
      </c>
      <c r="J19" s="223" t="b">
        <f t="shared" si="1"/>
        <v>1</v>
      </c>
      <c r="K19" s="145" t="s">
        <v>501</v>
      </c>
      <c r="L19" s="156"/>
      <c r="M19" s="134" t="s">
        <v>421</v>
      </c>
      <c r="N19" s="224">
        <v>224.82</v>
      </c>
      <c r="O19" s="117" t="b">
        <f t="shared" si="2"/>
        <v>1</v>
      </c>
      <c r="P19" s="117" t="b">
        <v>1</v>
      </c>
      <c r="Q19" s="117" t="s">
        <v>368</v>
      </c>
    </row>
    <row r="20" hidden="1">
      <c r="A20" s="108"/>
      <c r="B20" s="220"/>
      <c r="C20" s="134" t="s">
        <v>58</v>
      </c>
      <c r="D20" s="220" t="str">
        <f>vlookup(M20,'Página10'!A:B,2,false)</f>
        <v>INOV00023</v>
      </c>
      <c r="E20" s="134" t="s">
        <v>113</v>
      </c>
      <c r="F20" s="221">
        <v>44959.0</v>
      </c>
      <c r="G20" s="222">
        <v>0.041666666666666664</v>
      </c>
      <c r="H20" s="134" t="s">
        <v>475</v>
      </c>
      <c r="I20" s="223" t="s">
        <v>475</v>
      </c>
      <c r="J20" s="223" t="b">
        <f t="shared" si="1"/>
        <v>1</v>
      </c>
      <c r="K20" s="145" t="s">
        <v>502</v>
      </c>
      <c r="L20" s="156"/>
      <c r="M20" s="134" t="s">
        <v>438</v>
      </c>
      <c r="N20" s="224">
        <v>387.93</v>
      </c>
      <c r="O20" s="117" t="b">
        <f t="shared" si="2"/>
        <v>1</v>
      </c>
      <c r="P20" s="117" t="b">
        <v>1</v>
      </c>
      <c r="Q20" s="117" t="s">
        <v>368</v>
      </c>
    </row>
    <row r="21" hidden="1">
      <c r="A21" s="108"/>
      <c r="B21" s="220"/>
      <c r="C21" s="134" t="s">
        <v>290</v>
      </c>
      <c r="D21" s="220" t="str">
        <f>vlookup(M21,'Página10'!A:B,2,false)</f>
        <v>INOV00001</v>
      </c>
      <c r="E21" s="134" t="s">
        <v>113</v>
      </c>
      <c r="F21" s="221">
        <v>44960.0</v>
      </c>
      <c r="G21" s="222">
        <v>0.020833333333333332</v>
      </c>
      <c r="H21" s="134" t="s">
        <v>475</v>
      </c>
      <c r="I21" s="223" t="s">
        <v>475</v>
      </c>
      <c r="J21" s="223" t="b">
        <f t="shared" si="1"/>
        <v>1</v>
      </c>
      <c r="K21" s="145" t="s">
        <v>503</v>
      </c>
      <c r="L21" s="156"/>
      <c r="M21" s="134" t="s">
        <v>416</v>
      </c>
      <c r="N21" s="224">
        <v>193.97</v>
      </c>
      <c r="O21" s="117" t="b">
        <f t="shared" si="2"/>
        <v>1</v>
      </c>
      <c r="P21" s="117" t="b">
        <v>1</v>
      </c>
      <c r="Q21" s="117" t="s">
        <v>368</v>
      </c>
    </row>
    <row r="22" hidden="1">
      <c r="A22" s="108"/>
      <c r="B22" s="220"/>
      <c r="C22" s="134" t="s">
        <v>441</v>
      </c>
      <c r="D22" s="220" t="str">
        <f>vlookup(M22,'Página10'!A:B,2,false)</f>
        <v>INOV00025</v>
      </c>
      <c r="E22" s="134" t="s">
        <v>113</v>
      </c>
      <c r="F22" s="221">
        <v>44963.0</v>
      </c>
      <c r="G22" s="222">
        <v>0.020833333333333332</v>
      </c>
      <c r="H22" s="134" t="s">
        <v>411</v>
      </c>
      <c r="I22" s="223" t="s">
        <v>411</v>
      </c>
      <c r="J22" s="223" t="b">
        <f t="shared" si="1"/>
        <v>1</v>
      </c>
      <c r="K22" s="145" t="s">
        <v>504</v>
      </c>
      <c r="L22" s="156"/>
      <c r="M22" s="134" t="s">
        <v>440</v>
      </c>
      <c r="N22" s="224">
        <v>0.0</v>
      </c>
      <c r="O22" s="117" t="b">
        <f t="shared" si="2"/>
        <v>1</v>
      </c>
      <c r="P22" s="117" t="b">
        <v>0</v>
      </c>
      <c r="Q22" s="117" t="s">
        <v>368</v>
      </c>
    </row>
    <row r="23" hidden="1">
      <c r="A23" s="108"/>
      <c r="B23" s="220"/>
      <c r="C23" s="134" t="s">
        <v>51</v>
      </c>
      <c r="D23" s="220" t="str">
        <f>vlookup(M23,'Página10'!A:B,2,false)</f>
        <v>INOV00010</v>
      </c>
      <c r="E23" s="134" t="s">
        <v>113</v>
      </c>
      <c r="F23" s="221">
        <v>44963.0</v>
      </c>
      <c r="G23" s="222">
        <v>0.041666666666666664</v>
      </c>
      <c r="H23" s="134" t="s">
        <v>411</v>
      </c>
      <c r="I23" s="223" t="s">
        <v>411</v>
      </c>
      <c r="J23" s="223" t="b">
        <f t="shared" si="1"/>
        <v>1</v>
      </c>
      <c r="K23" s="145" t="s">
        <v>505</v>
      </c>
      <c r="L23" s="156"/>
      <c r="M23" s="134" t="s">
        <v>423</v>
      </c>
      <c r="N23" s="224">
        <v>387.93</v>
      </c>
      <c r="O23" s="117" t="b">
        <f t="shared" si="2"/>
        <v>1</v>
      </c>
      <c r="P23" s="117" t="b">
        <v>1</v>
      </c>
      <c r="Q23" s="117" t="s">
        <v>368</v>
      </c>
    </row>
    <row r="24" hidden="1">
      <c r="A24" s="108"/>
      <c r="B24" s="220"/>
      <c r="C24" s="134" t="s">
        <v>290</v>
      </c>
      <c r="D24" s="220" t="str">
        <f>vlookup(M24,'Página10'!A:B,2,false)</f>
        <v>INOV00001</v>
      </c>
      <c r="E24" s="134" t="s">
        <v>113</v>
      </c>
      <c r="F24" s="221">
        <v>44991.0</v>
      </c>
      <c r="G24" s="222">
        <v>0.041666666666666664</v>
      </c>
      <c r="H24" s="134" t="s">
        <v>411</v>
      </c>
      <c r="I24" s="223" t="s">
        <v>411</v>
      </c>
      <c r="J24" s="223" t="b">
        <f t="shared" si="1"/>
        <v>1</v>
      </c>
      <c r="K24" s="145" t="s">
        <v>506</v>
      </c>
      <c r="L24" s="156"/>
      <c r="M24" s="134" t="s">
        <v>416</v>
      </c>
      <c r="N24" s="224">
        <v>286.73</v>
      </c>
      <c r="O24" s="117" t="b">
        <f t="shared" si="2"/>
        <v>1</v>
      </c>
      <c r="P24" s="117" t="b">
        <v>1</v>
      </c>
      <c r="Q24" s="117" t="s">
        <v>368</v>
      </c>
    </row>
    <row r="25" hidden="1">
      <c r="A25" s="108"/>
      <c r="B25" s="220"/>
      <c r="C25" s="134" t="s">
        <v>50</v>
      </c>
      <c r="D25" s="220" t="str">
        <f>vlookup(M25,'Página10'!A:B,2,false)</f>
        <v>INOV00006</v>
      </c>
      <c r="E25" s="134" t="s">
        <v>113</v>
      </c>
      <c r="F25" s="221">
        <v>44991.0</v>
      </c>
      <c r="G25" s="222">
        <v>0.041666666666666664</v>
      </c>
      <c r="H25" s="134" t="s">
        <v>411</v>
      </c>
      <c r="I25" s="223" t="s">
        <v>411</v>
      </c>
      <c r="J25" s="223" t="b">
        <f t="shared" si="1"/>
        <v>1</v>
      </c>
      <c r="K25" s="145" t="s">
        <v>507</v>
      </c>
      <c r="L25" s="156"/>
      <c r="M25" s="134" t="s">
        <v>422</v>
      </c>
      <c r="N25" s="224">
        <v>286.73</v>
      </c>
      <c r="O25" s="117" t="b">
        <f t="shared" si="2"/>
        <v>1</v>
      </c>
      <c r="P25" s="117" t="b">
        <v>1</v>
      </c>
      <c r="Q25" s="117" t="s">
        <v>368</v>
      </c>
    </row>
    <row r="26" hidden="1">
      <c r="A26" s="108"/>
      <c r="B26" s="220"/>
      <c r="C26" s="134" t="s">
        <v>425</v>
      </c>
      <c r="D26" s="220" t="str">
        <f>vlookup(M26,'Página10'!A:B,2,false)</f>
        <v>INOV00012</v>
      </c>
      <c r="E26" s="134" t="s">
        <v>113</v>
      </c>
      <c r="F26" s="221">
        <v>44994.0</v>
      </c>
      <c r="G26" s="222">
        <v>0.041666666666666664</v>
      </c>
      <c r="H26" s="134" t="s">
        <v>411</v>
      </c>
      <c r="I26" s="223" t="s">
        <v>411</v>
      </c>
      <c r="J26" s="223" t="b">
        <f t="shared" si="1"/>
        <v>1</v>
      </c>
      <c r="K26" s="145" t="s">
        <v>508</v>
      </c>
      <c r="L26" s="156"/>
      <c r="M26" s="134" t="s">
        <v>424</v>
      </c>
      <c r="N26" s="224">
        <v>0.0</v>
      </c>
      <c r="O26" s="117" t="b">
        <f t="shared" si="2"/>
        <v>1</v>
      </c>
      <c r="P26" s="117" t="b">
        <v>0</v>
      </c>
      <c r="Q26" s="117" t="s">
        <v>368</v>
      </c>
    </row>
    <row r="27" hidden="1">
      <c r="A27" s="108"/>
      <c r="B27" s="220"/>
      <c r="C27" s="134" t="s">
        <v>58</v>
      </c>
      <c r="D27" s="220" t="str">
        <f>vlookup(M27,'Página10'!A:B,2,false)</f>
        <v>INOV00023</v>
      </c>
      <c r="E27" s="134" t="s">
        <v>113</v>
      </c>
      <c r="F27" s="221">
        <v>44994.0</v>
      </c>
      <c r="G27" s="222">
        <v>0.041666666666666664</v>
      </c>
      <c r="H27" s="134" t="s">
        <v>475</v>
      </c>
      <c r="I27" s="223" t="s">
        <v>475</v>
      </c>
      <c r="J27" s="223" t="b">
        <f t="shared" si="1"/>
        <v>1</v>
      </c>
      <c r="K27" s="145" t="s">
        <v>509</v>
      </c>
      <c r="L27" s="156"/>
      <c r="M27" s="134" t="s">
        <v>438</v>
      </c>
      <c r="N27" s="224">
        <v>286.73</v>
      </c>
      <c r="O27" s="117" t="b">
        <f t="shared" si="2"/>
        <v>1</v>
      </c>
      <c r="P27" s="117" t="b">
        <v>1</v>
      </c>
      <c r="Q27" s="117" t="s">
        <v>368</v>
      </c>
    </row>
    <row r="28" hidden="1">
      <c r="A28" s="108"/>
      <c r="B28" s="220"/>
      <c r="C28" s="134" t="s">
        <v>52</v>
      </c>
      <c r="D28" s="220" t="str">
        <f>vlookup(M28,'Página10'!A:B,2,false)</f>
        <v>INOV00013</v>
      </c>
      <c r="E28" s="134" t="s">
        <v>113</v>
      </c>
      <c r="F28" s="221">
        <v>44995.0</v>
      </c>
      <c r="G28" s="222">
        <v>0.041666666666666664</v>
      </c>
      <c r="H28" s="134" t="s">
        <v>411</v>
      </c>
      <c r="I28" s="223" t="s">
        <v>411</v>
      </c>
      <c r="J28" s="223" t="b">
        <f t="shared" si="1"/>
        <v>1</v>
      </c>
      <c r="K28" s="145" t="s">
        <v>510</v>
      </c>
      <c r="L28" s="156"/>
      <c r="M28" s="134" t="s">
        <v>426</v>
      </c>
      <c r="N28" s="224">
        <v>286.73</v>
      </c>
      <c r="O28" s="117" t="b">
        <f t="shared" si="2"/>
        <v>1</v>
      </c>
      <c r="P28" s="117" t="b">
        <v>1</v>
      </c>
      <c r="Q28" s="117" t="s">
        <v>368</v>
      </c>
    </row>
    <row r="29" hidden="1">
      <c r="A29" s="108"/>
      <c r="B29" s="220"/>
      <c r="C29" s="134" t="s">
        <v>441</v>
      </c>
      <c r="D29" s="220" t="str">
        <f>vlookup(M29,'Página10'!A:B,2,false)</f>
        <v>INOV00025</v>
      </c>
      <c r="E29" s="134" t="s">
        <v>113</v>
      </c>
      <c r="F29" s="221">
        <v>44999.0</v>
      </c>
      <c r="G29" s="222">
        <v>0.020833333333333332</v>
      </c>
      <c r="H29" s="134" t="s">
        <v>411</v>
      </c>
      <c r="I29" s="223" t="s">
        <v>411</v>
      </c>
      <c r="J29" s="223" t="b">
        <f t="shared" si="1"/>
        <v>1</v>
      </c>
      <c r="K29" s="145" t="s">
        <v>511</v>
      </c>
      <c r="L29" s="156"/>
      <c r="M29" s="134" t="s">
        <v>440</v>
      </c>
      <c r="N29" s="224">
        <v>0.0</v>
      </c>
      <c r="O29" s="117" t="b">
        <f t="shared" si="2"/>
        <v>1</v>
      </c>
      <c r="P29" s="117" t="b">
        <v>0</v>
      </c>
      <c r="Q29" s="117" t="s">
        <v>368</v>
      </c>
    </row>
    <row r="30" hidden="1">
      <c r="A30" s="108"/>
      <c r="B30" s="220"/>
      <c r="C30" s="134" t="s">
        <v>453</v>
      </c>
      <c r="D30" s="220" t="str">
        <f>vlookup(M30,'Página10'!A:B,2,false)</f>
        <v>INOV00032</v>
      </c>
      <c r="E30" s="134" t="s">
        <v>113</v>
      </c>
      <c r="F30" s="221">
        <v>45006.0</v>
      </c>
      <c r="G30" s="222">
        <v>0.041666666666666664</v>
      </c>
      <c r="H30" s="134" t="s">
        <v>411</v>
      </c>
      <c r="I30" s="223" t="s">
        <v>411</v>
      </c>
      <c r="J30" s="223" t="b">
        <f t="shared" si="1"/>
        <v>1</v>
      </c>
      <c r="K30" s="145" t="s">
        <v>512</v>
      </c>
      <c r="L30" s="156"/>
      <c r="M30" s="134" t="s">
        <v>452</v>
      </c>
      <c r="N30" s="224">
        <v>0.0</v>
      </c>
      <c r="O30" s="117" t="b">
        <f t="shared" si="2"/>
        <v>1</v>
      </c>
      <c r="P30" s="117" t="b">
        <v>0</v>
      </c>
      <c r="Q30" s="117" t="s">
        <v>368</v>
      </c>
    </row>
    <row r="31" hidden="1">
      <c r="A31" s="108"/>
      <c r="B31" s="220"/>
      <c r="C31" s="134" t="s">
        <v>453</v>
      </c>
      <c r="D31" s="220" t="str">
        <f>vlookup(M31,'Página10'!A:B,2,false)</f>
        <v>INOV00032</v>
      </c>
      <c r="E31" s="134" t="s">
        <v>113</v>
      </c>
      <c r="F31" s="221">
        <v>45008.0</v>
      </c>
      <c r="G31" s="222">
        <v>0.041666666666666664</v>
      </c>
      <c r="H31" s="134" t="s">
        <v>411</v>
      </c>
      <c r="I31" s="223" t="s">
        <v>411</v>
      </c>
      <c r="J31" s="223" t="b">
        <f t="shared" si="1"/>
        <v>1</v>
      </c>
      <c r="K31" s="145" t="s">
        <v>513</v>
      </c>
      <c r="L31" s="156"/>
      <c r="M31" s="134" t="s">
        <v>452</v>
      </c>
      <c r="N31" s="224">
        <v>0.0</v>
      </c>
      <c r="O31" s="117" t="b">
        <f t="shared" si="2"/>
        <v>1</v>
      </c>
      <c r="P31" s="117" t="b">
        <v>0</v>
      </c>
      <c r="Q31" s="117" t="s">
        <v>368</v>
      </c>
    </row>
    <row r="32" hidden="1">
      <c r="A32" s="108"/>
      <c r="B32" s="220"/>
      <c r="C32" s="134" t="s">
        <v>433</v>
      </c>
      <c r="D32" s="220" t="str">
        <f>vlookup(M32,'Página10'!A:B,2,false)</f>
        <v>INOV00019</v>
      </c>
      <c r="E32" s="134" t="s">
        <v>113</v>
      </c>
      <c r="F32" s="221">
        <v>45009.0</v>
      </c>
      <c r="G32" s="222">
        <v>0.041666666666666664</v>
      </c>
      <c r="H32" s="134" t="s">
        <v>479</v>
      </c>
      <c r="I32" s="223" t="s">
        <v>479</v>
      </c>
      <c r="J32" s="223" t="b">
        <f t="shared" si="1"/>
        <v>1</v>
      </c>
      <c r="K32" s="145" t="s">
        <v>514</v>
      </c>
      <c r="L32" s="156"/>
      <c r="M32" s="134" t="s">
        <v>432</v>
      </c>
      <c r="N32" s="224">
        <v>0.0</v>
      </c>
      <c r="O32" s="117" t="b">
        <f t="shared" si="2"/>
        <v>0</v>
      </c>
      <c r="P32" s="117" t="b">
        <v>0</v>
      </c>
      <c r="Q32" s="117" t="s">
        <v>368</v>
      </c>
    </row>
    <row r="33" hidden="1">
      <c r="A33" s="108"/>
      <c r="B33" s="220"/>
      <c r="C33" s="134" t="s">
        <v>448</v>
      </c>
      <c r="D33" s="220" t="str">
        <f>vlookup(M33,'Página10'!A:B,2,false)</f>
        <v>INOV00029</v>
      </c>
      <c r="E33" s="134" t="s">
        <v>113</v>
      </c>
      <c r="F33" s="221">
        <v>45014.0</v>
      </c>
      <c r="G33" s="222">
        <v>0.041666666666666664</v>
      </c>
      <c r="H33" s="134" t="s">
        <v>475</v>
      </c>
      <c r="I33" s="223" t="s">
        <v>475</v>
      </c>
      <c r="J33" s="223" t="b">
        <f t="shared" si="1"/>
        <v>1</v>
      </c>
      <c r="K33" s="145" t="s">
        <v>515</v>
      </c>
      <c r="L33" s="156"/>
      <c r="M33" s="134" t="s">
        <v>447</v>
      </c>
      <c r="N33" s="224">
        <v>0.0</v>
      </c>
      <c r="O33" s="117" t="b">
        <f t="shared" si="2"/>
        <v>1</v>
      </c>
      <c r="P33" s="117" t="b">
        <v>0</v>
      </c>
      <c r="Q33" s="117" t="s">
        <v>368</v>
      </c>
    </row>
    <row r="34" hidden="1">
      <c r="A34" s="108"/>
      <c r="B34" s="220"/>
      <c r="C34" s="134" t="s">
        <v>435</v>
      </c>
      <c r="D34" s="220" t="str">
        <f>vlookup(M34,'Página10'!A:B,2,false)</f>
        <v>INOV00020</v>
      </c>
      <c r="E34" s="134" t="s">
        <v>113</v>
      </c>
      <c r="F34" s="221">
        <v>45016.0</v>
      </c>
      <c r="G34" s="222">
        <v>0.041666666666666664</v>
      </c>
      <c r="H34" s="134" t="s">
        <v>411</v>
      </c>
      <c r="I34" s="223" t="s">
        <v>411</v>
      </c>
      <c r="J34" s="223" t="b">
        <f t="shared" si="1"/>
        <v>1</v>
      </c>
      <c r="K34" s="145" t="s">
        <v>516</v>
      </c>
      <c r="L34" s="156"/>
      <c r="M34" s="134" t="s">
        <v>434</v>
      </c>
      <c r="N34" s="224">
        <v>0.0</v>
      </c>
      <c r="O34" s="117" t="b">
        <f t="shared" si="2"/>
        <v>1</v>
      </c>
      <c r="P34" s="117" t="b">
        <v>0</v>
      </c>
      <c r="Q34" s="117" t="s">
        <v>368</v>
      </c>
    </row>
    <row r="35" hidden="1">
      <c r="A35" s="108"/>
      <c r="B35" s="220"/>
      <c r="C35" s="134" t="s">
        <v>58</v>
      </c>
      <c r="D35" s="220" t="str">
        <f>vlookup(M35,'Página10'!A:B,2,false)</f>
        <v>INOV00023</v>
      </c>
      <c r="E35" s="134" t="s">
        <v>144</v>
      </c>
      <c r="F35" s="221">
        <v>44931.0</v>
      </c>
      <c r="G35" s="222">
        <v>0.08333333333333333</v>
      </c>
      <c r="H35" s="134" t="s">
        <v>475</v>
      </c>
      <c r="I35" s="223" t="s">
        <v>475</v>
      </c>
      <c r="J35" s="223" t="b">
        <f t="shared" si="1"/>
        <v>1</v>
      </c>
      <c r="K35" s="145" t="s">
        <v>517</v>
      </c>
      <c r="L35" s="156"/>
      <c r="M35" s="134" t="s">
        <v>438</v>
      </c>
      <c r="N35" s="224">
        <v>88.68</v>
      </c>
      <c r="O35" s="117" t="b">
        <f t="shared" si="2"/>
        <v>1</v>
      </c>
      <c r="P35" s="117" t="b">
        <v>1</v>
      </c>
      <c r="Q35" s="117" t="s">
        <v>368</v>
      </c>
    </row>
    <row r="36" hidden="1">
      <c r="A36" s="108"/>
      <c r="B36" s="220"/>
      <c r="C36" s="134" t="s">
        <v>435</v>
      </c>
      <c r="D36" s="220" t="str">
        <f>vlookup(M36,'Página10'!A:B,2,false)</f>
        <v>INOV00020</v>
      </c>
      <c r="E36" s="134" t="s">
        <v>144</v>
      </c>
      <c r="F36" s="221">
        <v>44931.0</v>
      </c>
      <c r="G36" s="222">
        <v>0.125</v>
      </c>
      <c r="H36" s="134" t="s">
        <v>475</v>
      </c>
      <c r="I36" s="223" t="s">
        <v>475</v>
      </c>
      <c r="J36" s="223" t="b">
        <f t="shared" si="1"/>
        <v>1</v>
      </c>
      <c r="K36" s="145" t="s">
        <v>518</v>
      </c>
      <c r="L36" s="156"/>
      <c r="M36" s="134" t="s">
        <v>434</v>
      </c>
      <c r="N36" s="224">
        <v>0.0</v>
      </c>
      <c r="O36" s="117" t="b">
        <f t="shared" si="2"/>
        <v>1</v>
      </c>
      <c r="P36" s="117" t="b">
        <v>0</v>
      </c>
      <c r="Q36" s="117" t="s">
        <v>368</v>
      </c>
    </row>
    <row r="37" hidden="1">
      <c r="A37" s="108"/>
      <c r="B37" s="220"/>
      <c r="C37" s="134" t="s">
        <v>65</v>
      </c>
      <c r="D37" s="220" t="str">
        <f>vlookup(M37,'Página10'!A:B,2,false)</f>
        <v>INOV00037</v>
      </c>
      <c r="E37" s="134" t="s">
        <v>144</v>
      </c>
      <c r="F37" s="221">
        <v>44935.0</v>
      </c>
      <c r="G37" s="222">
        <v>0.125</v>
      </c>
      <c r="H37" s="134" t="s">
        <v>475</v>
      </c>
      <c r="I37" s="223" t="s">
        <v>475</v>
      </c>
      <c r="J37" s="223" t="b">
        <f t="shared" si="1"/>
        <v>1</v>
      </c>
      <c r="K37" s="145" t="s">
        <v>517</v>
      </c>
      <c r="L37" s="156"/>
      <c r="M37" s="134" t="s">
        <v>459</v>
      </c>
      <c r="N37" s="224">
        <v>0.0</v>
      </c>
      <c r="O37" s="117" t="b">
        <f t="shared" si="2"/>
        <v>1</v>
      </c>
      <c r="P37" s="117" t="b">
        <v>1</v>
      </c>
      <c r="Q37" s="117" t="s">
        <v>368</v>
      </c>
    </row>
    <row r="38" hidden="1">
      <c r="A38" s="108"/>
      <c r="B38" s="220"/>
      <c r="C38" s="134" t="s">
        <v>435</v>
      </c>
      <c r="D38" s="220" t="str">
        <f>vlookup(M38,'Página10'!A:B,2,false)</f>
        <v>INOV00020</v>
      </c>
      <c r="E38" s="134" t="s">
        <v>144</v>
      </c>
      <c r="F38" s="221">
        <v>44938.0</v>
      </c>
      <c r="G38" s="222">
        <v>0.08333333333333333</v>
      </c>
      <c r="H38" s="134" t="s">
        <v>475</v>
      </c>
      <c r="I38" s="223" t="s">
        <v>475</v>
      </c>
      <c r="J38" s="223" t="b">
        <f t="shared" si="1"/>
        <v>1</v>
      </c>
      <c r="K38" s="145" t="s">
        <v>518</v>
      </c>
      <c r="L38" s="156"/>
      <c r="M38" s="134" t="s">
        <v>434</v>
      </c>
      <c r="N38" s="224">
        <v>0.0</v>
      </c>
      <c r="O38" s="117" t="b">
        <f t="shared" si="2"/>
        <v>1</v>
      </c>
      <c r="P38" s="117" t="b">
        <v>0</v>
      </c>
      <c r="Q38" s="117" t="s">
        <v>368</v>
      </c>
    </row>
    <row r="39" hidden="1">
      <c r="A39" s="108"/>
      <c r="B39" s="220"/>
      <c r="C39" s="134" t="s">
        <v>58</v>
      </c>
      <c r="D39" s="220" t="str">
        <f>vlookup(M39,'Página10'!A:B,2,false)</f>
        <v>INOV00023</v>
      </c>
      <c r="E39" s="134" t="s">
        <v>144</v>
      </c>
      <c r="F39" s="221">
        <v>44938.0</v>
      </c>
      <c r="G39" s="222">
        <v>0.041666666666666664</v>
      </c>
      <c r="H39" s="134" t="s">
        <v>475</v>
      </c>
      <c r="I39" s="223" t="s">
        <v>475</v>
      </c>
      <c r="J39" s="223" t="b">
        <f t="shared" si="1"/>
        <v>1</v>
      </c>
      <c r="K39" s="145" t="s">
        <v>517</v>
      </c>
      <c r="L39" s="156"/>
      <c r="M39" s="134" t="s">
        <v>438</v>
      </c>
      <c r="N39" s="224">
        <v>44.34</v>
      </c>
      <c r="O39" s="117" t="b">
        <f t="shared" si="2"/>
        <v>1</v>
      </c>
      <c r="P39" s="117" t="b">
        <v>1</v>
      </c>
      <c r="Q39" s="117" t="s">
        <v>368</v>
      </c>
    </row>
    <row r="40" hidden="1">
      <c r="A40" s="108"/>
      <c r="B40" s="220"/>
      <c r="C40" s="134" t="s">
        <v>58</v>
      </c>
      <c r="D40" s="220" t="str">
        <f>vlookup(M40,'Página10'!A:B,2,false)</f>
        <v>INOV00023</v>
      </c>
      <c r="E40" s="134" t="s">
        <v>144</v>
      </c>
      <c r="F40" s="221">
        <v>44939.0</v>
      </c>
      <c r="G40" s="222">
        <v>0.041666666666666664</v>
      </c>
      <c r="H40" s="134" t="s">
        <v>475</v>
      </c>
      <c r="I40" s="223" t="s">
        <v>475</v>
      </c>
      <c r="J40" s="223" t="b">
        <f t="shared" si="1"/>
        <v>1</v>
      </c>
      <c r="K40" s="145" t="s">
        <v>517</v>
      </c>
      <c r="L40" s="156"/>
      <c r="M40" s="134" t="s">
        <v>438</v>
      </c>
      <c r="N40" s="224">
        <v>44.34</v>
      </c>
      <c r="O40" s="117" t="b">
        <f t="shared" si="2"/>
        <v>1</v>
      </c>
      <c r="P40" s="117" t="b">
        <v>1</v>
      </c>
      <c r="Q40" s="117" t="s">
        <v>368</v>
      </c>
    </row>
    <row r="41" hidden="1">
      <c r="A41" s="108"/>
      <c r="B41" s="220"/>
      <c r="C41" s="134" t="s">
        <v>435</v>
      </c>
      <c r="D41" s="220" t="str">
        <f>vlookup(M41,'Página10'!A:B,2,false)</f>
        <v>INOV00020</v>
      </c>
      <c r="E41" s="134" t="s">
        <v>144</v>
      </c>
      <c r="F41" s="221">
        <v>44939.0</v>
      </c>
      <c r="G41" s="222">
        <v>0.125</v>
      </c>
      <c r="H41" s="134" t="s">
        <v>475</v>
      </c>
      <c r="I41" s="223" t="s">
        <v>475</v>
      </c>
      <c r="J41" s="223" t="b">
        <f t="shared" si="1"/>
        <v>1</v>
      </c>
      <c r="K41" s="145" t="s">
        <v>518</v>
      </c>
      <c r="L41" s="156"/>
      <c r="M41" s="134" t="s">
        <v>434</v>
      </c>
      <c r="N41" s="224">
        <v>0.0</v>
      </c>
      <c r="O41" s="117" t="b">
        <f t="shared" si="2"/>
        <v>1</v>
      </c>
      <c r="P41" s="117" t="b">
        <v>0</v>
      </c>
      <c r="Q41" s="117" t="s">
        <v>368</v>
      </c>
    </row>
    <row r="42" hidden="1">
      <c r="A42" s="108"/>
      <c r="B42" s="220"/>
      <c r="C42" s="134" t="s">
        <v>435</v>
      </c>
      <c r="D42" s="220" t="str">
        <f>vlookup(M42,'Página10'!A:B,2,false)</f>
        <v>INOV00020</v>
      </c>
      <c r="E42" s="134" t="s">
        <v>144</v>
      </c>
      <c r="F42" s="221">
        <v>44942.0</v>
      </c>
      <c r="G42" s="222">
        <v>0.125</v>
      </c>
      <c r="H42" s="134" t="s">
        <v>475</v>
      </c>
      <c r="I42" s="223" t="s">
        <v>475</v>
      </c>
      <c r="J42" s="223" t="b">
        <f t="shared" si="1"/>
        <v>1</v>
      </c>
      <c r="K42" s="145" t="s">
        <v>518</v>
      </c>
      <c r="L42" s="156"/>
      <c r="M42" s="134" t="s">
        <v>434</v>
      </c>
      <c r="N42" s="224">
        <v>0.0</v>
      </c>
      <c r="O42" s="117" t="b">
        <f t="shared" si="2"/>
        <v>1</v>
      </c>
      <c r="P42" s="117" t="b">
        <v>0</v>
      </c>
      <c r="Q42" s="117" t="s">
        <v>368</v>
      </c>
    </row>
    <row r="43" hidden="1">
      <c r="A43" s="108"/>
      <c r="B43" s="220"/>
      <c r="C43" s="134" t="s">
        <v>59</v>
      </c>
      <c r="D43" s="220" t="str">
        <f>vlookup(M43,'Página10'!A:B,2,false)</f>
        <v>INOV00024</v>
      </c>
      <c r="E43" s="134" t="s">
        <v>144</v>
      </c>
      <c r="F43" s="221">
        <v>44943.0</v>
      </c>
      <c r="G43" s="222">
        <v>0.08333333333333333</v>
      </c>
      <c r="H43" s="134" t="s">
        <v>475</v>
      </c>
      <c r="I43" s="223" t="s">
        <v>475</v>
      </c>
      <c r="J43" s="223" t="b">
        <f t="shared" si="1"/>
        <v>1</v>
      </c>
      <c r="K43" s="145" t="s">
        <v>519</v>
      </c>
      <c r="L43" s="156"/>
      <c r="M43" s="134" t="s">
        <v>439</v>
      </c>
      <c r="N43" s="224">
        <v>88.68</v>
      </c>
      <c r="O43" s="117" t="b">
        <f t="shared" si="2"/>
        <v>1</v>
      </c>
      <c r="P43" s="117" t="b">
        <v>1</v>
      </c>
      <c r="Q43" s="117" t="s">
        <v>368</v>
      </c>
    </row>
    <row r="44" hidden="1">
      <c r="A44" s="108"/>
      <c r="B44" s="220"/>
      <c r="C44" s="134" t="s">
        <v>58</v>
      </c>
      <c r="D44" s="220" t="str">
        <f>vlookup(M44,'Página10'!A:B,2,false)</f>
        <v>INOV00023</v>
      </c>
      <c r="E44" s="134" t="s">
        <v>144</v>
      </c>
      <c r="F44" s="221">
        <v>44944.0</v>
      </c>
      <c r="G44" s="222">
        <v>0.041666666666666664</v>
      </c>
      <c r="H44" s="134" t="s">
        <v>475</v>
      </c>
      <c r="I44" s="223" t="s">
        <v>475</v>
      </c>
      <c r="J44" s="223" t="b">
        <f t="shared" si="1"/>
        <v>1</v>
      </c>
      <c r="K44" s="145" t="s">
        <v>517</v>
      </c>
      <c r="L44" s="156"/>
      <c r="M44" s="134" t="s">
        <v>438</v>
      </c>
      <c r="N44" s="224">
        <v>44.34</v>
      </c>
      <c r="O44" s="117" t="b">
        <f t="shared" si="2"/>
        <v>1</v>
      </c>
      <c r="P44" s="117" t="b">
        <v>1</v>
      </c>
      <c r="Q44" s="117" t="s">
        <v>368</v>
      </c>
    </row>
    <row r="45" hidden="1">
      <c r="A45" s="108"/>
      <c r="B45" s="220"/>
      <c r="C45" s="134" t="s">
        <v>65</v>
      </c>
      <c r="D45" s="220" t="str">
        <f>vlookup(M45,'Página10'!A:B,2,false)</f>
        <v>INOV00037</v>
      </c>
      <c r="E45" s="134" t="s">
        <v>144</v>
      </c>
      <c r="F45" s="221">
        <v>44945.0</v>
      </c>
      <c r="G45" s="222">
        <v>0.14583333333333334</v>
      </c>
      <c r="H45" s="134" t="s">
        <v>475</v>
      </c>
      <c r="I45" s="223" t="s">
        <v>475</v>
      </c>
      <c r="J45" s="223" t="b">
        <f t="shared" si="1"/>
        <v>1</v>
      </c>
      <c r="K45" s="145" t="s">
        <v>517</v>
      </c>
      <c r="L45" s="156"/>
      <c r="M45" s="134" t="s">
        <v>459</v>
      </c>
      <c r="N45" s="224">
        <v>0.0</v>
      </c>
      <c r="O45" s="117" t="b">
        <f t="shared" si="2"/>
        <v>1</v>
      </c>
      <c r="P45" s="117" t="b">
        <v>1</v>
      </c>
      <c r="Q45" s="117" t="s">
        <v>368</v>
      </c>
    </row>
    <row r="46" hidden="1">
      <c r="A46" s="108"/>
      <c r="B46" s="220"/>
      <c r="C46" s="134" t="s">
        <v>435</v>
      </c>
      <c r="D46" s="220" t="str">
        <f>vlookup(M46,'Página10'!A:B,2,false)</f>
        <v>INOV00020</v>
      </c>
      <c r="E46" s="134" t="s">
        <v>144</v>
      </c>
      <c r="F46" s="221">
        <v>44946.0</v>
      </c>
      <c r="G46" s="222">
        <v>0.08333333333333333</v>
      </c>
      <c r="H46" s="134" t="s">
        <v>475</v>
      </c>
      <c r="I46" s="223" t="s">
        <v>475</v>
      </c>
      <c r="J46" s="223" t="b">
        <f t="shared" si="1"/>
        <v>1</v>
      </c>
      <c r="K46" s="145" t="s">
        <v>518</v>
      </c>
      <c r="L46" s="156"/>
      <c r="M46" s="134" t="s">
        <v>434</v>
      </c>
      <c r="N46" s="224">
        <v>0.0</v>
      </c>
      <c r="O46" s="117" t="b">
        <f t="shared" si="2"/>
        <v>1</v>
      </c>
      <c r="P46" s="117" t="b">
        <v>0</v>
      </c>
      <c r="Q46" s="117" t="s">
        <v>368</v>
      </c>
    </row>
    <row r="47" hidden="1">
      <c r="A47" s="108"/>
      <c r="B47" s="220"/>
      <c r="C47" s="134" t="s">
        <v>65</v>
      </c>
      <c r="D47" s="220" t="str">
        <f>vlookup(M47,'Página10'!A:B,2,false)</f>
        <v>INOV00037</v>
      </c>
      <c r="E47" s="134" t="s">
        <v>144</v>
      </c>
      <c r="F47" s="221">
        <v>44949.0</v>
      </c>
      <c r="G47" s="222">
        <v>0.16666666666666666</v>
      </c>
      <c r="H47" s="134" t="s">
        <v>475</v>
      </c>
      <c r="I47" s="223" t="s">
        <v>475</v>
      </c>
      <c r="J47" s="223" t="b">
        <f t="shared" si="1"/>
        <v>1</v>
      </c>
      <c r="K47" s="145" t="s">
        <v>517</v>
      </c>
      <c r="L47" s="156"/>
      <c r="M47" s="134" t="s">
        <v>459</v>
      </c>
      <c r="N47" s="224">
        <v>0.0</v>
      </c>
      <c r="O47" s="117" t="b">
        <f t="shared" si="2"/>
        <v>1</v>
      </c>
      <c r="P47" s="117" t="b">
        <v>1</v>
      </c>
      <c r="Q47" s="117" t="s">
        <v>368</v>
      </c>
    </row>
    <row r="48" hidden="1">
      <c r="A48" s="108"/>
      <c r="B48" s="220"/>
      <c r="C48" s="134" t="s">
        <v>65</v>
      </c>
      <c r="D48" s="220" t="str">
        <f>vlookup(M48,'Página10'!A:B,2,false)</f>
        <v>INOV00037</v>
      </c>
      <c r="E48" s="134" t="s">
        <v>144</v>
      </c>
      <c r="F48" s="221">
        <v>44950.0</v>
      </c>
      <c r="G48" s="222">
        <v>0.20833333333333334</v>
      </c>
      <c r="H48" s="134" t="s">
        <v>475</v>
      </c>
      <c r="I48" s="223" t="s">
        <v>475</v>
      </c>
      <c r="J48" s="223" t="b">
        <f t="shared" si="1"/>
        <v>1</v>
      </c>
      <c r="K48" s="145" t="s">
        <v>517</v>
      </c>
      <c r="L48" s="156"/>
      <c r="M48" s="134" t="s">
        <v>459</v>
      </c>
      <c r="N48" s="224">
        <v>0.0</v>
      </c>
      <c r="O48" s="117" t="b">
        <f t="shared" si="2"/>
        <v>1</v>
      </c>
      <c r="P48" s="117" t="b">
        <v>1</v>
      </c>
      <c r="Q48" s="117" t="s">
        <v>368</v>
      </c>
    </row>
    <row r="49" hidden="1">
      <c r="A49" s="108"/>
      <c r="B49" s="220"/>
      <c r="C49" s="134" t="s">
        <v>51</v>
      </c>
      <c r="D49" s="220" t="str">
        <f>vlookup(M49,'Página10'!A:B,2,false)</f>
        <v>INOV00010</v>
      </c>
      <c r="E49" s="134" t="s">
        <v>144</v>
      </c>
      <c r="F49" s="221">
        <v>44950.0</v>
      </c>
      <c r="G49" s="222">
        <v>0.041666666666666664</v>
      </c>
      <c r="H49" s="134" t="s">
        <v>479</v>
      </c>
      <c r="I49" s="223" t="s">
        <v>475</v>
      </c>
      <c r="J49" s="223" t="b">
        <f t="shared" si="1"/>
        <v>0</v>
      </c>
      <c r="K49" s="145" t="s">
        <v>520</v>
      </c>
      <c r="L49" s="156"/>
      <c r="M49" s="134" t="s">
        <v>423</v>
      </c>
      <c r="N49" s="224">
        <v>0.0</v>
      </c>
      <c r="O49" s="117" t="b">
        <f t="shared" si="2"/>
        <v>0</v>
      </c>
      <c r="P49" s="117" t="b">
        <v>1</v>
      </c>
      <c r="Q49" s="117" t="s">
        <v>368</v>
      </c>
    </row>
    <row r="50" hidden="1">
      <c r="A50" s="108"/>
      <c r="B50" s="220"/>
      <c r="C50" s="134" t="s">
        <v>58</v>
      </c>
      <c r="D50" s="220" t="str">
        <f>vlookup(M50,'Página10'!A:B,2,false)</f>
        <v>INOV00023</v>
      </c>
      <c r="E50" s="134" t="s">
        <v>144</v>
      </c>
      <c r="F50" s="221">
        <v>44950.0</v>
      </c>
      <c r="G50" s="222">
        <v>0.041666666666666664</v>
      </c>
      <c r="H50" s="134" t="s">
        <v>479</v>
      </c>
      <c r="I50" s="223" t="s">
        <v>475</v>
      </c>
      <c r="J50" s="223" t="b">
        <f t="shared" si="1"/>
        <v>0</v>
      </c>
      <c r="K50" s="145" t="s">
        <v>521</v>
      </c>
      <c r="L50" s="156"/>
      <c r="M50" s="134" t="s">
        <v>438</v>
      </c>
      <c r="N50" s="224">
        <v>0.0</v>
      </c>
      <c r="O50" s="117" t="b">
        <f t="shared" si="2"/>
        <v>0</v>
      </c>
      <c r="P50" s="117" t="b">
        <v>1</v>
      </c>
      <c r="Q50" s="117" t="s">
        <v>368</v>
      </c>
    </row>
    <row r="51" hidden="1">
      <c r="A51" s="108"/>
      <c r="B51" s="220"/>
      <c r="C51" s="134" t="s">
        <v>435</v>
      </c>
      <c r="D51" s="220" t="str">
        <f>vlookup(M51,'Página10'!A:B,2,false)</f>
        <v>INOV00020</v>
      </c>
      <c r="E51" s="134" t="s">
        <v>144</v>
      </c>
      <c r="F51" s="221">
        <v>44951.0</v>
      </c>
      <c r="G51" s="222">
        <v>0.16666666666666666</v>
      </c>
      <c r="H51" s="134" t="s">
        <v>475</v>
      </c>
      <c r="I51" s="223" t="s">
        <v>475</v>
      </c>
      <c r="J51" s="223" t="b">
        <f t="shared" si="1"/>
        <v>1</v>
      </c>
      <c r="K51" s="145" t="s">
        <v>518</v>
      </c>
      <c r="L51" s="156"/>
      <c r="M51" s="134" t="s">
        <v>434</v>
      </c>
      <c r="N51" s="224">
        <v>0.0</v>
      </c>
      <c r="O51" s="117" t="b">
        <f t="shared" si="2"/>
        <v>1</v>
      </c>
      <c r="P51" s="117" t="b">
        <v>0</v>
      </c>
      <c r="Q51" s="117" t="s">
        <v>368</v>
      </c>
    </row>
    <row r="52" hidden="1">
      <c r="A52" s="108"/>
      <c r="B52" s="220"/>
      <c r="C52" s="134" t="s">
        <v>65</v>
      </c>
      <c r="D52" s="220" t="str">
        <f>vlookup(M52,'Página10'!A:B,2,false)</f>
        <v>INOV00037</v>
      </c>
      <c r="E52" s="134" t="s">
        <v>144</v>
      </c>
      <c r="F52" s="221">
        <v>44952.0</v>
      </c>
      <c r="G52" s="222">
        <v>0.16666666666666666</v>
      </c>
      <c r="H52" s="134" t="s">
        <v>475</v>
      </c>
      <c r="I52" s="223" t="s">
        <v>475</v>
      </c>
      <c r="J52" s="223" t="b">
        <f t="shared" si="1"/>
        <v>1</v>
      </c>
      <c r="K52" s="145" t="s">
        <v>517</v>
      </c>
      <c r="L52" s="156"/>
      <c r="M52" s="134" t="s">
        <v>459</v>
      </c>
      <c r="N52" s="224">
        <v>0.0</v>
      </c>
      <c r="O52" s="117" t="b">
        <f t="shared" si="2"/>
        <v>1</v>
      </c>
      <c r="P52" s="117" t="b">
        <v>1</v>
      </c>
      <c r="Q52" s="117" t="s">
        <v>368</v>
      </c>
    </row>
    <row r="53" hidden="1">
      <c r="A53" s="108"/>
      <c r="B53" s="220"/>
      <c r="C53" s="134" t="s">
        <v>59</v>
      </c>
      <c r="D53" s="220" t="str">
        <f>vlookup(M53,'Página10'!A:B,2,false)</f>
        <v>INOV00024</v>
      </c>
      <c r="E53" s="134" t="s">
        <v>144</v>
      </c>
      <c r="F53" s="221">
        <v>44952.0</v>
      </c>
      <c r="G53" s="222">
        <v>0.08333333333333333</v>
      </c>
      <c r="H53" s="134" t="s">
        <v>475</v>
      </c>
      <c r="I53" s="223" t="s">
        <v>475</v>
      </c>
      <c r="J53" s="223" t="b">
        <f t="shared" si="1"/>
        <v>1</v>
      </c>
      <c r="K53" s="145" t="s">
        <v>519</v>
      </c>
      <c r="L53" s="156"/>
      <c r="M53" s="134" t="s">
        <v>439</v>
      </c>
      <c r="N53" s="224">
        <v>88.68</v>
      </c>
      <c r="O53" s="117" t="b">
        <f t="shared" si="2"/>
        <v>1</v>
      </c>
      <c r="P53" s="117" t="b">
        <v>1</v>
      </c>
      <c r="Q53" s="117" t="s">
        <v>368</v>
      </c>
    </row>
    <row r="54" hidden="1">
      <c r="A54" s="108"/>
      <c r="B54" s="220"/>
      <c r="C54" s="134" t="s">
        <v>65</v>
      </c>
      <c r="D54" s="220" t="str">
        <f>vlookup(M54,'Página10'!A:B,2,false)</f>
        <v>INOV00037</v>
      </c>
      <c r="E54" s="134" t="s">
        <v>144</v>
      </c>
      <c r="F54" s="221">
        <v>44953.0</v>
      </c>
      <c r="G54" s="222">
        <v>0.125</v>
      </c>
      <c r="H54" s="134" t="s">
        <v>475</v>
      </c>
      <c r="I54" s="223" t="s">
        <v>475</v>
      </c>
      <c r="J54" s="223" t="b">
        <f t="shared" si="1"/>
        <v>1</v>
      </c>
      <c r="K54" s="145" t="s">
        <v>517</v>
      </c>
      <c r="L54" s="156"/>
      <c r="M54" s="134" t="s">
        <v>459</v>
      </c>
      <c r="N54" s="224">
        <v>0.0</v>
      </c>
      <c r="O54" s="117" t="b">
        <f t="shared" si="2"/>
        <v>1</v>
      </c>
      <c r="P54" s="117" t="b">
        <v>1</v>
      </c>
      <c r="Q54" s="117" t="s">
        <v>368</v>
      </c>
    </row>
    <row r="55" hidden="1">
      <c r="A55" s="108"/>
      <c r="B55" s="220"/>
      <c r="C55" s="134" t="s">
        <v>58</v>
      </c>
      <c r="D55" s="220" t="str">
        <f>vlookup(M55,'Página10'!A:B,2,false)</f>
        <v>INOV00023</v>
      </c>
      <c r="E55" s="134" t="s">
        <v>144</v>
      </c>
      <c r="F55" s="221">
        <v>44953.0</v>
      </c>
      <c r="G55" s="222">
        <v>0.041666666666666664</v>
      </c>
      <c r="H55" s="134" t="s">
        <v>475</v>
      </c>
      <c r="I55" s="223" t="s">
        <v>475</v>
      </c>
      <c r="J55" s="223" t="b">
        <f t="shared" si="1"/>
        <v>1</v>
      </c>
      <c r="K55" s="145" t="s">
        <v>517</v>
      </c>
      <c r="L55" s="156"/>
      <c r="M55" s="134" t="s">
        <v>438</v>
      </c>
      <c r="N55" s="224">
        <v>44.34</v>
      </c>
      <c r="O55" s="117" t="b">
        <f t="shared" si="2"/>
        <v>1</v>
      </c>
      <c r="P55" s="117" t="b">
        <v>1</v>
      </c>
      <c r="Q55" s="117" t="s">
        <v>368</v>
      </c>
    </row>
    <row r="56" hidden="1">
      <c r="A56" s="108"/>
      <c r="B56" s="220"/>
      <c r="C56" s="134" t="s">
        <v>65</v>
      </c>
      <c r="D56" s="220" t="str">
        <f>vlookup(M56,'Página10'!A:B,2,false)</f>
        <v>INOV00037</v>
      </c>
      <c r="E56" s="134" t="s">
        <v>144</v>
      </c>
      <c r="F56" s="221">
        <v>44956.0</v>
      </c>
      <c r="G56" s="222">
        <v>0.25</v>
      </c>
      <c r="H56" s="134" t="s">
        <v>475</v>
      </c>
      <c r="I56" s="223" t="s">
        <v>475</v>
      </c>
      <c r="J56" s="223" t="b">
        <f t="shared" si="1"/>
        <v>1</v>
      </c>
      <c r="K56" s="145" t="s">
        <v>517</v>
      </c>
      <c r="L56" s="156"/>
      <c r="M56" s="134" t="s">
        <v>459</v>
      </c>
      <c r="N56" s="224">
        <v>0.0</v>
      </c>
      <c r="O56" s="117" t="b">
        <f t="shared" si="2"/>
        <v>1</v>
      </c>
      <c r="P56" s="117" t="b">
        <v>1</v>
      </c>
      <c r="Q56" s="117" t="s">
        <v>368</v>
      </c>
    </row>
    <row r="57" hidden="1">
      <c r="A57" s="108"/>
      <c r="B57" s="220"/>
      <c r="C57" s="134" t="s">
        <v>65</v>
      </c>
      <c r="D57" s="220" t="str">
        <f>vlookup(M57,'Página10'!A:B,2,false)</f>
        <v>INOV00037</v>
      </c>
      <c r="E57" s="134" t="s">
        <v>144</v>
      </c>
      <c r="F57" s="221">
        <v>44957.0</v>
      </c>
      <c r="G57" s="222">
        <v>0.25</v>
      </c>
      <c r="H57" s="134" t="s">
        <v>475</v>
      </c>
      <c r="I57" s="223" t="s">
        <v>475</v>
      </c>
      <c r="J57" s="223" t="b">
        <f t="shared" si="1"/>
        <v>1</v>
      </c>
      <c r="K57" s="145" t="s">
        <v>517</v>
      </c>
      <c r="L57" s="156"/>
      <c r="M57" s="134" t="s">
        <v>459</v>
      </c>
      <c r="N57" s="224">
        <v>0.0</v>
      </c>
      <c r="O57" s="117" t="b">
        <f t="shared" si="2"/>
        <v>1</v>
      </c>
      <c r="P57" s="117" t="b">
        <v>1</v>
      </c>
      <c r="Q57" s="117" t="s">
        <v>368</v>
      </c>
    </row>
    <row r="58" hidden="1">
      <c r="A58" s="108"/>
      <c r="B58" s="220"/>
      <c r="C58" s="134" t="s">
        <v>65</v>
      </c>
      <c r="D58" s="220" t="str">
        <f>vlookup(M58,'Página10'!A:B,2,false)</f>
        <v>INOV00037</v>
      </c>
      <c r="E58" s="134" t="s">
        <v>144</v>
      </c>
      <c r="F58" s="221">
        <v>44958.0</v>
      </c>
      <c r="G58" s="222">
        <v>0.25</v>
      </c>
      <c r="H58" s="134" t="s">
        <v>475</v>
      </c>
      <c r="I58" s="223" t="s">
        <v>475</v>
      </c>
      <c r="J58" s="223" t="b">
        <f t="shared" si="1"/>
        <v>1</v>
      </c>
      <c r="K58" s="145" t="s">
        <v>517</v>
      </c>
      <c r="L58" s="156"/>
      <c r="M58" s="134" t="s">
        <v>459</v>
      </c>
      <c r="N58" s="224">
        <v>0.0</v>
      </c>
      <c r="O58" s="117" t="b">
        <f t="shared" si="2"/>
        <v>1</v>
      </c>
      <c r="P58" s="117" t="b">
        <v>1</v>
      </c>
      <c r="Q58" s="117" t="s">
        <v>368</v>
      </c>
    </row>
    <row r="59" hidden="1">
      <c r="A59" s="108"/>
      <c r="B59" s="220"/>
      <c r="C59" s="134" t="s">
        <v>65</v>
      </c>
      <c r="D59" s="220" t="str">
        <f>vlookup(M59,'Página10'!A:B,2,false)</f>
        <v>INOV00037</v>
      </c>
      <c r="E59" s="134" t="s">
        <v>144</v>
      </c>
      <c r="F59" s="221">
        <v>44959.0</v>
      </c>
      <c r="G59" s="222">
        <v>0.20833333333333334</v>
      </c>
      <c r="H59" s="134" t="s">
        <v>475</v>
      </c>
      <c r="I59" s="223" t="s">
        <v>475</v>
      </c>
      <c r="J59" s="223" t="b">
        <f t="shared" si="1"/>
        <v>1</v>
      </c>
      <c r="K59" s="145" t="s">
        <v>517</v>
      </c>
      <c r="L59" s="156"/>
      <c r="M59" s="134" t="s">
        <v>459</v>
      </c>
      <c r="N59" s="224">
        <v>0.0</v>
      </c>
      <c r="O59" s="117" t="b">
        <f t="shared" si="2"/>
        <v>1</v>
      </c>
      <c r="P59" s="117" t="b">
        <v>1</v>
      </c>
      <c r="Q59" s="117" t="s">
        <v>368</v>
      </c>
    </row>
    <row r="60" hidden="1">
      <c r="A60" s="108"/>
      <c r="B60" s="220"/>
      <c r="C60" s="134" t="s">
        <v>59</v>
      </c>
      <c r="D60" s="220" t="str">
        <f>vlookup(M60,'Página10'!A:B,2,false)</f>
        <v>INOV00024</v>
      </c>
      <c r="E60" s="134" t="s">
        <v>144</v>
      </c>
      <c r="F60" s="221">
        <v>44960.0</v>
      </c>
      <c r="G60" s="222">
        <v>0.041666666666666664</v>
      </c>
      <c r="H60" s="134" t="s">
        <v>475</v>
      </c>
      <c r="I60" s="223" t="s">
        <v>475</v>
      </c>
      <c r="J60" s="223" t="b">
        <f t="shared" si="1"/>
        <v>1</v>
      </c>
      <c r="K60" s="145" t="s">
        <v>522</v>
      </c>
      <c r="L60" s="156"/>
      <c r="M60" s="134" t="s">
        <v>439</v>
      </c>
      <c r="N60" s="224">
        <v>57.38</v>
      </c>
      <c r="O60" s="117" t="b">
        <f t="shared" si="2"/>
        <v>1</v>
      </c>
      <c r="P60" s="117" t="b">
        <v>1</v>
      </c>
      <c r="Q60" s="117" t="s">
        <v>368</v>
      </c>
    </row>
    <row r="61" hidden="1">
      <c r="A61" s="108"/>
      <c r="B61" s="220"/>
      <c r="C61" s="134" t="s">
        <v>58</v>
      </c>
      <c r="D61" s="220" t="str">
        <f>vlookup(M61,'Página10'!A:B,2,false)</f>
        <v>INOV00023</v>
      </c>
      <c r="E61" s="134" t="s">
        <v>144</v>
      </c>
      <c r="F61" s="221">
        <v>44960.0</v>
      </c>
      <c r="G61" s="222">
        <v>0.08333333333333333</v>
      </c>
      <c r="H61" s="134" t="s">
        <v>479</v>
      </c>
      <c r="I61" s="223" t="s">
        <v>475</v>
      </c>
      <c r="J61" s="223" t="b">
        <f t="shared" si="1"/>
        <v>0</v>
      </c>
      <c r="K61" s="145" t="s">
        <v>523</v>
      </c>
      <c r="L61" s="156"/>
      <c r="M61" s="134" t="s">
        <v>438</v>
      </c>
      <c r="N61" s="224">
        <v>0.0</v>
      </c>
      <c r="O61" s="117" t="b">
        <f t="shared" si="2"/>
        <v>0</v>
      </c>
      <c r="P61" s="117" t="b">
        <v>1</v>
      </c>
      <c r="Q61" s="117" t="s">
        <v>368</v>
      </c>
    </row>
    <row r="62" hidden="1">
      <c r="A62" s="108"/>
      <c r="B62" s="220"/>
      <c r="C62" s="134" t="s">
        <v>65</v>
      </c>
      <c r="D62" s="220" t="str">
        <f>vlookup(M62,'Página10'!A:B,2,false)</f>
        <v>INOV00037</v>
      </c>
      <c r="E62" s="134" t="s">
        <v>144</v>
      </c>
      <c r="F62" s="221">
        <v>44963.0</v>
      </c>
      <c r="G62" s="222">
        <v>0.23958333333333334</v>
      </c>
      <c r="H62" s="134" t="s">
        <v>475</v>
      </c>
      <c r="I62" s="223" t="s">
        <v>475</v>
      </c>
      <c r="J62" s="223" t="b">
        <f t="shared" si="1"/>
        <v>1</v>
      </c>
      <c r="K62" s="145" t="s">
        <v>517</v>
      </c>
      <c r="L62" s="156"/>
      <c r="M62" s="134" t="s">
        <v>459</v>
      </c>
      <c r="N62" s="224">
        <v>0.0</v>
      </c>
      <c r="O62" s="117" t="b">
        <f t="shared" si="2"/>
        <v>1</v>
      </c>
      <c r="P62" s="117" t="b">
        <v>1</v>
      </c>
      <c r="Q62" s="117" t="s">
        <v>368</v>
      </c>
    </row>
    <row r="63" hidden="1">
      <c r="A63" s="108"/>
      <c r="B63" s="220"/>
      <c r="C63" s="134" t="s">
        <v>59</v>
      </c>
      <c r="D63" s="220" t="str">
        <f>vlookup(M63,'Página10'!A:B,2,false)</f>
        <v>INOV00024</v>
      </c>
      <c r="E63" s="134" t="s">
        <v>144</v>
      </c>
      <c r="F63" s="221">
        <v>44964.0</v>
      </c>
      <c r="G63" s="222">
        <v>0.041666666666666664</v>
      </c>
      <c r="H63" s="134" t="s">
        <v>475</v>
      </c>
      <c r="I63" s="223" t="s">
        <v>475</v>
      </c>
      <c r="J63" s="223" t="b">
        <f t="shared" si="1"/>
        <v>1</v>
      </c>
      <c r="K63" s="145" t="s">
        <v>522</v>
      </c>
      <c r="L63" s="156"/>
      <c r="M63" s="134" t="s">
        <v>439</v>
      </c>
      <c r="N63" s="224">
        <v>57.38</v>
      </c>
      <c r="O63" s="117" t="b">
        <f t="shared" si="2"/>
        <v>1</v>
      </c>
      <c r="P63" s="117" t="b">
        <v>1</v>
      </c>
      <c r="Q63" s="117" t="s">
        <v>368</v>
      </c>
    </row>
    <row r="64" hidden="1">
      <c r="A64" s="108"/>
      <c r="B64" s="220"/>
      <c r="C64" s="134" t="s">
        <v>58</v>
      </c>
      <c r="D64" s="220" t="str">
        <f>vlookup(M64,'Página10'!A:B,2,false)</f>
        <v>INOV00023</v>
      </c>
      <c r="E64" s="134" t="s">
        <v>144</v>
      </c>
      <c r="F64" s="221">
        <v>44973.0</v>
      </c>
      <c r="G64" s="222">
        <v>0.08333333333333333</v>
      </c>
      <c r="H64" s="134" t="s">
        <v>479</v>
      </c>
      <c r="I64" s="223" t="s">
        <v>475</v>
      </c>
      <c r="J64" s="223" t="b">
        <f t="shared" si="1"/>
        <v>0</v>
      </c>
      <c r="K64" s="145" t="s">
        <v>523</v>
      </c>
      <c r="L64" s="156"/>
      <c r="M64" s="134" t="s">
        <v>438</v>
      </c>
      <c r="N64" s="224">
        <v>0.0</v>
      </c>
      <c r="O64" s="117" t="b">
        <f t="shared" si="2"/>
        <v>0</v>
      </c>
      <c r="P64" s="117" t="b">
        <v>1</v>
      </c>
      <c r="Q64" s="117" t="s">
        <v>368</v>
      </c>
    </row>
    <row r="65" hidden="1">
      <c r="A65" s="108"/>
      <c r="B65" s="220"/>
      <c r="C65" s="134" t="s">
        <v>51</v>
      </c>
      <c r="D65" s="220" t="str">
        <f>vlookup(M65,'Página10'!A:B,2,false)</f>
        <v>INOV00010</v>
      </c>
      <c r="E65" s="134" t="s">
        <v>144</v>
      </c>
      <c r="F65" s="221">
        <v>44972.0</v>
      </c>
      <c r="G65" s="222">
        <v>0.15625</v>
      </c>
      <c r="H65" s="134" t="s">
        <v>479</v>
      </c>
      <c r="I65" s="223" t="s">
        <v>475</v>
      </c>
      <c r="J65" s="223" t="b">
        <f t="shared" si="1"/>
        <v>0</v>
      </c>
      <c r="K65" s="145" t="s">
        <v>524</v>
      </c>
      <c r="L65" s="156"/>
      <c r="M65" s="134" t="s">
        <v>423</v>
      </c>
      <c r="N65" s="224">
        <v>0.0</v>
      </c>
      <c r="O65" s="117" t="b">
        <f t="shared" si="2"/>
        <v>0</v>
      </c>
      <c r="P65" s="117" t="b">
        <v>1</v>
      </c>
      <c r="Q65" s="117" t="s">
        <v>368</v>
      </c>
    </row>
    <row r="66" hidden="1">
      <c r="A66" s="108"/>
      <c r="B66" s="220"/>
      <c r="C66" s="134" t="s">
        <v>51</v>
      </c>
      <c r="D66" s="220" t="str">
        <f>vlookup(M66,'Página10'!A:B,2,false)</f>
        <v>INOV00010</v>
      </c>
      <c r="E66" s="134" t="s">
        <v>144</v>
      </c>
      <c r="F66" s="221">
        <v>44973.0</v>
      </c>
      <c r="G66" s="222">
        <v>0.16666666666666666</v>
      </c>
      <c r="H66" s="134" t="s">
        <v>479</v>
      </c>
      <c r="I66" s="223" t="s">
        <v>475</v>
      </c>
      <c r="J66" s="223" t="b">
        <f t="shared" si="1"/>
        <v>0</v>
      </c>
      <c r="K66" s="145" t="s">
        <v>524</v>
      </c>
      <c r="L66" s="156"/>
      <c r="M66" s="134" t="s">
        <v>423</v>
      </c>
      <c r="N66" s="224">
        <v>0.0</v>
      </c>
      <c r="O66" s="117" t="b">
        <f t="shared" si="2"/>
        <v>0</v>
      </c>
      <c r="P66" s="117" t="b">
        <v>1</v>
      </c>
      <c r="Q66" s="117" t="s">
        <v>368</v>
      </c>
    </row>
    <row r="67" hidden="1">
      <c r="A67" s="108"/>
      <c r="B67" s="220"/>
      <c r="C67" s="134" t="s">
        <v>51</v>
      </c>
      <c r="D67" s="220" t="str">
        <f>vlookup(M67,'Página10'!A:B,2,false)</f>
        <v>INOV00010</v>
      </c>
      <c r="E67" s="134" t="s">
        <v>144</v>
      </c>
      <c r="F67" s="221">
        <v>44974.0</v>
      </c>
      <c r="G67" s="222">
        <v>0.08333333333333333</v>
      </c>
      <c r="H67" s="134" t="s">
        <v>479</v>
      </c>
      <c r="I67" s="223" t="s">
        <v>475</v>
      </c>
      <c r="J67" s="223" t="b">
        <f t="shared" si="1"/>
        <v>0</v>
      </c>
      <c r="K67" s="145" t="s">
        <v>524</v>
      </c>
      <c r="L67" s="156"/>
      <c r="M67" s="134" t="s">
        <v>423</v>
      </c>
      <c r="N67" s="224">
        <v>0.0</v>
      </c>
      <c r="O67" s="117" t="b">
        <f t="shared" si="2"/>
        <v>0</v>
      </c>
      <c r="P67" s="117" t="b">
        <v>1</v>
      </c>
      <c r="Q67" s="117" t="s">
        <v>368</v>
      </c>
    </row>
    <row r="68" hidden="1">
      <c r="A68" s="108"/>
      <c r="B68" s="220"/>
      <c r="C68" s="134" t="s">
        <v>58</v>
      </c>
      <c r="D68" s="220" t="str">
        <f>vlookup(M68,'Página10'!A:B,2,false)</f>
        <v>INOV00023</v>
      </c>
      <c r="E68" s="134" t="s">
        <v>144</v>
      </c>
      <c r="F68" s="221">
        <v>44971.0</v>
      </c>
      <c r="G68" s="222">
        <v>0.08333333333333333</v>
      </c>
      <c r="H68" s="134" t="s">
        <v>479</v>
      </c>
      <c r="I68" s="223" t="s">
        <v>475</v>
      </c>
      <c r="J68" s="223" t="b">
        <f t="shared" si="1"/>
        <v>0</v>
      </c>
      <c r="K68" s="145" t="s">
        <v>524</v>
      </c>
      <c r="L68" s="156"/>
      <c r="M68" s="134" t="s">
        <v>438</v>
      </c>
      <c r="N68" s="224">
        <v>0.0</v>
      </c>
      <c r="O68" s="117" t="b">
        <f t="shared" si="2"/>
        <v>0</v>
      </c>
      <c r="P68" s="117" t="b">
        <v>1</v>
      </c>
      <c r="Q68" s="117" t="s">
        <v>368</v>
      </c>
    </row>
    <row r="69" hidden="1">
      <c r="A69" s="108"/>
      <c r="B69" s="220"/>
      <c r="C69" s="134" t="s">
        <v>58</v>
      </c>
      <c r="D69" s="220" t="str">
        <f>vlookup(M69,'Página10'!A:B,2,false)</f>
        <v>INOV00023</v>
      </c>
      <c r="E69" s="134" t="s">
        <v>144</v>
      </c>
      <c r="F69" s="221">
        <v>44979.0</v>
      </c>
      <c r="G69" s="222">
        <v>0.125</v>
      </c>
      <c r="H69" s="134" t="s">
        <v>479</v>
      </c>
      <c r="I69" s="223" t="s">
        <v>475</v>
      </c>
      <c r="J69" s="223" t="b">
        <f t="shared" si="1"/>
        <v>0</v>
      </c>
      <c r="K69" s="145" t="s">
        <v>524</v>
      </c>
      <c r="L69" s="156"/>
      <c r="M69" s="134" t="s">
        <v>438</v>
      </c>
      <c r="N69" s="224">
        <v>0.0</v>
      </c>
      <c r="O69" s="117" t="b">
        <f t="shared" si="2"/>
        <v>0</v>
      </c>
      <c r="P69" s="117" t="b">
        <v>1</v>
      </c>
      <c r="Q69" s="117" t="s">
        <v>368</v>
      </c>
    </row>
    <row r="70" hidden="1">
      <c r="A70" s="108"/>
      <c r="B70" s="220"/>
      <c r="C70" s="134" t="s">
        <v>58</v>
      </c>
      <c r="D70" s="220" t="str">
        <f>vlookup(M70,'Página10'!A:B,2,false)</f>
        <v>INOV00023</v>
      </c>
      <c r="E70" s="134" t="s">
        <v>144</v>
      </c>
      <c r="F70" s="221">
        <v>44981.0</v>
      </c>
      <c r="G70" s="222">
        <v>0.08333333333333333</v>
      </c>
      <c r="H70" s="134" t="s">
        <v>479</v>
      </c>
      <c r="I70" s="223" t="s">
        <v>475</v>
      </c>
      <c r="J70" s="223" t="b">
        <f t="shared" si="1"/>
        <v>0</v>
      </c>
      <c r="K70" s="145" t="s">
        <v>524</v>
      </c>
      <c r="L70" s="156"/>
      <c r="M70" s="134" t="s">
        <v>438</v>
      </c>
      <c r="N70" s="224">
        <v>0.0</v>
      </c>
      <c r="O70" s="117" t="b">
        <f t="shared" si="2"/>
        <v>0</v>
      </c>
      <c r="P70" s="117" t="b">
        <v>1</v>
      </c>
      <c r="Q70" s="117" t="s">
        <v>368</v>
      </c>
    </row>
    <row r="71" hidden="1">
      <c r="A71" s="108"/>
      <c r="B71" s="220"/>
      <c r="C71" s="134" t="s">
        <v>65</v>
      </c>
      <c r="D71" s="220" t="str">
        <f>vlookup(M71,'Página10'!A:B,2,false)</f>
        <v>INOV00037</v>
      </c>
      <c r="E71" s="134" t="s">
        <v>144</v>
      </c>
      <c r="F71" s="221">
        <v>44984.0</v>
      </c>
      <c r="G71" s="222">
        <v>0.16666666666666666</v>
      </c>
      <c r="H71" s="134" t="s">
        <v>475</v>
      </c>
      <c r="I71" s="223" t="s">
        <v>475</v>
      </c>
      <c r="J71" s="223" t="b">
        <f t="shared" si="1"/>
        <v>1</v>
      </c>
      <c r="K71" s="145" t="s">
        <v>517</v>
      </c>
      <c r="L71" s="156"/>
      <c r="M71" s="134" t="s">
        <v>459</v>
      </c>
      <c r="N71" s="224">
        <v>0.0</v>
      </c>
      <c r="O71" s="117" t="b">
        <f t="shared" si="2"/>
        <v>1</v>
      </c>
      <c r="P71" s="117" t="b">
        <v>1</v>
      </c>
      <c r="Q71" s="117" t="s">
        <v>368</v>
      </c>
    </row>
    <row r="72" hidden="1">
      <c r="A72" s="108"/>
      <c r="B72" s="220"/>
      <c r="C72" s="134" t="s">
        <v>65</v>
      </c>
      <c r="D72" s="220" t="str">
        <f>vlookup(M72,'Página10'!A:B,2,false)</f>
        <v>INOV00037</v>
      </c>
      <c r="E72" s="134" t="s">
        <v>144</v>
      </c>
      <c r="F72" s="221">
        <v>44985.0</v>
      </c>
      <c r="G72" s="222">
        <v>0.16666666666666666</v>
      </c>
      <c r="H72" s="134" t="s">
        <v>475</v>
      </c>
      <c r="I72" s="223" t="s">
        <v>475</v>
      </c>
      <c r="J72" s="223" t="b">
        <f t="shared" si="1"/>
        <v>1</v>
      </c>
      <c r="K72" s="145" t="s">
        <v>517</v>
      </c>
      <c r="L72" s="156"/>
      <c r="M72" s="134" t="s">
        <v>459</v>
      </c>
      <c r="N72" s="224">
        <v>0.0</v>
      </c>
      <c r="O72" s="117" t="b">
        <f t="shared" si="2"/>
        <v>1</v>
      </c>
      <c r="P72" s="117" t="b">
        <v>1</v>
      </c>
      <c r="Q72" s="117" t="s">
        <v>368</v>
      </c>
    </row>
    <row r="73" hidden="1">
      <c r="A73" s="108"/>
      <c r="B73" s="220"/>
      <c r="C73" s="134" t="s">
        <v>57</v>
      </c>
      <c r="D73" s="220" t="str">
        <f>vlookup(M73,'Página10'!A:B,2,false)</f>
        <v>INOV00022</v>
      </c>
      <c r="E73" s="134" t="s">
        <v>144</v>
      </c>
      <c r="F73" s="221">
        <v>44966.0</v>
      </c>
      <c r="G73" s="222">
        <v>0.08333333333333333</v>
      </c>
      <c r="H73" s="134" t="s">
        <v>479</v>
      </c>
      <c r="I73" s="223" t="s">
        <v>475</v>
      </c>
      <c r="J73" s="223" t="b">
        <f t="shared" si="1"/>
        <v>0</v>
      </c>
      <c r="K73" s="145" t="s">
        <v>525</v>
      </c>
      <c r="L73" s="156"/>
      <c r="M73" s="134" t="s">
        <v>437</v>
      </c>
      <c r="N73" s="224">
        <v>0.0</v>
      </c>
      <c r="O73" s="117" t="b">
        <f t="shared" si="2"/>
        <v>0</v>
      </c>
      <c r="P73" s="117" t="b">
        <v>1</v>
      </c>
      <c r="Q73" s="117" t="s">
        <v>368</v>
      </c>
    </row>
    <row r="74" hidden="1">
      <c r="A74" s="108"/>
      <c r="B74" s="220"/>
      <c r="C74" s="134" t="s">
        <v>57</v>
      </c>
      <c r="D74" s="220" t="str">
        <f>vlookup(M74,'Página10'!A:B,2,false)</f>
        <v>INOV00022</v>
      </c>
      <c r="E74" s="134" t="s">
        <v>144</v>
      </c>
      <c r="F74" s="221">
        <v>44967.0</v>
      </c>
      <c r="G74" s="222">
        <v>0.0625</v>
      </c>
      <c r="H74" s="134" t="s">
        <v>479</v>
      </c>
      <c r="I74" s="223" t="s">
        <v>475</v>
      </c>
      <c r="J74" s="223" t="b">
        <f t="shared" si="1"/>
        <v>0</v>
      </c>
      <c r="K74" s="145" t="s">
        <v>525</v>
      </c>
      <c r="L74" s="156"/>
      <c r="M74" s="134" t="s">
        <v>437</v>
      </c>
      <c r="N74" s="224">
        <v>0.0</v>
      </c>
      <c r="O74" s="117" t="b">
        <f t="shared" si="2"/>
        <v>0</v>
      </c>
      <c r="P74" s="117" t="b">
        <v>1</v>
      </c>
      <c r="Q74" s="117" t="s">
        <v>368</v>
      </c>
    </row>
    <row r="75" hidden="1">
      <c r="A75" s="108"/>
      <c r="B75" s="220"/>
      <c r="C75" s="134" t="s">
        <v>57</v>
      </c>
      <c r="D75" s="220" t="str">
        <f>vlookup(M75,'Página10'!A:B,2,false)</f>
        <v>INOV00022</v>
      </c>
      <c r="E75" s="134" t="s">
        <v>144</v>
      </c>
      <c r="F75" s="221">
        <v>44972.0</v>
      </c>
      <c r="G75" s="222">
        <v>0.08333333333333333</v>
      </c>
      <c r="H75" s="134" t="s">
        <v>479</v>
      </c>
      <c r="I75" s="223" t="s">
        <v>475</v>
      </c>
      <c r="J75" s="223" t="b">
        <f t="shared" si="1"/>
        <v>0</v>
      </c>
      <c r="K75" s="145" t="s">
        <v>525</v>
      </c>
      <c r="L75" s="156"/>
      <c r="M75" s="134" t="s">
        <v>437</v>
      </c>
      <c r="N75" s="224">
        <v>0.0</v>
      </c>
      <c r="O75" s="117" t="b">
        <f t="shared" si="2"/>
        <v>0</v>
      </c>
      <c r="P75" s="117" t="b">
        <v>1</v>
      </c>
      <c r="Q75" s="117" t="s">
        <v>368</v>
      </c>
    </row>
    <row r="76" hidden="1">
      <c r="A76" s="108"/>
      <c r="B76" s="220"/>
      <c r="C76" s="134" t="s">
        <v>57</v>
      </c>
      <c r="D76" s="220" t="str">
        <f>vlookup(M76,'Página10'!A:B,2,false)</f>
        <v>INOV00022</v>
      </c>
      <c r="E76" s="134" t="s">
        <v>144</v>
      </c>
      <c r="F76" s="221">
        <v>44980.0</v>
      </c>
      <c r="G76" s="222">
        <v>0.08333333333333333</v>
      </c>
      <c r="H76" s="134" t="s">
        <v>479</v>
      </c>
      <c r="I76" s="223" t="s">
        <v>475</v>
      </c>
      <c r="J76" s="223" t="b">
        <f t="shared" si="1"/>
        <v>0</v>
      </c>
      <c r="K76" s="145" t="s">
        <v>525</v>
      </c>
      <c r="L76" s="156"/>
      <c r="M76" s="134" t="s">
        <v>437</v>
      </c>
      <c r="N76" s="224">
        <v>0.0</v>
      </c>
      <c r="O76" s="117" t="b">
        <f t="shared" si="2"/>
        <v>0</v>
      </c>
      <c r="P76" s="117" t="b">
        <v>1</v>
      </c>
      <c r="Q76" s="117" t="s">
        <v>368</v>
      </c>
    </row>
    <row r="77" hidden="1">
      <c r="A77" s="108"/>
      <c r="B77" s="220"/>
      <c r="C77" s="134" t="s">
        <v>57</v>
      </c>
      <c r="D77" s="220" t="str">
        <f>vlookup(M77,'Página10'!A:B,2,false)</f>
        <v>INOV00022</v>
      </c>
      <c r="E77" s="134" t="s">
        <v>144</v>
      </c>
      <c r="F77" s="221">
        <v>44981.0</v>
      </c>
      <c r="G77" s="222">
        <v>0.08333333333333333</v>
      </c>
      <c r="H77" s="134" t="s">
        <v>479</v>
      </c>
      <c r="I77" s="223" t="s">
        <v>475</v>
      </c>
      <c r="J77" s="223" t="b">
        <f t="shared" si="1"/>
        <v>0</v>
      </c>
      <c r="K77" s="145" t="s">
        <v>525</v>
      </c>
      <c r="L77" s="156"/>
      <c r="M77" s="134" t="s">
        <v>437</v>
      </c>
      <c r="N77" s="224">
        <v>0.0</v>
      </c>
      <c r="O77" s="117" t="b">
        <f t="shared" si="2"/>
        <v>0</v>
      </c>
      <c r="P77" s="117" t="b">
        <v>1</v>
      </c>
      <c r="Q77" s="117" t="s">
        <v>368</v>
      </c>
    </row>
    <row r="78" hidden="1">
      <c r="A78" s="108"/>
      <c r="B78" s="220"/>
      <c r="C78" s="134" t="s">
        <v>57</v>
      </c>
      <c r="D78" s="220" t="str">
        <f>vlookup(M78,'Página10'!A:B,2,false)</f>
        <v>INOV00022</v>
      </c>
      <c r="E78" s="134" t="s">
        <v>144</v>
      </c>
      <c r="F78" s="221">
        <v>44984.0</v>
      </c>
      <c r="G78" s="222">
        <v>0.125</v>
      </c>
      <c r="H78" s="134" t="s">
        <v>479</v>
      </c>
      <c r="I78" s="223" t="s">
        <v>475</v>
      </c>
      <c r="J78" s="223" t="b">
        <f t="shared" si="1"/>
        <v>0</v>
      </c>
      <c r="K78" s="145" t="s">
        <v>525</v>
      </c>
      <c r="L78" s="156"/>
      <c r="M78" s="134" t="s">
        <v>437</v>
      </c>
      <c r="N78" s="224">
        <v>0.0</v>
      </c>
      <c r="O78" s="117" t="b">
        <f t="shared" si="2"/>
        <v>0</v>
      </c>
      <c r="P78" s="117" t="b">
        <v>1</v>
      </c>
      <c r="Q78" s="117" t="s">
        <v>368</v>
      </c>
    </row>
    <row r="79" hidden="1">
      <c r="A79" s="108"/>
      <c r="B79" s="220"/>
      <c r="C79" s="134" t="s">
        <v>65</v>
      </c>
      <c r="D79" s="220" t="str">
        <f>vlookup(M79,'Página10'!A:B,2,false)</f>
        <v>INOV00037</v>
      </c>
      <c r="E79" s="134" t="s">
        <v>144</v>
      </c>
      <c r="F79" s="221">
        <v>44986.0</v>
      </c>
      <c r="G79" s="222">
        <v>0.16666666666666666</v>
      </c>
      <c r="H79" s="134" t="s">
        <v>475</v>
      </c>
      <c r="I79" s="223" t="s">
        <v>475</v>
      </c>
      <c r="J79" s="223" t="b">
        <f t="shared" si="1"/>
        <v>1</v>
      </c>
      <c r="K79" s="145" t="s">
        <v>517</v>
      </c>
      <c r="L79" s="156"/>
      <c r="M79" s="134" t="s">
        <v>459</v>
      </c>
      <c r="N79" s="224">
        <v>0.0</v>
      </c>
      <c r="O79" s="117" t="b">
        <f t="shared" si="2"/>
        <v>1</v>
      </c>
      <c r="P79" s="117" t="b">
        <v>1</v>
      </c>
      <c r="Q79" s="117" t="s">
        <v>368</v>
      </c>
    </row>
    <row r="80" hidden="1">
      <c r="A80" s="108"/>
      <c r="B80" s="220"/>
      <c r="C80" s="134" t="s">
        <v>57</v>
      </c>
      <c r="D80" s="220" t="str">
        <f>vlookup(M80,'Página10'!A:B,2,false)</f>
        <v>INOV00022</v>
      </c>
      <c r="E80" s="134" t="s">
        <v>144</v>
      </c>
      <c r="F80" s="221">
        <v>44986.0</v>
      </c>
      <c r="G80" s="222">
        <v>0.08333333333333333</v>
      </c>
      <c r="H80" s="134" t="s">
        <v>479</v>
      </c>
      <c r="I80" s="223" t="s">
        <v>475</v>
      </c>
      <c r="J80" s="223" t="b">
        <f t="shared" si="1"/>
        <v>0</v>
      </c>
      <c r="K80" s="145" t="s">
        <v>525</v>
      </c>
      <c r="L80" s="156"/>
      <c r="M80" s="134" t="s">
        <v>437</v>
      </c>
      <c r="N80" s="224">
        <v>0.0</v>
      </c>
      <c r="O80" s="117" t="b">
        <f t="shared" si="2"/>
        <v>0</v>
      </c>
      <c r="P80" s="117" t="b">
        <v>1</v>
      </c>
      <c r="Q80" s="117" t="s">
        <v>368</v>
      </c>
    </row>
    <row r="81" hidden="1">
      <c r="A81" s="108"/>
      <c r="B81" s="220"/>
      <c r="C81" s="134" t="s">
        <v>69</v>
      </c>
      <c r="D81" s="220" t="str">
        <f>vlookup(M81,'Página10'!A:B,2,false)</f>
        <v>INOV00041</v>
      </c>
      <c r="E81" s="134" t="s">
        <v>144</v>
      </c>
      <c r="F81" s="221">
        <v>44987.0</v>
      </c>
      <c r="G81" s="222">
        <v>0.125</v>
      </c>
      <c r="H81" s="134" t="s">
        <v>475</v>
      </c>
      <c r="I81" s="223" t="s">
        <v>475</v>
      </c>
      <c r="J81" s="223" t="b">
        <f t="shared" si="1"/>
        <v>1</v>
      </c>
      <c r="K81" s="145" t="s">
        <v>518</v>
      </c>
      <c r="L81" s="156"/>
      <c r="M81" s="134" t="s">
        <v>463</v>
      </c>
      <c r="N81" s="224">
        <v>0.0</v>
      </c>
      <c r="O81" s="117" t="b">
        <f t="shared" si="2"/>
        <v>1</v>
      </c>
      <c r="P81" s="117" t="b">
        <v>1</v>
      </c>
      <c r="Q81" s="117" t="s">
        <v>368</v>
      </c>
    </row>
    <row r="82" hidden="1">
      <c r="A82" s="108"/>
      <c r="B82" s="220"/>
      <c r="C82" s="134" t="s">
        <v>58</v>
      </c>
      <c r="D82" s="220" t="str">
        <f>vlookup(M82,'Página10'!A:B,2,false)</f>
        <v>INOV00023</v>
      </c>
      <c r="E82" s="134" t="s">
        <v>144</v>
      </c>
      <c r="F82" s="221">
        <v>44987.0</v>
      </c>
      <c r="G82" s="222">
        <v>0.08333333333333333</v>
      </c>
      <c r="H82" s="134" t="s">
        <v>475</v>
      </c>
      <c r="I82" s="223" t="s">
        <v>475</v>
      </c>
      <c r="J82" s="223" t="b">
        <f t="shared" si="1"/>
        <v>1</v>
      </c>
      <c r="K82" s="145" t="s">
        <v>517</v>
      </c>
      <c r="L82" s="156"/>
      <c r="M82" s="134" t="s">
        <v>438</v>
      </c>
      <c r="N82" s="224">
        <v>84.82</v>
      </c>
      <c r="O82" s="117" t="b">
        <f t="shared" si="2"/>
        <v>1</v>
      </c>
      <c r="P82" s="117" t="b">
        <v>1</v>
      </c>
      <c r="Q82" s="117" t="s">
        <v>368</v>
      </c>
    </row>
    <row r="83" hidden="1">
      <c r="A83" s="108"/>
      <c r="B83" s="220"/>
      <c r="C83" s="134" t="s">
        <v>59</v>
      </c>
      <c r="D83" s="220" t="str">
        <f>vlookup(M83,'Página10'!A:B,2,false)</f>
        <v>INOV00024</v>
      </c>
      <c r="E83" s="134" t="s">
        <v>144</v>
      </c>
      <c r="F83" s="221">
        <v>44988.0</v>
      </c>
      <c r="G83" s="222">
        <v>0.08333333333333333</v>
      </c>
      <c r="H83" s="134" t="s">
        <v>475</v>
      </c>
      <c r="I83" s="223" t="s">
        <v>475</v>
      </c>
      <c r="J83" s="223" t="b">
        <f t="shared" si="1"/>
        <v>1</v>
      </c>
      <c r="K83" s="145" t="s">
        <v>526</v>
      </c>
      <c r="L83" s="156"/>
      <c r="M83" s="134" t="s">
        <v>439</v>
      </c>
      <c r="N83" s="224">
        <v>84.82</v>
      </c>
      <c r="O83" s="117" t="b">
        <f t="shared" si="2"/>
        <v>1</v>
      </c>
      <c r="P83" s="117" t="b">
        <v>1</v>
      </c>
      <c r="Q83" s="117" t="s">
        <v>368</v>
      </c>
    </row>
    <row r="84" hidden="1">
      <c r="A84" s="108"/>
      <c r="B84" s="220"/>
      <c r="C84" s="134" t="s">
        <v>69</v>
      </c>
      <c r="D84" s="220" t="str">
        <f>vlookup(M84,'Página10'!A:B,2,false)</f>
        <v>INOV00041</v>
      </c>
      <c r="E84" s="134" t="s">
        <v>144</v>
      </c>
      <c r="F84" s="221">
        <v>44988.0</v>
      </c>
      <c r="G84" s="222">
        <v>0.08333333333333333</v>
      </c>
      <c r="H84" s="134" t="s">
        <v>475</v>
      </c>
      <c r="I84" s="223" t="s">
        <v>475</v>
      </c>
      <c r="J84" s="223" t="b">
        <f t="shared" si="1"/>
        <v>1</v>
      </c>
      <c r="K84" s="145" t="s">
        <v>518</v>
      </c>
      <c r="L84" s="156"/>
      <c r="M84" s="134" t="s">
        <v>463</v>
      </c>
      <c r="N84" s="224">
        <v>0.0</v>
      </c>
      <c r="O84" s="117" t="b">
        <f t="shared" si="2"/>
        <v>1</v>
      </c>
      <c r="P84" s="117" t="b">
        <v>1</v>
      </c>
      <c r="Q84" s="117" t="s">
        <v>368</v>
      </c>
    </row>
    <row r="85" hidden="1">
      <c r="A85" s="108"/>
      <c r="B85" s="220"/>
      <c r="C85" s="134" t="s">
        <v>65</v>
      </c>
      <c r="D85" s="220" t="str">
        <f>vlookup(M85,'Página10'!A:B,2,false)</f>
        <v>INOV00037</v>
      </c>
      <c r="E85" s="134" t="s">
        <v>144</v>
      </c>
      <c r="F85" s="221">
        <v>44991.0</v>
      </c>
      <c r="G85" s="222">
        <v>0.08333333333333333</v>
      </c>
      <c r="H85" s="134" t="s">
        <v>475</v>
      </c>
      <c r="I85" s="223" t="s">
        <v>475</v>
      </c>
      <c r="J85" s="223" t="b">
        <f t="shared" si="1"/>
        <v>1</v>
      </c>
      <c r="K85" s="145" t="s">
        <v>517</v>
      </c>
      <c r="L85" s="156"/>
      <c r="M85" s="134" t="s">
        <v>459</v>
      </c>
      <c r="N85" s="224">
        <v>0.0</v>
      </c>
      <c r="O85" s="117" t="b">
        <f t="shared" si="2"/>
        <v>1</v>
      </c>
      <c r="P85" s="117" t="b">
        <v>1</v>
      </c>
      <c r="Q85" s="117" t="s">
        <v>368</v>
      </c>
    </row>
    <row r="86" hidden="1">
      <c r="A86" s="108"/>
      <c r="B86" s="220"/>
      <c r="C86" s="134" t="s">
        <v>69</v>
      </c>
      <c r="D86" s="220" t="str">
        <f>vlookup(M86,'Página10'!A:B,2,false)</f>
        <v>INOV00041</v>
      </c>
      <c r="E86" s="134" t="s">
        <v>144</v>
      </c>
      <c r="F86" s="221">
        <v>44991.0</v>
      </c>
      <c r="G86" s="222">
        <v>0.125</v>
      </c>
      <c r="H86" s="134" t="s">
        <v>475</v>
      </c>
      <c r="I86" s="223" t="s">
        <v>475</v>
      </c>
      <c r="J86" s="223" t="b">
        <f t="shared" si="1"/>
        <v>1</v>
      </c>
      <c r="K86" s="145" t="s">
        <v>518</v>
      </c>
      <c r="L86" s="156"/>
      <c r="M86" s="134" t="s">
        <v>463</v>
      </c>
      <c r="N86" s="224">
        <v>0.0</v>
      </c>
      <c r="O86" s="117" t="b">
        <f t="shared" si="2"/>
        <v>1</v>
      </c>
      <c r="P86" s="117" t="b">
        <v>1</v>
      </c>
      <c r="Q86" s="117" t="s">
        <v>368</v>
      </c>
    </row>
    <row r="87" hidden="1">
      <c r="A87" s="108"/>
      <c r="B87" s="220"/>
      <c r="C87" s="134" t="s">
        <v>58</v>
      </c>
      <c r="D87" s="220" t="str">
        <f>vlookup(M87,'Página10'!A:B,2,false)</f>
        <v>INOV00023</v>
      </c>
      <c r="E87" s="134" t="s">
        <v>144</v>
      </c>
      <c r="F87" s="221">
        <v>44992.0</v>
      </c>
      <c r="G87" s="222">
        <v>0.125</v>
      </c>
      <c r="H87" s="134" t="s">
        <v>475</v>
      </c>
      <c r="I87" s="223" t="s">
        <v>475</v>
      </c>
      <c r="J87" s="223" t="b">
        <f t="shared" si="1"/>
        <v>1</v>
      </c>
      <c r="K87" s="145" t="s">
        <v>517</v>
      </c>
      <c r="L87" s="156"/>
      <c r="M87" s="134" t="s">
        <v>438</v>
      </c>
      <c r="N87" s="224">
        <v>127.23</v>
      </c>
      <c r="O87" s="117" t="b">
        <f t="shared" si="2"/>
        <v>1</v>
      </c>
      <c r="P87" s="117" t="b">
        <v>1</v>
      </c>
      <c r="Q87" s="117" t="s">
        <v>368</v>
      </c>
    </row>
    <row r="88" hidden="1">
      <c r="A88" s="108"/>
      <c r="B88" s="220"/>
      <c r="C88" s="134" t="s">
        <v>57</v>
      </c>
      <c r="D88" s="220" t="str">
        <f>vlookup(M88,'Página10'!A:B,2,false)</f>
        <v>INOV00022</v>
      </c>
      <c r="E88" s="134" t="s">
        <v>144</v>
      </c>
      <c r="F88" s="221">
        <v>44992.0</v>
      </c>
      <c r="G88" s="222">
        <v>0.125</v>
      </c>
      <c r="H88" s="134" t="s">
        <v>479</v>
      </c>
      <c r="I88" s="223" t="s">
        <v>475</v>
      </c>
      <c r="J88" s="223" t="b">
        <f t="shared" si="1"/>
        <v>0</v>
      </c>
      <c r="K88" s="145" t="s">
        <v>525</v>
      </c>
      <c r="L88" s="156"/>
      <c r="M88" s="134" t="s">
        <v>437</v>
      </c>
      <c r="N88" s="224">
        <v>0.0</v>
      </c>
      <c r="O88" s="117" t="b">
        <f t="shared" si="2"/>
        <v>0</v>
      </c>
      <c r="P88" s="117" t="b">
        <v>1</v>
      </c>
      <c r="Q88" s="117" t="s">
        <v>368</v>
      </c>
    </row>
    <row r="89" hidden="1">
      <c r="A89" s="108"/>
      <c r="B89" s="220"/>
      <c r="C89" s="134" t="s">
        <v>59</v>
      </c>
      <c r="D89" s="220" t="str">
        <f>vlookup(M89,'Página10'!A:B,2,false)</f>
        <v>INOV00024</v>
      </c>
      <c r="E89" s="134" t="s">
        <v>144</v>
      </c>
      <c r="F89" s="221">
        <v>44992.0</v>
      </c>
      <c r="G89" s="222">
        <v>0.041666666666666664</v>
      </c>
      <c r="H89" s="134" t="s">
        <v>475</v>
      </c>
      <c r="I89" s="223" t="s">
        <v>475</v>
      </c>
      <c r="J89" s="223" t="b">
        <f t="shared" si="1"/>
        <v>1</v>
      </c>
      <c r="K89" s="145" t="s">
        <v>526</v>
      </c>
      <c r="L89" s="156"/>
      <c r="M89" s="134" t="s">
        <v>439</v>
      </c>
      <c r="N89" s="224">
        <v>42.41</v>
      </c>
      <c r="O89" s="117" t="b">
        <f t="shared" si="2"/>
        <v>1</v>
      </c>
      <c r="P89" s="117" t="b">
        <v>1</v>
      </c>
      <c r="Q89" s="117" t="s">
        <v>368</v>
      </c>
    </row>
    <row r="90" hidden="1">
      <c r="A90" s="108"/>
      <c r="B90" s="220"/>
      <c r="C90" s="134" t="s">
        <v>65</v>
      </c>
      <c r="D90" s="220" t="str">
        <f>vlookup(M90,'Página10'!A:B,2,false)</f>
        <v>INOV00037</v>
      </c>
      <c r="E90" s="134" t="s">
        <v>144</v>
      </c>
      <c r="F90" s="221">
        <v>44993.0</v>
      </c>
      <c r="G90" s="222">
        <v>0.08333333333333333</v>
      </c>
      <c r="H90" s="134" t="s">
        <v>475</v>
      </c>
      <c r="I90" s="223" t="s">
        <v>475</v>
      </c>
      <c r="J90" s="223" t="b">
        <f t="shared" si="1"/>
        <v>1</v>
      </c>
      <c r="K90" s="145" t="s">
        <v>517</v>
      </c>
      <c r="L90" s="156"/>
      <c r="M90" s="134" t="s">
        <v>459</v>
      </c>
      <c r="N90" s="224">
        <v>0.0</v>
      </c>
      <c r="O90" s="117" t="b">
        <f t="shared" si="2"/>
        <v>1</v>
      </c>
      <c r="P90" s="117" t="b">
        <v>1</v>
      </c>
      <c r="Q90" s="117" t="s">
        <v>368</v>
      </c>
    </row>
    <row r="91" hidden="1">
      <c r="A91" s="108"/>
      <c r="B91" s="220"/>
      <c r="C91" s="134" t="s">
        <v>57</v>
      </c>
      <c r="D91" s="220" t="str">
        <f>vlookup(M91,'Página10'!A:B,2,false)</f>
        <v>INOV00022</v>
      </c>
      <c r="E91" s="134" t="s">
        <v>144</v>
      </c>
      <c r="F91" s="221">
        <v>44993.0</v>
      </c>
      <c r="G91" s="222">
        <v>0.08333333333333333</v>
      </c>
      <c r="H91" s="134" t="s">
        <v>479</v>
      </c>
      <c r="I91" s="223" t="s">
        <v>475</v>
      </c>
      <c r="J91" s="223" t="b">
        <f t="shared" si="1"/>
        <v>0</v>
      </c>
      <c r="K91" s="145" t="s">
        <v>525</v>
      </c>
      <c r="L91" s="156"/>
      <c r="M91" s="134" t="s">
        <v>437</v>
      </c>
      <c r="N91" s="224">
        <v>0.0</v>
      </c>
      <c r="O91" s="117" t="b">
        <f t="shared" si="2"/>
        <v>0</v>
      </c>
      <c r="P91" s="117" t="b">
        <v>1</v>
      </c>
      <c r="Q91" s="117" t="s">
        <v>368</v>
      </c>
    </row>
    <row r="92" hidden="1">
      <c r="A92" s="108"/>
      <c r="B92" s="220"/>
      <c r="C92" s="134" t="s">
        <v>65</v>
      </c>
      <c r="D92" s="220" t="str">
        <f>vlookup(M92,'Página10'!A:B,2,false)</f>
        <v>INOV00037</v>
      </c>
      <c r="E92" s="134" t="s">
        <v>144</v>
      </c>
      <c r="F92" s="221">
        <v>44994.0</v>
      </c>
      <c r="G92" s="222">
        <v>0.08333333333333333</v>
      </c>
      <c r="H92" s="134" t="s">
        <v>475</v>
      </c>
      <c r="I92" s="223" t="s">
        <v>475</v>
      </c>
      <c r="J92" s="223" t="b">
        <f t="shared" si="1"/>
        <v>1</v>
      </c>
      <c r="K92" s="145" t="s">
        <v>517</v>
      </c>
      <c r="L92" s="156"/>
      <c r="M92" s="134" t="s">
        <v>459</v>
      </c>
      <c r="N92" s="224">
        <v>0.0</v>
      </c>
      <c r="O92" s="117" t="b">
        <f t="shared" si="2"/>
        <v>1</v>
      </c>
      <c r="P92" s="117" t="b">
        <v>1</v>
      </c>
      <c r="Q92" s="117" t="s">
        <v>368</v>
      </c>
    </row>
    <row r="93" hidden="1">
      <c r="A93" s="108"/>
      <c r="B93" s="220"/>
      <c r="C93" s="134" t="s">
        <v>58</v>
      </c>
      <c r="D93" s="220" t="str">
        <f>vlookup(M93,'Página10'!A:B,2,false)</f>
        <v>INOV00023</v>
      </c>
      <c r="E93" s="134" t="s">
        <v>144</v>
      </c>
      <c r="F93" s="221">
        <v>44994.0</v>
      </c>
      <c r="G93" s="222">
        <v>0.08333333333333333</v>
      </c>
      <c r="H93" s="134" t="s">
        <v>475</v>
      </c>
      <c r="I93" s="223" t="s">
        <v>475</v>
      </c>
      <c r="J93" s="223" t="b">
        <f t="shared" si="1"/>
        <v>1</v>
      </c>
      <c r="K93" s="145" t="s">
        <v>517</v>
      </c>
      <c r="L93" s="156"/>
      <c r="M93" s="134" t="s">
        <v>438</v>
      </c>
      <c r="N93" s="224">
        <v>84.82</v>
      </c>
      <c r="O93" s="117" t="b">
        <f t="shared" si="2"/>
        <v>1</v>
      </c>
      <c r="P93" s="117" t="b">
        <v>1</v>
      </c>
      <c r="Q93" s="117" t="s">
        <v>368</v>
      </c>
    </row>
    <row r="94" hidden="1">
      <c r="A94" s="108"/>
      <c r="B94" s="220"/>
      <c r="C94" s="134" t="s">
        <v>58</v>
      </c>
      <c r="D94" s="220" t="str">
        <f>vlookup(M94,'Página10'!A:B,2,false)</f>
        <v>INOV00023</v>
      </c>
      <c r="E94" s="134" t="s">
        <v>144</v>
      </c>
      <c r="F94" s="221">
        <v>44995.0</v>
      </c>
      <c r="G94" s="222">
        <v>0.0625</v>
      </c>
      <c r="H94" s="134" t="s">
        <v>475</v>
      </c>
      <c r="I94" s="223" t="s">
        <v>475</v>
      </c>
      <c r="J94" s="223" t="b">
        <f t="shared" si="1"/>
        <v>1</v>
      </c>
      <c r="K94" s="145" t="s">
        <v>517</v>
      </c>
      <c r="L94" s="156"/>
      <c r="M94" s="134" t="s">
        <v>438</v>
      </c>
      <c r="N94" s="224">
        <v>63.62</v>
      </c>
      <c r="O94" s="117" t="b">
        <f t="shared" si="2"/>
        <v>1</v>
      </c>
      <c r="P94" s="117" t="b">
        <v>1</v>
      </c>
      <c r="Q94" s="117" t="s">
        <v>368</v>
      </c>
    </row>
    <row r="95" hidden="1">
      <c r="A95" s="108"/>
      <c r="B95" s="220"/>
      <c r="C95" s="134" t="s">
        <v>59</v>
      </c>
      <c r="D95" s="220" t="str">
        <f>vlookup(M95,'Página10'!A:B,2,false)</f>
        <v>INOV00024</v>
      </c>
      <c r="E95" s="134" t="s">
        <v>144</v>
      </c>
      <c r="F95" s="221">
        <v>44995.0</v>
      </c>
      <c r="G95" s="222">
        <v>0.08333333333333333</v>
      </c>
      <c r="H95" s="134" t="s">
        <v>475</v>
      </c>
      <c r="I95" s="223" t="s">
        <v>475</v>
      </c>
      <c r="J95" s="223" t="b">
        <f t="shared" si="1"/>
        <v>1</v>
      </c>
      <c r="K95" s="145" t="s">
        <v>526</v>
      </c>
      <c r="L95" s="156"/>
      <c r="M95" s="134" t="s">
        <v>439</v>
      </c>
      <c r="N95" s="224">
        <v>84.82</v>
      </c>
      <c r="O95" s="117" t="b">
        <f t="shared" si="2"/>
        <v>1</v>
      </c>
      <c r="P95" s="117" t="b">
        <v>1</v>
      </c>
      <c r="Q95" s="117" t="s">
        <v>368</v>
      </c>
    </row>
    <row r="96" hidden="1">
      <c r="A96" s="108"/>
      <c r="B96" s="220"/>
      <c r="C96" s="134" t="s">
        <v>57</v>
      </c>
      <c r="D96" s="220" t="str">
        <f>vlookup(M96,'Página10'!A:B,2,false)</f>
        <v>INOV00022</v>
      </c>
      <c r="E96" s="134" t="s">
        <v>144</v>
      </c>
      <c r="F96" s="221">
        <v>44995.0</v>
      </c>
      <c r="G96" s="222">
        <v>0.08333333333333333</v>
      </c>
      <c r="H96" s="134" t="s">
        <v>479</v>
      </c>
      <c r="I96" s="223" t="s">
        <v>475</v>
      </c>
      <c r="J96" s="223" t="b">
        <f t="shared" si="1"/>
        <v>0</v>
      </c>
      <c r="K96" s="145" t="s">
        <v>525</v>
      </c>
      <c r="L96" s="156"/>
      <c r="M96" s="134" t="s">
        <v>437</v>
      </c>
      <c r="N96" s="224">
        <v>0.0</v>
      </c>
      <c r="O96" s="117" t="b">
        <f t="shared" si="2"/>
        <v>0</v>
      </c>
      <c r="P96" s="117" t="b">
        <v>1</v>
      </c>
      <c r="Q96" s="117" t="s">
        <v>368</v>
      </c>
    </row>
    <row r="97" hidden="1">
      <c r="A97" s="108"/>
      <c r="B97" s="220"/>
      <c r="C97" s="134" t="s">
        <v>57</v>
      </c>
      <c r="D97" s="220" t="str">
        <f>vlookup(M97,'Página10'!A:B,2,false)</f>
        <v>INOV00022</v>
      </c>
      <c r="E97" s="134" t="s">
        <v>144</v>
      </c>
      <c r="F97" s="221">
        <v>44998.0</v>
      </c>
      <c r="G97" s="222">
        <v>0.08333333333333333</v>
      </c>
      <c r="H97" s="134" t="s">
        <v>479</v>
      </c>
      <c r="I97" s="223" t="s">
        <v>475</v>
      </c>
      <c r="J97" s="223" t="b">
        <f t="shared" si="1"/>
        <v>0</v>
      </c>
      <c r="K97" s="145" t="s">
        <v>525</v>
      </c>
      <c r="L97" s="156"/>
      <c r="M97" s="134" t="s">
        <v>437</v>
      </c>
      <c r="N97" s="224">
        <v>0.0</v>
      </c>
      <c r="O97" s="117" t="b">
        <f t="shared" si="2"/>
        <v>0</v>
      </c>
      <c r="P97" s="117" t="b">
        <v>1</v>
      </c>
      <c r="Q97" s="117" t="s">
        <v>368</v>
      </c>
    </row>
    <row r="98" hidden="1">
      <c r="A98" s="108"/>
      <c r="B98" s="220"/>
      <c r="C98" s="134" t="s">
        <v>57</v>
      </c>
      <c r="D98" s="220" t="str">
        <f>vlookup(M98,'Página10'!A:B,2,false)</f>
        <v>INOV00022</v>
      </c>
      <c r="E98" s="134" t="s">
        <v>144</v>
      </c>
      <c r="F98" s="221">
        <v>44999.0</v>
      </c>
      <c r="G98" s="222">
        <v>0.10416666666666667</v>
      </c>
      <c r="H98" s="134" t="s">
        <v>479</v>
      </c>
      <c r="I98" s="223" t="s">
        <v>475</v>
      </c>
      <c r="J98" s="223" t="b">
        <f t="shared" si="1"/>
        <v>0</v>
      </c>
      <c r="K98" s="145" t="s">
        <v>525</v>
      </c>
      <c r="L98" s="156"/>
      <c r="M98" s="134" t="s">
        <v>437</v>
      </c>
      <c r="N98" s="224">
        <v>0.0</v>
      </c>
      <c r="O98" s="117" t="b">
        <f t="shared" si="2"/>
        <v>0</v>
      </c>
      <c r="P98" s="117" t="b">
        <v>1</v>
      </c>
      <c r="Q98" s="117" t="s">
        <v>368</v>
      </c>
    </row>
    <row r="99" hidden="1">
      <c r="A99" s="108"/>
      <c r="B99" s="220"/>
      <c r="C99" s="134" t="s">
        <v>57</v>
      </c>
      <c r="D99" s="220" t="str">
        <f>vlookup(M99,'Página10'!A:B,2,false)</f>
        <v>INOV00022</v>
      </c>
      <c r="E99" s="134" t="s">
        <v>144</v>
      </c>
      <c r="F99" s="221">
        <v>45000.0</v>
      </c>
      <c r="G99" s="222">
        <v>0.10416666666666667</v>
      </c>
      <c r="H99" s="134" t="s">
        <v>479</v>
      </c>
      <c r="I99" s="223" t="s">
        <v>475</v>
      </c>
      <c r="J99" s="223" t="b">
        <f t="shared" si="1"/>
        <v>0</v>
      </c>
      <c r="K99" s="145" t="s">
        <v>525</v>
      </c>
      <c r="L99" s="156"/>
      <c r="M99" s="134" t="s">
        <v>437</v>
      </c>
      <c r="N99" s="224">
        <v>0.0</v>
      </c>
      <c r="O99" s="117" t="b">
        <f t="shared" si="2"/>
        <v>0</v>
      </c>
      <c r="P99" s="117" t="b">
        <v>1</v>
      </c>
      <c r="Q99" s="117" t="s">
        <v>368</v>
      </c>
    </row>
    <row r="100" hidden="1">
      <c r="A100" s="108"/>
      <c r="B100" s="220"/>
      <c r="C100" s="134" t="s">
        <v>58</v>
      </c>
      <c r="D100" s="220" t="str">
        <f>vlookup(M100,'Página10'!A:B,2,false)</f>
        <v>INOV00023</v>
      </c>
      <c r="E100" s="134" t="s">
        <v>144</v>
      </c>
      <c r="F100" s="221">
        <v>45001.0</v>
      </c>
      <c r="G100" s="222">
        <v>0.0625</v>
      </c>
      <c r="H100" s="134" t="s">
        <v>475</v>
      </c>
      <c r="I100" s="223" t="s">
        <v>475</v>
      </c>
      <c r="J100" s="223" t="b">
        <f t="shared" si="1"/>
        <v>1</v>
      </c>
      <c r="K100" s="145" t="s">
        <v>517</v>
      </c>
      <c r="L100" s="156"/>
      <c r="M100" s="134" t="s">
        <v>438</v>
      </c>
      <c r="N100" s="224">
        <v>63.62</v>
      </c>
      <c r="O100" s="117" t="b">
        <f t="shared" si="2"/>
        <v>1</v>
      </c>
      <c r="P100" s="117" t="b">
        <v>1</v>
      </c>
      <c r="Q100" s="117" t="s">
        <v>368</v>
      </c>
    </row>
    <row r="101" hidden="1">
      <c r="A101" s="108"/>
      <c r="B101" s="220"/>
      <c r="C101" s="134" t="s">
        <v>69</v>
      </c>
      <c r="D101" s="220" t="str">
        <f>vlookup(M101,'Página10'!A:B,2,false)</f>
        <v>INOV00041</v>
      </c>
      <c r="E101" s="134" t="s">
        <v>144</v>
      </c>
      <c r="F101" s="221">
        <v>45002.0</v>
      </c>
      <c r="G101" s="222">
        <v>0.16666666666666666</v>
      </c>
      <c r="H101" s="134" t="s">
        <v>475</v>
      </c>
      <c r="I101" s="223" t="s">
        <v>475</v>
      </c>
      <c r="J101" s="223" t="b">
        <f t="shared" si="1"/>
        <v>1</v>
      </c>
      <c r="K101" s="145" t="s">
        <v>518</v>
      </c>
      <c r="L101" s="156"/>
      <c r="M101" s="134" t="s">
        <v>463</v>
      </c>
      <c r="N101" s="224">
        <v>0.0</v>
      </c>
      <c r="O101" s="117" t="b">
        <f t="shared" si="2"/>
        <v>1</v>
      </c>
      <c r="P101" s="117" t="b">
        <v>1</v>
      </c>
      <c r="Q101" s="117" t="s">
        <v>368</v>
      </c>
    </row>
    <row r="102" hidden="1">
      <c r="A102" s="108"/>
      <c r="B102" s="220"/>
      <c r="C102" s="134" t="s">
        <v>69</v>
      </c>
      <c r="D102" s="220" t="str">
        <f>vlookup(M102,'Página10'!A:B,2,false)</f>
        <v>INOV00041</v>
      </c>
      <c r="E102" s="134" t="s">
        <v>144</v>
      </c>
      <c r="F102" s="221">
        <v>45006.0</v>
      </c>
      <c r="G102" s="222">
        <v>0.16666666666666666</v>
      </c>
      <c r="H102" s="134" t="s">
        <v>475</v>
      </c>
      <c r="I102" s="223" t="s">
        <v>475</v>
      </c>
      <c r="J102" s="223" t="b">
        <f t="shared" si="1"/>
        <v>1</v>
      </c>
      <c r="K102" s="145" t="s">
        <v>518</v>
      </c>
      <c r="L102" s="156"/>
      <c r="M102" s="134" t="s">
        <v>463</v>
      </c>
      <c r="N102" s="224">
        <v>0.0</v>
      </c>
      <c r="O102" s="117" t="b">
        <f t="shared" si="2"/>
        <v>1</v>
      </c>
      <c r="P102" s="117" t="b">
        <v>1</v>
      </c>
      <c r="Q102" s="117" t="s">
        <v>368</v>
      </c>
    </row>
    <row r="103" hidden="1">
      <c r="A103" s="108"/>
      <c r="B103" s="220"/>
      <c r="C103" s="134" t="s">
        <v>65</v>
      </c>
      <c r="D103" s="220" t="str">
        <f>vlookup(M103,'Página10'!A:B,2,false)</f>
        <v>INOV00037</v>
      </c>
      <c r="E103" s="134" t="s">
        <v>144</v>
      </c>
      <c r="F103" s="221">
        <v>45007.0</v>
      </c>
      <c r="G103" s="222">
        <v>0.125</v>
      </c>
      <c r="H103" s="134" t="s">
        <v>475</v>
      </c>
      <c r="I103" s="223" t="s">
        <v>475</v>
      </c>
      <c r="J103" s="223" t="b">
        <f t="shared" si="1"/>
        <v>1</v>
      </c>
      <c r="K103" s="145" t="s">
        <v>517</v>
      </c>
      <c r="L103" s="156"/>
      <c r="M103" s="134" t="s">
        <v>459</v>
      </c>
      <c r="N103" s="224">
        <v>0.0</v>
      </c>
      <c r="O103" s="117" t="b">
        <f t="shared" si="2"/>
        <v>1</v>
      </c>
      <c r="P103" s="117" t="b">
        <v>1</v>
      </c>
      <c r="Q103" s="117" t="s">
        <v>368</v>
      </c>
    </row>
    <row r="104" hidden="1">
      <c r="A104" s="108"/>
      <c r="B104" s="220"/>
      <c r="C104" s="134" t="s">
        <v>69</v>
      </c>
      <c r="D104" s="220" t="str">
        <f>vlookup(M104,'Página10'!A:B,2,false)</f>
        <v>INOV00041</v>
      </c>
      <c r="E104" s="134" t="s">
        <v>144</v>
      </c>
      <c r="F104" s="221">
        <v>45008.0</v>
      </c>
      <c r="G104" s="222">
        <v>0.08333333333333333</v>
      </c>
      <c r="H104" s="134" t="s">
        <v>475</v>
      </c>
      <c r="I104" s="223" t="s">
        <v>475</v>
      </c>
      <c r="J104" s="223" t="b">
        <f t="shared" si="1"/>
        <v>1</v>
      </c>
      <c r="K104" s="145" t="s">
        <v>518</v>
      </c>
      <c r="L104" s="156"/>
      <c r="M104" s="134" t="s">
        <v>463</v>
      </c>
      <c r="N104" s="224">
        <v>0.0</v>
      </c>
      <c r="O104" s="117" t="b">
        <f t="shared" si="2"/>
        <v>1</v>
      </c>
      <c r="P104" s="117" t="b">
        <v>1</v>
      </c>
      <c r="Q104" s="117" t="s">
        <v>368</v>
      </c>
    </row>
    <row r="105" hidden="1">
      <c r="A105" s="108"/>
      <c r="B105" s="220"/>
      <c r="C105" s="134" t="s">
        <v>58</v>
      </c>
      <c r="D105" s="220" t="str">
        <f>vlookup(M105,'Página10'!A:B,2,false)</f>
        <v>INOV00023</v>
      </c>
      <c r="E105" s="134" t="s">
        <v>144</v>
      </c>
      <c r="F105" s="221">
        <v>45008.0</v>
      </c>
      <c r="G105" s="222">
        <v>0.125</v>
      </c>
      <c r="H105" s="134" t="s">
        <v>475</v>
      </c>
      <c r="I105" s="223" t="s">
        <v>475</v>
      </c>
      <c r="J105" s="223" t="b">
        <f t="shared" si="1"/>
        <v>1</v>
      </c>
      <c r="K105" s="145" t="s">
        <v>517</v>
      </c>
      <c r="L105" s="156"/>
      <c r="M105" s="134" t="s">
        <v>438</v>
      </c>
      <c r="N105" s="224">
        <v>127.23</v>
      </c>
      <c r="O105" s="117" t="b">
        <f t="shared" si="2"/>
        <v>1</v>
      </c>
      <c r="P105" s="117" t="b">
        <v>1</v>
      </c>
      <c r="Q105" s="117" t="s">
        <v>368</v>
      </c>
    </row>
    <row r="106" hidden="1">
      <c r="A106" s="108"/>
      <c r="B106" s="220"/>
      <c r="C106" s="134" t="s">
        <v>58</v>
      </c>
      <c r="D106" s="220" t="str">
        <f>vlookup(M106,'Página10'!A:B,2,false)</f>
        <v>INOV00023</v>
      </c>
      <c r="E106" s="134" t="s">
        <v>144</v>
      </c>
      <c r="F106" s="221">
        <v>45009.0</v>
      </c>
      <c r="G106" s="222">
        <v>0.08333333333333333</v>
      </c>
      <c r="H106" s="134" t="s">
        <v>475</v>
      </c>
      <c r="I106" s="223" t="s">
        <v>475</v>
      </c>
      <c r="J106" s="223" t="b">
        <f t="shared" si="1"/>
        <v>1</v>
      </c>
      <c r="K106" s="145" t="s">
        <v>517</v>
      </c>
      <c r="L106" s="156"/>
      <c r="M106" s="134" t="s">
        <v>438</v>
      </c>
      <c r="N106" s="224">
        <v>84.82</v>
      </c>
      <c r="O106" s="117" t="b">
        <f t="shared" si="2"/>
        <v>1</v>
      </c>
      <c r="P106" s="117" t="b">
        <v>1</v>
      </c>
      <c r="Q106" s="117" t="s">
        <v>368</v>
      </c>
    </row>
    <row r="107" hidden="1">
      <c r="A107" s="108"/>
      <c r="B107" s="220"/>
      <c r="C107" s="134" t="s">
        <v>65</v>
      </c>
      <c r="D107" s="220" t="str">
        <f>vlookup(M107,'Página10'!A:B,2,false)</f>
        <v>INOV00037</v>
      </c>
      <c r="E107" s="134" t="s">
        <v>144</v>
      </c>
      <c r="F107" s="221">
        <v>45009.0</v>
      </c>
      <c r="G107" s="222">
        <v>0.16666666666666666</v>
      </c>
      <c r="H107" s="134" t="s">
        <v>475</v>
      </c>
      <c r="I107" s="223" t="s">
        <v>475</v>
      </c>
      <c r="J107" s="223" t="b">
        <f t="shared" si="1"/>
        <v>1</v>
      </c>
      <c r="K107" s="145" t="s">
        <v>517</v>
      </c>
      <c r="L107" s="156"/>
      <c r="M107" s="134" t="s">
        <v>459</v>
      </c>
      <c r="N107" s="224">
        <v>0.0</v>
      </c>
      <c r="O107" s="117" t="b">
        <f t="shared" si="2"/>
        <v>1</v>
      </c>
      <c r="P107" s="117" t="b">
        <v>1</v>
      </c>
      <c r="Q107" s="117" t="s">
        <v>368</v>
      </c>
    </row>
    <row r="108" hidden="1">
      <c r="A108" s="108"/>
      <c r="B108" s="220"/>
      <c r="C108" s="134" t="s">
        <v>69</v>
      </c>
      <c r="D108" s="220" t="str">
        <f>vlookup(M108,'Página10'!A:B,2,false)</f>
        <v>INOV00041</v>
      </c>
      <c r="E108" s="134" t="s">
        <v>144</v>
      </c>
      <c r="F108" s="221">
        <v>45012.0</v>
      </c>
      <c r="G108" s="222">
        <v>0.1875</v>
      </c>
      <c r="H108" s="134" t="s">
        <v>475</v>
      </c>
      <c r="I108" s="223" t="s">
        <v>475</v>
      </c>
      <c r="J108" s="223" t="b">
        <f t="shared" si="1"/>
        <v>1</v>
      </c>
      <c r="K108" s="145" t="s">
        <v>518</v>
      </c>
      <c r="L108" s="156"/>
      <c r="M108" s="134" t="s">
        <v>463</v>
      </c>
      <c r="N108" s="224">
        <v>0.0</v>
      </c>
      <c r="O108" s="117" t="b">
        <f t="shared" si="2"/>
        <v>1</v>
      </c>
      <c r="P108" s="117" t="b">
        <v>1</v>
      </c>
      <c r="Q108" s="117" t="s">
        <v>368</v>
      </c>
    </row>
    <row r="109" hidden="1">
      <c r="A109" s="108"/>
      <c r="B109" s="220"/>
      <c r="C109" s="134" t="s">
        <v>58</v>
      </c>
      <c r="D109" s="220" t="str">
        <f>vlookup(M109,'Página10'!A:B,2,false)</f>
        <v>INOV00023</v>
      </c>
      <c r="E109" s="134" t="s">
        <v>144</v>
      </c>
      <c r="F109" s="221">
        <v>45012.0</v>
      </c>
      <c r="G109" s="222">
        <v>0.08333333333333333</v>
      </c>
      <c r="H109" s="134" t="s">
        <v>475</v>
      </c>
      <c r="I109" s="223" t="s">
        <v>475</v>
      </c>
      <c r="J109" s="223" t="b">
        <f t="shared" si="1"/>
        <v>1</v>
      </c>
      <c r="K109" s="145" t="s">
        <v>517</v>
      </c>
      <c r="L109" s="156"/>
      <c r="M109" s="134" t="s">
        <v>438</v>
      </c>
      <c r="N109" s="224">
        <v>84.82</v>
      </c>
      <c r="O109" s="117" t="b">
        <f t="shared" si="2"/>
        <v>1</v>
      </c>
      <c r="P109" s="117" t="b">
        <v>1</v>
      </c>
      <c r="Q109" s="117" t="s">
        <v>368</v>
      </c>
    </row>
    <row r="110" hidden="1">
      <c r="A110" s="108"/>
      <c r="B110" s="220"/>
      <c r="C110" s="134" t="s">
        <v>69</v>
      </c>
      <c r="D110" s="220" t="str">
        <f>vlookup(M110,'Página10'!A:B,2,false)</f>
        <v>INOV00041</v>
      </c>
      <c r="E110" s="134" t="s">
        <v>144</v>
      </c>
      <c r="F110" s="221">
        <v>45014.0</v>
      </c>
      <c r="G110" s="222">
        <v>0.125</v>
      </c>
      <c r="H110" s="134" t="s">
        <v>475</v>
      </c>
      <c r="I110" s="223" t="s">
        <v>475</v>
      </c>
      <c r="J110" s="223" t="b">
        <f t="shared" si="1"/>
        <v>1</v>
      </c>
      <c r="K110" s="145" t="s">
        <v>518</v>
      </c>
      <c r="L110" s="156"/>
      <c r="M110" s="134" t="s">
        <v>463</v>
      </c>
      <c r="N110" s="224">
        <v>0.0</v>
      </c>
      <c r="O110" s="117" t="b">
        <f t="shared" si="2"/>
        <v>1</v>
      </c>
      <c r="P110" s="117" t="b">
        <v>1</v>
      </c>
      <c r="Q110" s="117" t="s">
        <v>368</v>
      </c>
    </row>
    <row r="111" hidden="1">
      <c r="A111" s="108"/>
      <c r="B111" s="220"/>
      <c r="C111" s="134" t="s">
        <v>448</v>
      </c>
      <c r="D111" s="220" t="str">
        <f>vlookup(M111,'Página10'!A:B,2,false)</f>
        <v>INOV00029</v>
      </c>
      <c r="E111" s="134" t="s">
        <v>144</v>
      </c>
      <c r="F111" s="221">
        <v>45014.0</v>
      </c>
      <c r="G111" s="222">
        <v>0.041666666666666664</v>
      </c>
      <c r="H111" s="134" t="s">
        <v>475</v>
      </c>
      <c r="I111" s="223" t="s">
        <v>475</v>
      </c>
      <c r="J111" s="223" t="b">
        <f t="shared" si="1"/>
        <v>1</v>
      </c>
      <c r="K111" s="145" t="s">
        <v>527</v>
      </c>
      <c r="L111" s="156"/>
      <c r="M111" s="134" t="s">
        <v>447</v>
      </c>
      <c r="N111" s="224">
        <v>0.0</v>
      </c>
      <c r="O111" s="117" t="b">
        <f t="shared" si="2"/>
        <v>1</v>
      </c>
      <c r="P111" s="117" t="b">
        <v>0</v>
      </c>
      <c r="Q111" s="117" t="s">
        <v>368</v>
      </c>
    </row>
    <row r="112" hidden="1">
      <c r="A112" s="108"/>
      <c r="B112" s="220"/>
      <c r="C112" s="134" t="s">
        <v>69</v>
      </c>
      <c r="D112" s="220" t="str">
        <f>vlookup(M112,'Página10'!A:B,2,false)</f>
        <v>INOV00041</v>
      </c>
      <c r="E112" s="134" t="s">
        <v>144</v>
      </c>
      <c r="F112" s="221">
        <v>45015.0</v>
      </c>
      <c r="G112" s="222">
        <v>0.125</v>
      </c>
      <c r="H112" s="134" t="s">
        <v>475</v>
      </c>
      <c r="I112" s="223" t="s">
        <v>475</v>
      </c>
      <c r="J112" s="223" t="b">
        <f t="shared" si="1"/>
        <v>1</v>
      </c>
      <c r="K112" s="145" t="s">
        <v>518</v>
      </c>
      <c r="L112" s="156"/>
      <c r="M112" s="134" t="s">
        <v>463</v>
      </c>
      <c r="N112" s="224">
        <v>0.0</v>
      </c>
      <c r="O112" s="117" t="b">
        <f t="shared" si="2"/>
        <v>1</v>
      </c>
      <c r="P112" s="117" t="b">
        <v>1</v>
      </c>
      <c r="Q112" s="117" t="s">
        <v>368</v>
      </c>
    </row>
    <row r="113" hidden="1">
      <c r="A113" s="108"/>
      <c r="B113" s="220"/>
      <c r="C113" s="134" t="s">
        <v>57</v>
      </c>
      <c r="D113" s="220" t="str">
        <f>vlookup(M113,'Página10'!A:B,2,false)</f>
        <v>INOV00022</v>
      </c>
      <c r="E113" s="134" t="s">
        <v>144</v>
      </c>
      <c r="F113" s="221">
        <v>45015.0</v>
      </c>
      <c r="G113" s="222">
        <v>0.125</v>
      </c>
      <c r="H113" s="134" t="s">
        <v>479</v>
      </c>
      <c r="I113" s="223" t="s">
        <v>475</v>
      </c>
      <c r="J113" s="223" t="b">
        <f t="shared" si="1"/>
        <v>0</v>
      </c>
      <c r="K113" s="145" t="s">
        <v>525</v>
      </c>
      <c r="L113" s="156"/>
      <c r="M113" s="134" t="s">
        <v>437</v>
      </c>
      <c r="N113" s="224">
        <v>0.0</v>
      </c>
      <c r="O113" s="117" t="b">
        <f t="shared" si="2"/>
        <v>0</v>
      </c>
      <c r="P113" s="117" t="b">
        <v>1</v>
      </c>
      <c r="Q113" s="117" t="s">
        <v>368</v>
      </c>
    </row>
    <row r="114" hidden="1">
      <c r="A114" s="108"/>
      <c r="B114" s="220"/>
      <c r="C114" s="134" t="s">
        <v>58</v>
      </c>
      <c r="D114" s="220" t="str">
        <f>vlookup(M114,'Página10'!A:B,2,false)</f>
        <v>INOV00023</v>
      </c>
      <c r="E114" s="134" t="s">
        <v>144</v>
      </c>
      <c r="F114" s="221">
        <v>45016.0</v>
      </c>
      <c r="G114" s="222">
        <v>0.08333333333333333</v>
      </c>
      <c r="H114" s="134" t="s">
        <v>475</v>
      </c>
      <c r="I114" s="223" t="s">
        <v>475</v>
      </c>
      <c r="J114" s="223" t="b">
        <f t="shared" si="1"/>
        <v>1</v>
      </c>
      <c r="K114" s="145" t="s">
        <v>517</v>
      </c>
      <c r="L114" s="156"/>
      <c r="M114" s="134" t="s">
        <v>438</v>
      </c>
      <c r="N114" s="224">
        <v>84.82</v>
      </c>
      <c r="O114" s="117" t="b">
        <f t="shared" si="2"/>
        <v>1</v>
      </c>
      <c r="P114" s="117" t="b">
        <v>1</v>
      </c>
      <c r="Q114" s="117" t="s">
        <v>368</v>
      </c>
    </row>
    <row r="115" hidden="1">
      <c r="A115" s="108"/>
      <c r="B115" s="220"/>
      <c r="C115" s="134" t="s">
        <v>57</v>
      </c>
      <c r="D115" s="220" t="str">
        <f>vlookup(M115,'Página10'!A:B,2,false)</f>
        <v>INOV00022</v>
      </c>
      <c r="E115" s="134" t="s">
        <v>144</v>
      </c>
      <c r="F115" s="221">
        <v>45016.0</v>
      </c>
      <c r="G115" s="222">
        <v>0.08333333333333333</v>
      </c>
      <c r="H115" s="134" t="s">
        <v>479</v>
      </c>
      <c r="I115" s="223" t="s">
        <v>475</v>
      </c>
      <c r="J115" s="223" t="b">
        <f t="shared" si="1"/>
        <v>0</v>
      </c>
      <c r="K115" s="145" t="s">
        <v>525</v>
      </c>
      <c r="L115" s="156"/>
      <c r="M115" s="134" t="s">
        <v>437</v>
      </c>
      <c r="N115" s="224">
        <v>0.0</v>
      </c>
      <c r="O115" s="117" t="b">
        <f t="shared" si="2"/>
        <v>0</v>
      </c>
      <c r="P115" s="117" t="b">
        <v>1</v>
      </c>
      <c r="Q115" s="117" t="s">
        <v>368</v>
      </c>
    </row>
    <row r="116" hidden="1">
      <c r="A116" s="108"/>
      <c r="B116" s="220"/>
      <c r="C116" s="134" t="s">
        <v>435</v>
      </c>
      <c r="D116" s="220" t="str">
        <f>vlookup(M116,'Página10'!A:B,2,false)</f>
        <v>INOV00020</v>
      </c>
      <c r="E116" s="134" t="s">
        <v>144</v>
      </c>
      <c r="F116" s="221">
        <v>45016.0</v>
      </c>
      <c r="G116" s="222">
        <v>0.08333333333333333</v>
      </c>
      <c r="H116" s="134" t="s">
        <v>475</v>
      </c>
      <c r="I116" s="223" t="s">
        <v>475</v>
      </c>
      <c r="J116" s="223" t="b">
        <f t="shared" si="1"/>
        <v>1</v>
      </c>
      <c r="K116" s="145" t="s">
        <v>518</v>
      </c>
      <c r="L116" s="156"/>
      <c r="M116" s="134" t="s">
        <v>434</v>
      </c>
      <c r="N116" s="224">
        <v>0.0</v>
      </c>
      <c r="O116" s="117" t="b">
        <f t="shared" si="2"/>
        <v>1</v>
      </c>
      <c r="P116" s="117" t="b">
        <v>0</v>
      </c>
      <c r="Q116" s="117" t="s">
        <v>368</v>
      </c>
    </row>
    <row r="117" hidden="1">
      <c r="A117" s="108"/>
      <c r="B117" s="220"/>
      <c r="C117" s="134" t="s">
        <v>68</v>
      </c>
      <c r="D117" s="220" t="str">
        <f>vlookup(M117,'Página10'!A:B,2,false)</f>
        <v>INOV00040</v>
      </c>
      <c r="E117" s="134" t="s">
        <v>137</v>
      </c>
      <c r="F117" s="221">
        <v>44929.0</v>
      </c>
      <c r="G117" s="222">
        <v>0.03125</v>
      </c>
      <c r="H117" s="134" t="s">
        <v>479</v>
      </c>
      <c r="I117" s="223" t="s">
        <v>411</v>
      </c>
      <c r="J117" s="223" t="b">
        <f t="shared" si="1"/>
        <v>0</v>
      </c>
      <c r="K117" s="145" t="s">
        <v>528</v>
      </c>
      <c r="L117" s="156"/>
      <c r="M117" s="134" t="s">
        <v>462</v>
      </c>
      <c r="N117" s="224">
        <v>0.0</v>
      </c>
      <c r="O117" s="117" t="b">
        <f t="shared" si="2"/>
        <v>0</v>
      </c>
      <c r="P117" s="117" t="b">
        <v>0</v>
      </c>
      <c r="Q117" s="117" t="s">
        <v>368</v>
      </c>
    </row>
    <row r="118" hidden="1">
      <c r="A118" s="108"/>
      <c r="B118" s="220"/>
      <c r="C118" s="134" t="s">
        <v>61</v>
      </c>
      <c r="D118" s="220" t="str">
        <f>vlookup(M118,'Página10'!A:B,2,false)</f>
        <v>INOV00031</v>
      </c>
      <c r="E118" s="134" t="s">
        <v>137</v>
      </c>
      <c r="F118" s="221">
        <v>44931.0</v>
      </c>
      <c r="G118" s="222">
        <v>0.020833333333333332</v>
      </c>
      <c r="H118" s="134" t="s">
        <v>479</v>
      </c>
      <c r="I118" s="223" t="s">
        <v>479</v>
      </c>
      <c r="J118" s="223" t="b">
        <f t="shared" si="1"/>
        <v>1</v>
      </c>
      <c r="K118" s="145" t="s">
        <v>529</v>
      </c>
      <c r="L118" s="156"/>
      <c r="M118" s="134" t="s">
        <v>451</v>
      </c>
      <c r="N118" s="224">
        <v>0.0</v>
      </c>
      <c r="O118" s="117" t="b">
        <f t="shared" si="2"/>
        <v>0</v>
      </c>
      <c r="P118" s="117" t="b">
        <v>1</v>
      </c>
      <c r="Q118" s="117" t="s">
        <v>368</v>
      </c>
    </row>
    <row r="119" hidden="1">
      <c r="A119" s="108"/>
      <c r="B119" s="220"/>
      <c r="C119" s="134" t="s">
        <v>453</v>
      </c>
      <c r="D119" s="220" t="str">
        <f>vlookup(M119,'Página10'!A:B,2,false)</f>
        <v>INOV00032</v>
      </c>
      <c r="E119" s="134" t="s">
        <v>137</v>
      </c>
      <c r="F119" s="221">
        <v>44936.0</v>
      </c>
      <c r="G119" s="222">
        <v>0.020833333333333332</v>
      </c>
      <c r="H119" s="134" t="s">
        <v>411</v>
      </c>
      <c r="I119" s="223" t="s">
        <v>411</v>
      </c>
      <c r="J119" s="223" t="b">
        <f t="shared" si="1"/>
        <v>1</v>
      </c>
      <c r="K119" s="145" t="s">
        <v>530</v>
      </c>
      <c r="L119" s="156"/>
      <c r="M119" s="134" t="s">
        <v>452</v>
      </c>
      <c r="N119" s="224">
        <v>0.0</v>
      </c>
      <c r="O119" s="117" t="b">
        <f t="shared" si="2"/>
        <v>1</v>
      </c>
      <c r="P119" s="117" t="b">
        <v>0</v>
      </c>
      <c r="Q119" s="117" t="s">
        <v>368</v>
      </c>
    </row>
    <row r="120" hidden="1">
      <c r="A120" s="108"/>
      <c r="B120" s="220"/>
      <c r="C120" s="134" t="s">
        <v>453</v>
      </c>
      <c r="D120" s="220" t="str">
        <f>vlookup(M120,'Página10'!A:B,2,false)</f>
        <v>INOV00032</v>
      </c>
      <c r="E120" s="134" t="s">
        <v>137</v>
      </c>
      <c r="F120" s="221">
        <v>44936.0</v>
      </c>
      <c r="G120" s="222">
        <v>0.0625</v>
      </c>
      <c r="H120" s="134" t="s">
        <v>479</v>
      </c>
      <c r="I120" s="223" t="s">
        <v>479</v>
      </c>
      <c r="J120" s="223" t="b">
        <f t="shared" si="1"/>
        <v>1</v>
      </c>
      <c r="K120" s="145" t="s">
        <v>531</v>
      </c>
      <c r="L120" s="156"/>
      <c r="M120" s="134" t="s">
        <v>452</v>
      </c>
      <c r="N120" s="224">
        <v>0.0</v>
      </c>
      <c r="O120" s="117" t="b">
        <f t="shared" si="2"/>
        <v>0</v>
      </c>
      <c r="P120" s="117" t="b">
        <v>0</v>
      </c>
      <c r="Q120" s="117" t="s">
        <v>368</v>
      </c>
    </row>
    <row r="121" hidden="1">
      <c r="A121" s="108"/>
      <c r="B121" s="220"/>
      <c r="C121" s="134" t="s">
        <v>51</v>
      </c>
      <c r="D121" s="220" t="str">
        <f>vlookup(M121,'Página10'!A:B,2,false)</f>
        <v>INOV00010</v>
      </c>
      <c r="E121" s="134" t="s">
        <v>137</v>
      </c>
      <c r="F121" s="221">
        <v>44937.0</v>
      </c>
      <c r="G121" s="222">
        <v>0.020833333333333332</v>
      </c>
      <c r="H121" s="134" t="s">
        <v>475</v>
      </c>
      <c r="I121" s="223" t="s">
        <v>475</v>
      </c>
      <c r="J121" s="223" t="b">
        <f t="shared" si="1"/>
        <v>1</v>
      </c>
      <c r="K121" s="145" t="s">
        <v>532</v>
      </c>
      <c r="L121" s="156"/>
      <c r="M121" s="134" t="s">
        <v>423</v>
      </c>
      <c r="N121" s="224">
        <v>19.74</v>
      </c>
      <c r="O121" s="117" t="b">
        <f t="shared" si="2"/>
        <v>1</v>
      </c>
      <c r="P121" s="117" t="b">
        <v>1</v>
      </c>
      <c r="Q121" s="117" t="s">
        <v>368</v>
      </c>
    </row>
    <row r="122" hidden="1">
      <c r="A122" s="108"/>
      <c r="B122" s="220"/>
      <c r="C122" s="134" t="s">
        <v>51</v>
      </c>
      <c r="D122" s="220" t="str">
        <f>vlookup(M122,'Página10'!A:B,2,false)</f>
        <v>INOV00010</v>
      </c>
      <c r="E122" s="134" t="s">
        <v>137</v>
      </c>
      <c r="F122" s="221">
        <v>44937.0</v>
      </c>
      <c r="G122" s="222">
        <v>0.020833333333333332</v>
      </c>
      <c r="H122" s="134" t="s">
        <v>411</v>
      </c>
      <c r="I122" s="223" t="s">
        <v>411</v>
      </c>
      <c r="J122" s="223" t="b">
        <f t="shared" si="1"/>
        <v>1</v>
      </c>
      <c r="K122" s="145" t="s">
        <v>533</v>
      </c>
      <c r="L122" s="156"/>
      <c r="M122" s="134" t="s">
        <v>423</v>
      </c>
      <c r="N122" s="224">
        <v>19.74</v>
      </c>
      <c r="O122" s="117" t="b">
        <f t="shared" si="2"/>
        <v>1</v>
      </c>
      <c r="P122" s="117" t="b">
        <v>1</v>
      </c>
      <c r="Q122" s="117" t="s">
        <v>368</v>
      </c>
    </row>
    <row r="123" hidden="1">
      <c r="A123" s="108"/>
      <c r="B123" s="220"/>
      <c r="C123" s="134" t="s">
        <v>51</v>
      </c>
      <c r="D123" s="220" t="str">
        <f>vlookup(M123,'Página10'!A:B,2,false)</f>
        <v>INOV00010</v>
      </c>
      <c r="E123" s="134" t="s">
        <v>137</v>
      </c>
      <c r="F123" s="221">
        <v>44937.0</v>
      </c>
      <c r="G123" s="222">
        <v>0.041666666666666664</v>
      </c>
      <c r="H123" s="134" t="s">
        <v>475</v>
      </c>
      <c r="I123" s="223" t="s">
        <v>475</v>
      </c>
      <c r="J123" s="223" t="b">
        <f t="shared" si="1"/>
        <v>1</v>
      </c>
      <c r="K123" s="145" t="s">
        <v>534</v>
      </c>
      <c r="L123" s="156"/>
      <c r="M123" s="134" t="s">
        <v>423</v>
      </c>
      <c r="N123" s="224">
        <v>39.47</v>
      </c>
      <c r="O123" s="117" t="b">
        <f t="shared" si="2"/>
        <v>1</v>
      </c>
      <c r="P123" s="117" t="b">
        <v>1</v>
      </c>
      <c r="Q123" s="117" t="s">
        <v>368</v>
      </c>
    </row>
    <row r="124" hidden="1">
      <c r="A124" s="108"/>
      <c r="B124" s="220"/>
      <c r="C124" s="134" t="s">
        <v>453</v>
      </c>
      <c r="D124" s="220" t="str">
        <f>vlookup(M124,'Página10'!A:B,2,false)</f>
        <v>INOV00032</v>
      </c>
      <c r="E124" s="134" t="s">
        <v>137</v>
      </c>
      <c r="F124" s="221">
        <v>44938.0</v>
      </c>
      <c r="G124" s="222">
        <v>0.03125</v>
      </c>
      <c r="H124" s="134" t="s">
        <v>479</v>
      </c>
      <c r="I124" s="223" t="s">
        <v>479</v>
      </c>
      <c r="J124" s="223" t="b">
        <f t="shared" si="1"/>
        <v>1</v>
      </c>
      <c r="K124" s="145" t="s">
        <v>535</v>
      </c>
      <c r="L124" s="156"/>
      <c r="M124" s="134" t="s">
        <v>452</v>
      </c>
      <c r="N124" s="224">
        <v>0.0</v>
      </c>
      <c r="O124" s="117" t="b">
        <f t="shared" si="2"/>
        <v>0</v>
      </c>
      <c r="P124" s="117" t="b">
        <v>0</v>
      </c>
      <c r="Q124" s="117" t="s">
        <v>368</v>
      </c>
    </row>
    <row r="125" hidden="1">
      <c r="A125" s="108"/>
      <c r="B125" s="220"/>
      <c r="C125" s="134" t="s">
        <v>453</v>
      </c>
      <c r="D125" s="220" t="str">
        <f>vlookup(M125,'Página10'!A:B,2,false)</f>
        <v>INOV00032</v>
      </c>
      <c r="E125" s="134" t="s">
        <v>137</v>
      </c>
      <c r="F125" s="221">
        <v>44938.0</v>
      </c>
      <c r="G125" s="222">
        <v>0.020833333333333332</v>
      </c>
      <c r="H125" s="134" t="s">
        <v>475</v>
      </c>
      <c r="I125" s="223" t="s">
        <v>475</v>
      </c>
      <c r="J125" s="223" t="b">
        <f t="shared" si="1"/>
        <v>1</v>
      </c>
      <c r="K125" s="145" t="s">
        <v>536</v>
      </c>
      <c r="L125" s="156"/>
      <c r="M125" s="134" t="s">
        <v>452</v>
      </c>
      <c r="N125" s="224">
        <v>0.0</v>
      </c>
      <c r="O125" s="117" t="b">
        <f t="shared" si="2"/>
        <v>1</v>
      </c>
      <c r="P125" s="117" t="b">
        <v>0</v>
      </c>
      <c r="Q125" s="117" t="s">
        <v>368</v>
      </c>
    </row>
    <row r="126" hidden="1">
      <c r="A126" s="108"/>
      <c r="B126" s="220"/>
      <c r="C126" s="134" t="s">
        <v>61</v>
      </c>
      <c r="D126" s="220" t="str">
        <f>vlookup(M126,'Página10'!A:B,2,false)</f>
        <v>INOV00031</v>
      </c>
      <c r="E126" s="134" t="s">
        <v>137</v>
      </c>
      <c r="F126" s="221">
        <v>44939.0</v>
      </c>
      <c r="G126" s="222">
        <v>0.041666666666666664</v>
      </c>
      <c r="H126" s="134" t="s">
        <v>411</v>
      </c>
      <c r="I126" s="223" t="s">
        <v>411</v>
      </c>
      <c r="J126" s="223" t="b">
        <f t="shared" si="1"/>
        <v>1</v>
      </c>
      <c r="K126" s="145" t="s">
        <v>537</v>
      </c>
      <c r="L126" s="156"/>
      <c r="M126" s="134" t="s">
        <v>451</v>
      </c>
      <c r="N126" s="224">
        <v>39.47</v>
      </c>
      <c r="O126" s="117" t="b">
        <f t="shared" si="2"/>
        <v>1</v>
      </c>
      <c r="P126" s="117" t="b">
        <v>1</v>
      </c>
      <c r="Q126" s="117" t="s">
        <v>368</v>
      </c>
    </row>
    <row r="127" hidden="1">
      <c r="A127" s="108"/>
      <c r="B127" s="220"/>
      <c r="C127" s="134" t="s">
        <v>453</v>
      </c>
      <c r="D127" s="220" t="str">
        <f>vlookup(M127,'Página10'!A:B,2,false)</f>
        <v>INOV00032</v>
      </c>
      <c r="E127" s="134" t="s">
        <v>137</v>
      </c>
      <c r="F127" s="221">
        <v>44942.0</v>
      </c>
      <c r="G127" s="222">
        <v>0.041666666666666664</v>
      </c>
      <c r="H127" s="134" t="s">
        <v>475</v>
      </c>
      <c r="I127" s="223" t="s">
        <v>475</v>
      </c>
      <c r="J127" s="223" t="b">
        <f t="shared" si="1"/>
        <v>1</v>
      </c>
      <c r="K127" s="145" t="s">
        <v>538</v>
      </c>
      <c r="L127" s="156"/>
      <c r="M127" s="134" t="s">
        <v>452</v>
      </c>
      <c r="N127" s="224">
        <v>0.0</v>
      </c>
      <c r="O127" s="117" t="b">
        <f t="shared" si="2"/>
        <v>1</v>
      </c>
      <c r="P127" s="117" t="b">
        <v>0</v>
      </c>
      <c r="Q127" s="117" t="s">
        <v>368</v>
      </c>
    </row>
    <row r="128" hidden="1">
      <c r="A128" s="108"/>
      <c r="B128" s="220"/>
      <c r="C128" s="134" t="s">
        <v>51</v>
      </c>
      <c r="D128" s="220" t="str">
        <f>vlookup(M128,'Página10'!A:B,2,false)</f>
        <v>INOV00010</v>
      </c>
      <c r="E128" s="134" t="s">
        <v>137</v>
      </c>
      <c r="F128" s="221">
        <v>44943.0</v>
      </c>
      <c r="G128" s="222">
        <v>0.03125</v>
      </c>
      <c r="H128" s="134" t="s">
        <v>479</v>
      </c>
      <c r="I128" s="223" t="s">
        <v>479</v>
      </c>
      <c r="J128" s="223" t="b">
        <f t="shared" si="1"/>
        <v>1</v>
      </c>
      <c r="K128" s="145" t="s">
        <v>539</v>
      </c>
      <c r="L128" s="156"/>
      <c r="M128" s="134" t="s">
        <v>423</v>
      </c>
      <c r="N128" s="224">
        <v>0.0</v>
      </c>
      <c r="O128" s="117" t="b">
        <f t="shared" si="2"/>
        <v>0</v>
      </c>
      <c r="P128" s="117" t="b">
        <v>1</v>
      </c>
      <c r="Q128" s="117" t="s">
        <v>368</v>
      </c>
    </row>
    <row r="129" hidden="1">
      <c r="A129" s="108"/>
      <c r="B129" s="220"/>
      <c r="C129" s="134" t="s">
        <v>453</v>
      </c>
      <c r="D129" s="220" t="str">
        <f>vlookup(M129,'Página10'!A:B,2,false)</f>
        <v>INOV00032</v>
      </c>
      <c r="E129" s="134" t="s">
        <v>137</v>
      </c>
      <c r="F129" s="221">
        <v>44945.0</v>
      </c>
      <c r="G129" s="222">
        <v>0.041666666666666664</v>
      </c>
      <c r="H129" s="134" t="s">
        <v>411</v>
      </c>
      <c r="I129" s="223" t="s">
        <v>411</v>
      </c>
      <c r="J129" s="223" t="b">
        <f t="shared" si="1"/>
        <v>1</v>
      </c>
      <c r="K129" s="145" t="s">
        <v>540</v>
      </c>
      <c r="L129" s="156"/>
      <c r="M129" s="134" t="s">
        <v>452</v>
      </c>
      <c r="N129" s="224">
        <v>0.0</v>
      </c>
      <c r="O129" s="117" t="b">
        <f t="shared" si="2"/>
        <v>1</v>
      </c>
      <c r="P129" s="117" t="b">
        <v>0</v>
      </c>
      <c r="Q129" s="117" t="s">
        <v>368</v>
      </c>
    </row>
    <row r="130" hidden="1">
      <c r="A130" s="108"/>
      <c r="B130" s="220"/>
      <c r="C130" s="134" t="s">
        <v>50</v>
      </c>
      <c r="D130" s="220" t="str">
        <f>vlookup(M130,'Página10'!A:B,2,false)</f>
        <v>INOV00006</v>
      </c>
      <c r="E130" s="134" t="s">
        <v>137</v>
      </c>
      <c r="F130" s="221">
        <v>44945.0</v>
      </c>
      <c r="G130" s="222">
        <v>0.20833333333333334</v>
      </c>
      <c r="H130" s="134" t="s">
        <v>411</v>
      </c>
      <c r="I130" s="223" t="s">
        <v>411</v>
      </c>
      <c r="J130" s="223" t="b">
        <f t="shared" si="1"/>
        <v>1</v>
      </c>
      <c r="K130" s="145" t="s">
        <v>541</v>
      </c>
      <c r="L130" s="156"/>
      <c r="M130" s="134" t="s">
        <v>422</v>
      </c>
      <c r="N130" s="224">
        <v>197.37</v>
      </c>
      <c r="O130" s="117" t="b">
        <f t="shared" si="2"/>
        <v>1</v>
      </c>
      <c r="P130" s="117" t="b">
        <v>1</v>
      </c>
      <c r="Q130" s="117" t="s">
        <v>368</v>
      </c>
    </row>
    <row r="131" hidden="1">
      <c r="A131" s="108"/>
      <c r="B131" s="220"/>
      <c r="C131" s="134" t="s">
        <v>55</v>
      </c>
      <c r="D131" s="220" t="str">
        <f>vlookup(M131,'Página10'!A:B,2,false)</f>
        <v>INOV00017</v>
      </c>
      <c r="E131" s="134" t="s">
        <v>137</v>
      </c>
      <c r="F131" s="221">
        <v>44946.0</v>
      </c>
      <c r="G131" s="222">
        <v>0.020833333333333332</v>
      </c>
      <c r="H131" s="134" t="s">
        <v>411</v>
      </c>
      <c r="I131" s="223" t="s">
        <v>411</v>
      </c>
      <c r="J131" s="223" t="b">
        <f t="shared" si="1"/>
        <v>1</v>
      </c>
      <c r="K131" s="145" t="s">
        <v>542</v>
      </c>
      <c r="L131" s="156"/>
      <c r="M131" s="134" t="s">
        <v>429</v>
      </c>
      <c r="N131" s="224">
        <v>19.74</v>
      </c>
      <c r="O131" s="117" t="b">
        <f t="shared" si="2"/>
        <v>1</v>
      </c>
      <c r="P131" s="117" t="b">
        <v>1</v>
      </c>
      <c r="Q131" s="117" t="s">
        <v>368</v>
      </c>
    </row>
    <row r="132" hidden="1">
      <c r="A132" s="108"/>
      <c r="B132" s="220"/>
      <c r="C132" s="134" t="s">
        <v>50</v>
      </c>
      <c r="D132" s="220" t="str">
        <f>vlookup(M132,'Página10'!A:B,2,false)</f>
        <v>INOV00006</v>
      </c>
      <c r="E132" s="134" t="s">
        <v>137</v>
      </c>
      <c r="F132" s="221">
        <v>44949.0</v>
      </c>
      <c r="G132" s="222">
        <v>0.020833333333333332</v>
      </c>
      <c r="H132" s="134" t="s">
        <v>411</v>
      </c>
      <c r="I132" s="223" t="s">
        <v>411</v>
      </c>
      <c r="J132" s="223" t="b">
        <f t="shared" si="1"/>
        <v>1</v>
      </c>
      <c r="K132" s="145" t="s">
        <v>543</v>
      </c>
      <c r="L132" s="156"/>
      <c r="M132" s="134" t="s">
        <v>422</v>
      </c>
      <c r="N132" s="224">
        <v>19.74</v>
      </c>
      <c r="O132" s="117" t="b">
        <f t="shared" si="2"/>
        <v>1</v>
      </c>
      <c r="P132" s="117" t="b">
        <v>1</v>
      </c>
      <c r="Q132" s="117" t="s">
        <v>368</v>
      </c>
    </row>
    <row r="133" hidden="1">
      <c r="A133" s="108"/>
      <c r="B133" s="220"/>
      <c r="C133" s="134" t="s">
        <v>453</v>
      </c>
      <c r="D133" s="220" t="str">
        <f>vlookup(M133,'Página10'!A:B,2,false)</f>
        <v>INOV00032</v>
      </c>
      <c r="E133" s="134" t="s">
        <v>137</v>
      </c>
      <c r="F133" s="221">
        <v>44951.0</v>
      </c>
      <c r="G133" s="222">
        <v>0.041666666666666664</v>
      </c>
      <c r="H133" s="134" t="s">
        <v>411</v>
      </c>
      <c r="I133" s="223" t="s">
        <v>411</v>
      </c>
      <c r="J133" s="223" t="b">
        <f t="shared" si="1"/>
        <v>1</v>
      </c>
      <c r="K133" s="145" t="s">
        <v>544</v>
      </c>
      <c r="L133" s="156"/>
      <c r="M133" s="134" t="s">
        <v>452</v>
      </c>
      <c r="N133" s="224">
        <v>0.0</v>
      </c>
      <c r="O133" s="117" t="b">
        <f t="shared" si="2"/>
        <v>1</v>
      </c>
      <c r="P133" s="117" t="b">
        <v>0</v>
      </c>
      <c r="Q133" s="117" t="s">
        <v>368</v>
      </c>
    </row>
    <row r="134" hidden="1">
      <c r="A134" s="108"/>
      <c r="B134" s="220"/>
      <c r="C134" s="134" t="s">
        <v>453</v>
      </c>
      <c r="D134" s="220" t="str">
        <f>vlookup(M134,'Página10'!A:B,2,false)</f>
        <v>INOV00032</v>
      </c>
      <c r="E134" s="134" t="s">
        <v>137</v>
      </c>
      <c r="F134" s="221">
        <v>44952.0</v>
      </c>
      <c r="G134" s="222">
        <v>0.041666666666666664</v>
      </c>
      <c r="H134" s="134" t="s">
        <v>411</v>
      </c>
      <c r="I134" s="223" t="s">
        <v>411</v>
      </c>
      <c r="J134" s="223" t="b">
        <f t="shared" si="1"/>
        <v>1</v>
      </c>
      <c r="K134" s="145" t="s">
        <v>545</v>
      </c>
      <c r="L134" s="156"/>
      <c r="M134" s="134" t="s">
        <v>452</v>
      </c>
      <c r="N134" s="224">
        <v>0.0</v>
      </c>
      <c r="O134" s="117" t="b">
        <f t="shared" si="2"/>
        <v>1</v>
      </c>
      <c r="P134" s="117" t="b">
        <v>0</v>
      </c>
      <c r="Q134" s="117" t="s">
        <v>368</v>
      </c>
    </row>
    <row r="135" hidden="1">
      <c r="A135" s="108"/>
      <c r="B135" s="220"/>
      <c r="C135" s="134" t="s">
        <v>68</v>
      </c>
      <c r="D135" s="220" t="str">
        <f>vlookup(M135,'Página10'!A:B,2,false)</f>
        <v>INOV00040</v>
      </c>
      <c r="E135" s="134" t="s">
        <v>137</v>
      </c>
      <c r="F135" s="221">
        <v>44953.0</v>
      </c>
      <c r="G135" s="222">
        <v>0.041666666666666664</v>
      </c>
      <c r="H135" s="134" t="s">
        <v>411</v>
      </c>
      <c r="I135" s="223" t="s">
        <v>411</v>
      </c>
      <c r="J135" s="223" t="b">
        <f t="shared" si="1"/>
        <v>1</v>
      </c>
      <c r="K135" s="145" t="s">
        <v>546</v>
      </c>
      <c r="L135" s="156"/>
      <c r="M135" s="134" t="s">
        <v>462</v>
      </c>
      <c r="N135" s="224">
        <v>0.0</v>
      </c>
      <c r="O135" s="117" t="b">
        <f t="shared" si="2"/>
        <v>1</v>
      </c>
      <c r="P135" s="117" t="b">
        <v>0</v>
      </c>
      <c r="Q135" s="117" t="s">
        <v>368</v>
      </c>
    </row>
    <row r="136" hidden="1">
      <c r="A136" s="108"/>
      <c r="B136" s="220"/>
      <c r="C136" s="134" t="s">
        <v>50</v>
      </c>
      <c r="D136" s="220" t="str">
        <f>vlookup(M136,'Página10'!A:B,2,false)</f>
        <v>INOV00006</v>
      </c>
      <c r="E136" s="134" t="s">
        <v>137</v>
      </c>
      <c r="F136" s="221">
        <v>44958.0</v>
      </c>
      <c r="G136" s="222">
        <v>0.020833333333333332</v>
      </c>
      <c r="H136" s="134" t="s">
        <v>411</v>
      </c>
      <c r="I136" s="223" t="s">
        <v>411</v>
      </c>
      <c r="J136" s="223" t="b">
        <f t="shared" si="1"/>
        <v>1</v>
      </c>
      <c r="K136" s="145" t="s">
        <v>547</v>
      </c>
      <c r="L136" s="156"/>
      <c r="M136" s="134" t="s">
        <v>422</v>
      </c>
      <c r="N136" s="224">
        <v>25.54</v>
      </c>
      <c r="O136" s="117" t="b">
        <f t="shared" si="2"/>
        <v>1</v>
      </c>
      <c r="P136" s="117" t="b">
        <v>1</v>
      </c>
      <c r="Q136" s="117" t="s">
        <v>368</v>
      </c>
    </row>
    <row r="137" hidden="1">
      <c r="A137" s="108"/>
      <c r="B137" s="220"/>
      <c r="C137" s="134" t="s">
        <v>51</v>
      </c>
      <c r="D137" s="220" t="str">
        <f>vlookup(M137,'Página10'!A:B,2,false)</f>
        <v>INOV00010</v>
      </c>
      <c r="E137" s="134" t="s">
        <v>137</v>
      </c>
      <c r="F137" s="221">
        <v>44958.0</v>
      </c>
      <c r="G137" s="222">
        <v>0.041666666666666664</v>
      </c>
      <c r="H137" s="134" t="s">
        <v>475</v>
      </c>
      <c r="I137" s="223" t="s">
        <v>475</v>
      </c>
      <c r="J137" s="223" t="b">
        <f t="shared" si="1"/>
        <v>1</v>
      </c>
      <c r="K137" s="145" t="s">
        <v>548</v>
      </c>
      <c r="L137" s="156"/>
      <c r="M137" s="134" t="s">
        <v>423</v>
      </c>
      <c r="N137" s="224">
        <v>51.08</v>
      </c>
      <c r="O137" s="117" t="b">
        <f t="shared" si="2"/>
        <v>1</v>
      </c>
      <c r="P137" s="117" t="b">
        <v>1</v>
      </c>
      <c r="Q137" s="117" t="s">
        <v>368</v>
      </c>
    </row>
    <row r="138" hidden="1">
      <c r="A138" s="108"/>
      <c r="B138" s="220"/>
      <c r="C138" s="134" t="s">
        <v>453</v>
      </c>
      <c r="D138" s="220" t="str">
        <f>vlookup(M138,'Página10'!A:B,2,false)</f>
        <v>INOV00032</v>
      </c>
      <c r="E138" s="134" t="s">
        <v>137</v>
      </c>
      <c r="F138" s="221">
        <v>44958.0</v>
      </c>
      <c r="G138" s="222">
        <v>0.041666666666666664</v>
      </c>
      <c r="H138" s="134" t="s">
        <v>411</v>
      </c>
      <c r="I138" s="223" t="s">
        <v>411</v>
      </c>
      <c r="J138" s="223" t="b">
        <f t="shared" si="1"/>
        <v>1</v>
      </c>
      <c r="K138" s="145" t="s">
        <v>545</v>
      </c>
      <c r="L138" s="156"/>
      <c r="M138" s="134" t="s">
        <v>452</v>
      </c>
      <c r="N138" s="224">
        <v>0.0</v>
      </c>
      <c r="O138" s="117" t="b">
        <f t="shared" si="2"/>
        <v>1</v>
      </c>
      <c r="P138" s="117" t="b">
        <v>0</v>
      </c>
      <c r="Q138" s="117" t="s">
        <v>368</v>
      </c>
    </row>
    <row r="139" hidden="1">
      <c r="A139" s="108"/>
      <c r="B139" s="220"/>
      <c r="C139" s="134" t="s">
        <v>50</v>
      </c>
      <c r="D139" s="220" t="str">
        <f>vlookup(M139,'Página10'!A:B,2,false)</f>
        <v>INOV00006</v>
      </c>
      <c r="E139" s="134" t="s">
        <v>137</v>
      </c>
      <c r="F139" s="221">
        <v>44963.0</v>
      </c>
      <c r="G139" s="222">
        <v>0.10416666666666667</v>
      </c>
      <c r="H139" s="134" t="s">
        <v>479</v>
      </c>
      <c r="I139" s="223" t="s">
        <v>479</v>
      </c>
      <c r="J139" s="223" t="b">
        <f t="shared" si="1"/>
        <v>1</v>
      </c>
      <c r="K139" s="145" t="s">
        <v>549</v>
      </c>
      <c r="L139" s="156"/>
      <c r="M139" s="134" t="s">
        <v>422</v>
      </c>
      <c r="N139" s="224">
        <v>0.0</v>
      </c>
      <c r="O139" s="117" t="b">
        <f t="shared" si="2"/>
        <v>0</v>
      </c>
      <c r="P139" s="117" t="b">
        <v>1</v>
      </c>
      <c r="Q139" s="117" t="s">
        <v>368</v>
      </c>
    </row>
    <row r="140" hidden="1">
      <c r="A140" s="108"/>
      <c r="B140" s="220"/>
      <c r="C140" s="134" t="s">
        <v>51</v>
      </c>
      <c r="D140" s="220" t="str">
        <f>vlookup(M140,'Página10'!A:B,2,false)</f>
        <v>INOV00010</v>
      </c>
      <c r="E140" s="134" t="s">
        <v>137</v>
      </c>
      <c r="F140" s="221">
        <v>44963.0</v>
      </c>
      <c r="G140" s="222">
        <v>0.041666666666666664</v>
      </c>
      <c r="H140" s="134" t="s">
        <v>411</v>
      </c>
      <c r="I140" s="223" t="s">
        <v>411</v>
      </c>
      <c r="J140" s="223" t="b">
        <f t="shared" si="1"/>
        <v>1</v>
      </c>
      <c r="K140" s="145" t="s">
        <v>550</v>
      </c>
      <c r="L140" s="156"/>
      <c r="M140" s="134" t="s">
        <v>423</v>
      </c>
      <c r="N140" s="224">
        <v>51.08</v>
      </c>
      <c r="O140" s="117" t="b">
        <f t="shared" si="2"/>
        <v>1</v>
      </c>
      <c r="P140" s="117" t="b">
        <v>1</v>
      </c>
      <c r="Q140" s="117" t="s">
        <v>368</v>
      </c>
    </row>
    <row r="141" hidden="1">
      <c r="A141" s="108"/>
      <c r="B141" s="220"/>
      <c r="C141" s="134" t="s">
        <v>453</v>
      </c>
      <c r="D141" s="220" t="str">
        <f>vlookup(M141,'Página10'!A:B,2,false)</f>
        <v>INOV00032</v>
      </c>
      <c r="E141" s="134" t="s">
        <v>137</v>
      </c>
      <c r="F141" s="221">
        <v>44964.0</v>
      </c>
      <c r="G141" s="222">
        <v>0.2916666666666667</v>
      </c>
      <c r="H141" s="134" t="s">
        <v>411</v>
      </c>
      <c r="I141" s="223" t="s">
        <v>411</v>
      </c>
      <c r="J141" s="223" t="b">
        <f t="shared" si="1"/>
        <v>1</v>
      </c>
      <c r="K141" s="145" t="s">
        <v>551</v>
      </c>
      <c r="L141" s="156"/>
      <c r="M141" s="134" t="s">
        <v>452</v>
      </c>
      <c r="N141" s="224">
        <v>0.0</v>
      </c>
      <c r="O141" s="117" t="b">
        <f t="shared" si="2"/>
        <v>1</v>
      </c>
      <c r="P141" s="117" t="b">
        <v>0</v>
      </c>
      <c r="Q141" s="117" t="s">
        <v>368</v>
      </c>
    </row>
    <row r="142" hidden="1">
      <c r="A142" s="108"/>
      <c r="B142" s="220"/>
      <c r="C142" s="134" t="s">
        <v>61</v>
      </c>
      <c r="D142" s="220" t="str">
        <f>vlookup(M142,'Página10'!A:B,2,false)</f>
        <v>INOV00031</v>
      </c>
      <c r="E142" s="134" t="s">
        <v>137</v>
      </c>
      <c r="F142" s="221">
        <v>44965.0</v>
      </c>
      <c r="G142" s="222">
        <v>0.2708333333333333</v>
      </c>
      <c r="H142" s="134" t="s">
        <v>411</v>
      </c>
      <c r="I142" s="223" t="s">
        <v>411</v>
      </c>
      <c r="J142" s="223" t="b">
        <f t="shared" si="1"/>
        <v>1</v>
      </c>
      <c r="K142" s="145" t="s">
        <v>552</v>
      </c>
      <c r="L142" s="156"/>
      <c r="M142" s="134" t="s">
        <v>451</v>
      </c>
      <c r="N142" s="224">
        <v>332.04</v>
      </c>
      <c r="O142" s="117" t="b">
        <f t="shared" si="2"/>
        <v>1</v>
      </c>
      <c r="P142" s="117" t="b">
        <v>1</v>
      </c>
      <c r="Q142" s="117" t="s">
        <v>368</v>
      </c>
    </row>
    <row r="143" hidden="1">
      <c r="A143" s="108"/>
      <c r="B143" s="220"/>
      <c r="C143" s="134" t="s">
        <v>453</v>
      </c>
      <c r="D143" s="220" t="str">
        <f>vlookup(M143,'Página10'!A:B,2,false)</f>
        <v>INOV00032</v>
      </c>
      <c r="E143" s="134" t="s">
        <v>137</v>
      </c>
      <c r="F143" s="221">
        <v>44966.0</v>
      </c>
      <c r="G143" s="222">
        <v>0.020833333333333332</v>
      </c>
      <c r="H143" s="134" t="s">
        <v>475</v>
      </c>
      <c r="I143" s="223" t="s">
        <v>475</v>
      </c>
      <c r="J143" s="223" t="b">
        <f t="shared" si="1"/>
        <v>1</v>
      </c>
      <c r="K143" s="145" t="s">
        <v>553</v>
      </c>
      <c r="L143" s="156"/>
      <c r="M143" s="134" t="s">
        <v>452</v>
      </c>
      <c r="N143" s="224">
        <v>0.0</v>
      </c>
      <c r="O143" s="117" t="b">
        <f t="shared" si="2"/>
        <v>1</v>
      </c>
      <c r="P143" s="117" t="b">
        <v>0</v>
      </c>
      <c r="Q143" s="117" t="s">
        <v>368</v>
      </c>
    </row>
    <row r="144" hidden="1">
      <c r="A144" s="108"/>
      <c r="B144" s="220"/>
      <c r="C144" s="134" t="s">
        <v>51</v>
      </c>
      <c r="D144" s="220" t="str">
        <f>vlookup(M144,'Página10'!A:B,2,false)</f>
        <v>INOV00010</v>
      </c>
      <c r="E144" s="134" t="s">
        <v>137</v>
      </c>
      <c r="F144" s="221">
        <v>44967.0</v>
      </c>
      <c r="G144" s="222">
        <v>0.08333333333333333</v>
      </c>
      <c r="H144" s="134" t="s">
        <v>411</v>
      </c>
      <c r="I144" s="223" t="s">
        <v>411</v>
      </c>
      <c r="J144" s="223" t="b">
        <f t="shared" si="1"/>
        <v>1</v>
      </c>
      <c r="K144" s="145" t="s">
        <v>554</v>
      </c>
      <c r="L144" s="156"/>
      <c r="M144" s="134" t="s">
        <v>423</v>
      </c>
      <c r="N144" s="224">
        <v>102.17</v>
      </c>
      <c r="O144" s="117" t="b">
        <f t="shared" si="2"/>
        <v>1</v>
      </c>
      <c r="P144" s="117" t="b">
        <v>1</v>
      </c>
      <c r="Q144" s="117" t="s">
        <v>368</v>
      </c>
    </row>
    <row r="145" hidden="1">
      <c r="A145" s="108"/>
      <c r="B145" s="220"/>
      <c r="C145" s="134" t="s">
        <v>453</v>
      </c>
      <c r="D145" s="220" t="str">
        <f>vlookup(M145,'Página10'!A:B,2,false)</f>
        <v>INOV00032</v>
      </c>
      <c r="E145" s="134" t="s">
        <v>137</v>
      </c>
      <c r="F145" s="221">
        <v>44970.0</v>
      </c>
      <c r="G145" s="222">
        <v>0.020833333333333332</v>
      </c>
      <c r="H145" s="134" t="s">
        <v>411</v>
      </c>
      <c r="I145" s="223" t="s">
        <v>411</v>
      </c>
      <c r="J145" s="223" t="b">
        <f t="shared" si="1"/>
        <v>1</v>
      </c>
      <c r="K145" s="145" t="s">
        <v>555</v>
      </c>
      <c r="L145" s="156"/>
      <c r="M145" s="134" t="s">
        <v>452</v>
      </c>
      <c r="N145" s="224">
        <v>0.0</v>
      </c>
      <c r="O145" s="117" t="b">
        <f t="shared" si="2"/>
        <v>1</v>
      </c>
      <c r="P145" s="117" t="b">
        <v>0</v>
      </c>
      <c r="Q145" s="117" t="s">
        <v>368</v>
      </c>
    </row>
    <row r="146" hidden="1">
      <c r="A146" s="108"/>
      <c r="B146" s="220"/>
      <c r="C146" s="134" t="s">
        <v>51</v>
      </c>
      <c r="D146" s="220" t="str">
        <f>vlookup(M146,'Página10'!A:B,2,false)</f>
        <v>INOV00010</v>
      </c>
      <c r="E146" s="134" t="s">
        <v>137</v>
      </c>
      <c r="F146" s="221">
        <v>44970.0</v>
      </c>
      <c r="G146" s="222">
        <v>0.08333333333333333</v>
      </c>
      <c r="H146" s="134" t="s">
        <v>411</v>
      </c>
      <c r="I146" s="223" t="s">
        <v>411</v>
      </c>
      <c r="J146" s="223" t="b">
        <f t="shared" si="1"/>
        <v>1</v>
      </c>
      <c r="K146" s="145" t="s">
        <v>556</v>
      </c>
      <c r="L146" s="156"/>
      <c r="M146" s="134" t="s">
        <v>423</v>
      </c>
      <c r="N146" s="224">
        <v>102.17</v>
      </c>
      <c r="O146" s="117" t="b">
        <f t="shared" si="2"/>
        <v>1</v>
      </c>
      <c r="P146" s="117" t="b">
        <v>1</v>
      </c>
      <c r="Q146" s="117" t="s">
        <v>368</v>
      </c>
    </row>
    <row r="147" hidden="1">
      <c r="A147" s="108"/>
      <c r="B147" s="220"/>
      <c r="C147" s="134" t="s">
        <v>53</v>
      </c>
      <c r="D147" s="220" t="str">
        <f>vlookup(M147,'Página10'!A:B,2,false)</f>
        <v>INOV00014</v>
      </c>
      <c r="E147" s="134" t="s">
        <v>137</v>
      </c>
      <c r="F147" s="221">
        <v>44971.0</v>
      </c>
      <c r="G147" s="222">
        <v>0.4166666666666667</v>
      </c>
      <c r="H147" s="134" t="s">
        <v>411</v>
      </c>
      <c r="I147" s="223" t="s">
        <v>411</v>
      </c>
      <c r="J147" s="223" t="b">
        <f t="shared" si="1"/>
        <v>1</v>
      </c>
      <c r="K147" s="145" t="s">
        <v>557</v>
      </c>
      <c r="L147" s="156"/>
      <c r="M147" s="134" t="s">
        <v>427</v>
      </c>
      <c r="N147" s="224">
        <v>510.83</v>
      </c>
      <c r="O147" s="117" t="b">
        <f t="shared" si="2"/>
        <v>1</v>
      </c>
      <c r="P147" s="117" t="b">
        <v>1</v>
      </c>
      <c r="Q147" s="117" t="s">
        <v>368</v>
      </c>
    </row>
    <row r="148" hidden="1">
      <c r="A148" s="108"/>
      <c r="B148" s="220"/>
      <c r="C148" s="134" t="s">
        <v>453</v>
      </c>
      <c r="D148" s="220" t="str">
        <f>vlookup(M148,'Página10'!A:B,2,false)</f>
        <v>INOV00032</v>
      </c>
      <c r="E148" s="134" t="s">
        <v>137</v>
      </c>
      <c r="F148" s="221">
        <v>44973.0</v>
      </c>
      <c r="G148" s="222">
        <v>0.0</v>
      </c>
      <c r="H148" s="134" t="s">
        <v>479</v>
      </c>
      <c r="I148" s="223" t="s">
        <v>479</v>
      </c>
      <c r="J148" s="223" t="b">
        <f t="shared" si="1"/>
        <v>1</v>
      </c>
      <c r="K148" s="145" t="s">
        <v>558</v>
      </c>
      <c r="L148" s="156"/>
      <c r="M148" s="134" t="s">
        <v>452</v>
      </c>
      <c r="N148" s="224">
        <v>0.0</v>
      </c>
      <c r="O148" s="117" t="b">
        <f t="shared" si="2"/>
        <v>0</v>
      </c>
      <c r="P148" s="117" t="b">
        <v>0</v>
      </c>
      <c r="Q148" s="117" t="s">
        <v>368</v>
      </c>
    </row>
    <row r="149" hidden="1">
      <c r="A149" s="108"/>
      <c r="B149" s="220"/>
      <c r="C149" s="134" t="s">
        <v>68</v>
      </c>
      <c r="D149" s="220" t="str">
        <f>vlookup(M149,'Página10'!A:B,2,false)</f>
        <v>INOV00040</v>
      </c>
      <c r="E149" s="134" t="s">
        <v>137</v>
      </c>
      <c r="F149" s="221">
        <v>44973.0</v>
      </c>
      <c r="G149" s="222">
        <v>0.0625</v>
      </c>
      <c r="H149" s="134" t="s">
        <v>479</v>
      </c>
      <c r="I149" s="223" t="s">
        <v>479</v>
      </c>
      <c r="J149" s="223" t="b">
        <f t="shared" si="1"/>
        <v>1</v>
      </c>
      <c r="K149" s="145" t="s">
        <v>559</v>
      </c>
      <c r="L149" s="156"/>
      <c r="M149" s="134" t="s">
        <v>462</v>
      </c>
      <c r="N149" s="224">
        <v>0.0</v>
      </c>
      <c r="O149" s="117" t="b">
        <f t="shared" si="2"/>
        <v>0</v>
      </c>
      <c r="P149" s="117" t="b">
        <v>0</v>
      </c>
      <c r="Q149" s="117" t="s">
        <v>368</v>
      </c>
    </row>
    <row r="150" hidden="1">
      <c r="A150" s="108"/>
      <c r="B150" s="220"/>
      <c r="C150" s="134" t="s">
        <v>51</v>
      </c>
      <c r="D150" s="220" t="str">
        <f>vlookup(M150,'Página10'!A:B,2,false)</f>
        <v>INOV00010</v>
      </c>
      <c r="E150" s="134" t="s">
        <v>137</v>
      </c>
      <c r="F150" s="221">
        <v>44981.0</v>
      </c>
      <c r="G150" s="222">
        <v>0.020833333333333332</v>
      </c>
      <c r="H150" s="134" t="s">
        <v>411</v>
      </c>
      <c r="I150" s="223" t="s">
        <v>411</v>
      </c>
      <c r="J150" s="223" t="b">
        <f t="shared" si="1"/>
        <v>1</v>
      </c>
      <c r="K150" s="145" t="s">
        <v>560</v>
      </c>
      <c r="L150" s="156"/>
      <c r="M150" s="134" t="s">
        <v>423</v>
      </c>
      <c r="N150" s="224">
        <v>25.54</v>
      </c>
      <c r="O150" s="117" t="b">
        <f t="shared" si="2"/>
        <v>1</v>
      </c>
      <c r="P150" s="117" t="b">
        <v>1</v>
      </c>
      <c r="Q150" s="117" t="s">
        <v>368</v>
      </c>
    </row>
    <row r="151" hidden="1">
      <c r="A151" s="108"/>
      <c r="B151" s="220"/>
      <c r="C151" s="134" t="s">
        <v>68</v>
      </c>
      <c r="D151" s="220" t="str">
        <f>vlookup(M151,'Página10'!A:B,2,false)</f>
        <v>INOV00040</v>
      </c>
      <c r="E151" s="134" t="s">
        <v>137</v>
      </c>
      <c r="F151" s="221">
        <v>44986.0</v>
      </c>
      <c r="G151" s="222">
        <v>0.020833333333333332</v>
      </c>
      <c r="H151" s="134" t="s">
        <v>411</v>
      </c>
      <c r="I151" s="223" t="s">
        <v>411</v>
      </c>
      <c r="J151" s="223" t="b">
        <f t="shared" si="1"/>
        <v>1</v>
      </c>
      <c r="K151" s="145" t="s">
        <v>561</v>
      </c>
      <c r="L151" s="156"/>
      <c r="M151" s="134" t="s">
        <v>462</v>
      </c>
      <c r="N151" s="224">
        <v>0.0</v>
      </c>
      <c r="O151" s="117" t="b">
        <f t="shared" si="2"/>
        <v>1</v>
      </c>
      <c r="P151" s="117" t="b">
        <v>0</v>
      </c>
      <c r="Q151" s="117" t="s">
        <v>368</v>
      </c>
    </row>
    <row r="152" hidden="1">
      <c r="A152" s="108"/>
      <c r="B152" s="220"/>
      <c r="C152" s="134" t="s">
        <v>50</v>
      </c>
      <c r="D152" s="220" t="str">
        <f>vlookup(M152,'Página10'!A:B,2,false)</f>
        <v>INOV00006</v>
      </c>
      <c r="E152" s="134" t="s">
        <v>137</v>
      </c>
      <c r="F152" s="221">
        <v>44987.0</v>
      </c>
      <c r="G152" s="222">
        <v>0.041666666666666664</v>
      </c>
      <c r="H152" s="134" t="s">
        <v>411</v>
      </c>
      <c r="I152" s="223" t="s">
        <v>411</v>
      </c>
      <c r="J152" s="223" t="b">
        <f t="shared" si="1"/>
        <v>1</v>
      </c>
      <c r="K152" s="145" t="s">
        <v>562</v>
      </c>
      <c r="L152" s="156"/>
      <c r="M152" s="134" t="s">
        <v>422</v>
      </c>
      <c r="N152" s="224">
        <v>37.76</v>
      </c>
      <c r="O152" s="117" t="b">
        <f t="shared" si="2"/>
        <v>1</v>
      </c>
      <c r="P152" s="117" t="b">
        <v>1</v>
      </c>
      <c r="Q152" s="117" t="s">
        <v>368</v>
      </c>
    </row>
    <row r="153" hidden="1">
      <c r="A153" s="108"/>
      <c r="B153" s="220"/>
      <c r="C153" s="134" t="s">
        <v>68</v>
      </c>
      <c r="D153" s="220" t="str">
        <f>vlookup(M153,'Página10'!A:B,2,false)</f>
        <v>INOV00040</v>
      </c>
      <c r="E153" s="134" t="s">
        <v>137</v>
      </c>
      <c r="F153" s="221">
        <v>44988.0</v>
      </c>
      <c r="G153" s="222">
        <v>0.16666666666666666</v>
      </c>
      <c r="H153" s="134" t="s">
        <v>411</v>
      </c>
      <c r="I153" s="223" t="s">
        <v>411</v>
      </c>
      <c r="J153" s="223" t="b">
        <f t="shared" si="1"/>
        <v>1</v>
      </c>
      <c r="K153" s="145" t="s">
        <v>563</v>
      </c>
      <c r="L153" s="156"/>
      <c r="M153" s="134" t="s">
        <v>462</v>
      </c>
      <c r="N153" s="224">
        <v>0.0</v>
      </c>
      <c r="O153" s="117" t="b">
        <f t="shared" si="2"/>
        <v>1</v>
      </c>
      <c r="P153" s="117" t="b">
        <v>0</v>
      </c>
      <c r="Q153" s="117" t="s">
        <v>368</v>
      </c>
    </row>
    <row r="154" hidden="1">
      <c r="A154" s="108"/>
      <c r="B154" s="220"/>
      <c r="C154" s="134" t="s">
        <v>50</v>
      </c>
      <c r="D154" s="220" t="str">
        <f>vlookup(M154,'Página10'!A:B,2,false)</f>
        <v>INOV00006</v>
      </c>
      <c r="E154" s="134" t="s">
        <v>137</v>
      </c>
      <c r="F154" s="221">
        <v>44991.0</v>
      </c>
      <c r="G154" s="222">
        <v>0.10416666666666667</v>
      </c>
      <c r="H154" s="134" t="s">
        <v>479</v>
      </c>
      <c r="I154" s="223" t="s">
        <v>479</v>
      </c>
      <c r="J154" s="223" t="b">
        <f t="shared" si="1"/>
        <v>1</v>
      </c>
      <c r="K154" s="145" t="s">
        <v>564</v>
      </c>
      <c r="L154" s="156"/>
      <c r="M154" s="134" t="s">
        <v>422</v>
      </c>
      <c r="N154" s="224">
        <v>0.0</v>
      </c>
      <c r="O154" s="117" t="b">
        <f t="shared" si="2"/>
        <v>0</v>
      </c>
      <c r="P154" s="117" t="b">
        <v>1</v>
      </c>
      <c r="Q154" s="117" t="s">
        <v>368</v>
      </c>
    </row>
    <row r="155" hidden="1">
      <c r="A155" s="108"/>
      <c r="B155" s="220"/>
      <c r="C155" s="134" t="s">
        <v>68</v>
      </c>
      <c r="D155" s="220" t="str">
        <f>vlookup(M155,'Página10'!A:B,2,false)</f>
        <v>INOV00040</v>
      </c>
      <c r="E155" s="134" t="s">
        <v>137</v>
      </c>
      <c r="F155" s="221">
        <v>44991.0</v>
      </c>
      <c r="G155" s="222">
        <v>0.020833333333333332</v>
      </c>
      <c r="H155" s="134" t="s">
        <v>479</v>
      </c>
      <c r="I155" s="223" t="s">
        <v>411</v>
      </c>
      <c r="J155" s="223" t="b">
        <f t="shared" si="1"/>
        <v>0</v>
      </c>
      <c r="K155" s="145" t="s">
        <v>565</v>
      </c>
      <c r="L155" s="156"/>
      <c r="M155" s="134" t="s">
        <v>462</v>
      </c>
      <c r="N155" s="224">
        <v>0.0</v>
      </c>
      <c r="O155" s="117" t="b">
        <f t="shared" si="2"/>
        <v>0</v>
      </c>
      <c r="P155" s="117" t="b">
        <v>0</v>
      </c>
      <c r="Q155" s="117" t="s">
        <v>368</v>
      </c>
    </row>
    <row r="156" hidden="1">
      <c r="A156" s="108"/>
      <c r="B156" s="220"/>
      <c r="C156" s="134" t="s">
        <v>453</v>
      </c>
      <c r="D156" s="220" t="str">
        <f>vlookup(M156,'Página10'!A:B,2,false)</f>
        <v>INOV00032</v>
      </c>
      <c r="E156" s="134" t="s">
        <v>137</v>
      </c>
      <c r="F156" s="221">
        <v>44992.0</v>
      </c>
      <c r="G156" s="222">
        <v>0.125</v>
      </c>
      <c r="H156" s="134" t="s">
        <v>411</v>
      </c>
      <c r="I156" s="223" t="s">
        <v>411</v>
      </c>
      <c r="J156" s="223" t="b">
        <f t="shared" si="1"/>
        <v>1</v>
      </c>
      <c r="K156" s="145" t="s">
        <v>566</v>
      </c>
      <c r="L156" s="156"/>
      <c r="M156" s="134" t="s">
        <v>452</v>
      </c>
      <c r="N156" s="224">
        <v>0.0</v>
      </c>
      <c r="O156" s="117" t="b">
        <f t="shared" si="2"/>
        <v>1</v>
      </c>
      <c r="P156" s="117" t="b">
        <v>0</v>
      </c>
      <c r="Q156" s="117" t="s">
        <v>368</v>
      </c>
    </row>
    <row r="157" hidden="1">
      <c r="A157" s="108"/>
      <c r="B157" s="220"/>
      <c r="C157" s="134" t="s">
        <v>453</v>
      </c>
      <c r="D157" s="220" t="str">
        <f>vlookup(M157,'Página10'!A:B,2,false)</f>
        <v>INOV00032</v>
      </c>
      <c r="E157" s="134" t="s">
        <v>137</v>
      </c>
      <c r="F157" s="221">
        <v>44992.0</v>
      </c>
      <c r="G157" s="222">
        <v>0.125</v>
      </c>
      <c r="H157" s="134" t="s">
        <v>411</v>
      </c>
      <c r="I157" s="223" t="s">
        <v>411</v>
      </c>
      <c r="J157" s="223" t="b">
        <f t="shared" si="1"/>
        <v>1</v>
      </c>
      <c r="K157" s="145" t="s">
        <v>567</v>
      </c>
      <c r="L157" s="156"/>
      <c r="M157" s="134" t="s">
        <v>452</v>
      </c>
      <c r="N157" s="224">
        <v>0.0</v>
      </c>
      <c r="O157" s="117" t="b">
        <f t="shared" si="2"/>
        <v>1</v>
      </c>
      <c r="P157" s="117" t="b">
        <v>0</v>
      </c>
      <c r="Q157" s="117" t="s">
        <v>368</v>
      </c>
    </row>
    <row r="158" hidden="1">
      <c r="A158" s="108"/>
      <c r="B158" s="220"/>
      <c r="C158" s="134" t="s">
        <v>68</v>
      </c>
      <c r="D158" s="220" t="str">
        <f>vlookup(M158,'Página10'!A:B,2,false)</f>
        <v>INOV00040</v>
      </c>
      <c r="E158" s="134" t="s">
        <v>137</v>
      </c>
      <c r="F158" s="221">
        <v>44993.0</v>
      </c>
      <c r="G158" s="222">
        <v>0.125</v>
      </c>
      <c r="H158" s="134" t="s">
        <v>411</v>
      </c>
      <c r="I158" s="223" t="s">
        <v>411</v>
      </c>
      <c r="J158" s="223" t="b">
        <f t="shared" si="1"/>
        <v>1</v>
      </c>
      <c r="K158" s="145" t="s">
        <v>561</v>
      </c>
      <c r="L158" s="156"/>
      <c r="M158" s="134" t="s">
        <v>462</v>
      </c>
      <c r="N158" s="224">
        <v>0.0</v>
      </c>
      <c r="O158" s="117" t="b">
        <f t="shared" si="2"/>
        <v>1</v>
      </c>
      <c r="P158" s="117" t="b">
        <v>0</v>
      </c>
      <c r="Q158" s="117" t="s">
        <v>368</v>
      </c>
    </row>
    <row r="159" hidden="1">
      <c r="A159" s="108"/>
      <c r="B159" s="220"/>
      <c r="C159" s="134" t="s">
        <v>68</v>
      </c>
      <c r="D159" s="220" t="str">
        <f>vlookup(M159,'Página10'!A:B,2,false)</f>
        <v>INOV00040</v>
      </c>
      <c r="E159" s="134" t="s">
        <v>137</v>
      </c>
      <c r="F159" s="221">
        <v>44994.0</v>
      </c>
      <c r="G159" s="222">
        <v>0.08333333333333333</v>
      </c>
      <c r="H159" s="134" t="s">
        <v>411</v>
      </c>
      <c r="I159" s="223" t="s">
        <v>411</v>
      </c>
      <c r="J159" s="223" t="b">
        <f t="shared" si="1"/>
        <v>1</v>
      </c>
      <c r="K159" s="145" t="s">
        <v>561</v>
      </c>
      <c r="L159" s="156"/>
      <c r="M159" s="134" t="s">
        <v>462</v>
      </c>
      <c r="N159" s="224">
        <v>0.0</v>
      </c>
      <c r="O159" s="117" t="b">
        <f t="shared" si="2"/>
        <v>1</v>
      </c>
      <c r="P159" s="117" t="b">
        <v>0</v>
      </c>
      <c r="Q159" s="117" t="s">
        <v>368</v>
      </c>
    </row>
    <row r="160" hidden="1">
      <c r="A160" s="108"/>
      <c r="B160" s="220"/>
      <c r="C160" s="134" t="s">
        <v>50</v>
      </c>
      <c r="D160" s="220" t="str">
        <f>vlookup(M160,'Página10'!A:B,2,false)</f>
        <v>INOV00006</v>
      </c>
      <c r="E160" s="134" t="s">
        <v>137</v>
      </c>
      <c r="F160" s="221">
        <v>44994.0</v>
      </c>
      <c r="G160" s="222">
        <v>0.14583333333333334</v>
      </c>
      <c r="H160" s="134" t="s">
        <v>479</v>
      </c>
      <c r="I160" s="223" t="s">
        <v>479</v>
      </c>
      <c r="J160" s="223" t="b">
        <f t="shared" si="1"/>
        <v>1</v>
      </c>
      <c r="K160" s="145" t="s">
        <v>568</v>
      </c>
      <c r="L160" s="156"/>
      <c r="M160" s="134" t="s">
        <v>422</v>
      </c>
      <c r="N160" s="224">
        <v>0.0</v>
      </c>
      <c r="O160" s="117" t="b">
        <f t="shared" si="2"/>
        <v>0</v>
      </c>
      <c r="P160" s="117" t="b">
        <v>1</v>
      </c>
      <c r="Q160" s="117" t="s">
        <v>368</v>
      </c>
    </row>
    <row r="161" hidden="1">
      <c r="A161" s="108"/>
      <c r="B161" s="220"/>
      <c r="C161" s="134" t="s">
        <v>68</v>
      </c>
      <c r="D161" s="220" t="str">
        <f>vlookup(M161,'Página10'!A:B,2,false)</f>
        <v>INOV00040</v>
      </c>
      <c r="E161" s="134" t="s">
        <v>137</v>
      </c>
      <c r="F161" s="221">
        <v>44995.0</v>
      </c>
      <c r="G161" s="222">
        <v>0.020833333333333332</v>
      </c>
      <c r="H161" s="134" t="s">
        <v>479</v>
      </c>
      <c r="I161" s="223" t="s">
        <v>479</v>
      </c>
      <c r="J161" s="223" t="b">
        <f t="shared" si="1"/>
        <v>1</v>
      </c>
      <c r="K161" s="145" t="s">
        <v>569</v>
      </c>
      <c r="L161" s="156"/>
      <c r="M161" s="134" t="s">
        <v>462</v>
      </c>
      <c r="N161" s="224">
        <v>0.0</v>
      </c>
      <c r="O161" s="117" t="b">
        <f t="shared" si="2"/>
        <v>0</v>
      </c>
      <c r="P161" s="117" t="b">
        <v>0</v>
      </c>
      <c r="Q161" s="117" t="s">
        <v>368</v>
      </c>
    </row>
    <row r="162" hidden="1">
      <c r="A162" s="108"/>
      <c r="B162" s="220"/>
      <c r="C162" s="134" t="s">
        <v>68</v>
      </c>
      <c r="D162" s="220" t="str">
        <f>vlookup(M162,'Página10'!A:B,2,false)</f>
        <v>INOV00040</v>
      </c>
      <c r="E162" s="134" t="s">
        <v>137</v>
      </c>
      <c r="F162" s="221">
        <v>44995.0</v>
      </c>
      <c r="G162" s="222">
        <v>0.125</v>
      </c>
      <c r="H162" s="134" t="s">
        <v>411</v>
      </c>
      <c r="I162" s="223" t="s">
        <v>411</v>
      </c>
      <c r="J162" s="223" t="b">
        <f t="shared" si="1"/>
        <v>1</v>
      </c>
      <c r="K162" s="145" t="s">
        <v>570</v>
      </c>
      <c r="L162" s="156"/>
      <c r="M162" s="134" t="s">
        <v>462</v>
      </c>
      <c r="N162" s="224">
        <v>0.0</v>
      </c>
      <c r="O162" s="117" t="b">
        <f t="shared" si="2"/>
        <v>1</v>
      </c>
      <c r="P162" s="117" t="b">
        <v>0</v>
      </c>
      <c r="Q162" s="117" t="s">
        <v>368</v>
      </c>
    </row>
    <row r="163" hidden="1">
      <c r="A163" s="108"/>
      <c r="B163" s="220"/>
      <c r="C163" s="134" t="s">
        <v>68</v>
      </c>
      <c r="D163" s="220" t="str">
        <f>vlookup(M163,'Página10'!A:B,2,false)</f>
        <v>INOV00040</v>
      </c>
      <c r="E163" s="134" t="s">
        <v>137</v>
      </c>
      <c r="F163" s="221">
        <v>44998.0</v>
      </c>
      <c r="G163" s="222">
        <v>0.020833333333333332</v>
      </c>
      <c r="H163" s="134" t="s">
        <v>411</v>
      </c>
      <c r="I163" s="223" t="s">
        <v>411</v>
      </c>
      <c r="J163" s="223" t="b">
        <f t="shared" si="1"/>
        <v>1</v>
      </c>
      <c r="K163" s="145" t="s">
        <v>571</v>
      </c>
      <c r="L163" s="156"/>
      <c r="M163" s="134" t="s">
        <v>462</v>
      </c>
      <c r="N163" s="224">
        <v>0.0</v>
      </c>
      <c r="O163" s="117" t="b">
        <f t="shared" si="2"/>
        <v>1</v>
      </c>
      <c r="P163" s="117" t="b">
        <v>0</v>
      </c>
      <c r="Q163" s="117" t="s">
        <v>368</v>
      </c>
    </row>
    <row r="164" hidden="1">
      <c r="A164" s="108"/>
      <c r="B164" s="220"/>
      <c r="C164" s="134" t="s">
        <v>68</v>
      </c>
      <c r="D164" s="220" t="str">
        <f>vlookup(M164,'Página10'!A:B,2,false)</f>
        <v>INOV00040</v>
      </c>
      <c r="E164" s="134" t="s">
        <v>137</v>
      </c>
      <c r="F164" s="221">
        <v>44998.0</v>
      </c>
      <c r="G164" s="222">
        <v>0.041666666666666664</v>
      </c>
      <c r="H164" s="134" t="s">
        <v>411</v>
      </c>
      <c r="I164" s="223" t="s">
        <v>411</v>
      </c>
      <c r="J164" s="223" t="b">
        <f t="shared" si="1"/>
        <v>1</v>
      </c>
      <c r="K164" s="145" t="s">
        <v>572</v>
      </c>
      <c r="L164" s="156"/>
      <c r="M164" s="134" t="s">
        <v>462</v>
      </c>
      <c r="N164" s="224">
        <v>0.0</v>
      </c>
      <c r="O164" s="117" t="b">
        <f t="shared" si="2"/>
        <v>1</v>
      </c>
      <c r="P164" s="117" t="b">
        <v>0</v>
      </c>
      <c r="Q164" s="117" t="s">
        <v>368</v>
      </c>
    </row>
    <row r="165" hidden="1">
      <c r="A165" s="108"/>
      <c r="B165" s="220"/>
      <c r="C165" s="134" t="s">
        <v>68</v>
      </c>
      <c r="D165" s="220" t="str">
        <f>vlookup(M165,'Página10'!A:B,2,false)</f>
        <v>INOV00040</v>
      </c>
      <c r="E165" s="134" t="s">
        <v>137</v>
      </c>
      <c r="F165" s="221">
        <v>44999.0</v>
      </c>
      <c r="G165" s="222">
        <v>0.0625</v>
      </c>
      <c r="H165" s="134" t="s">
        <v>411</v>
      </c>
      <c r="I165" s="223" t="s">
        <v>411</v>
      </c>
      <c r="J165" s="223" t="b">
        <f t="shared" si="1"/>
        <v>1</v>
      </c>
      <c r="K165" s="145" t="s">
        <v>573</v>
      </c>
      <c r="L165" s="156"/>
      <c r="M165" s="134" t="s">
        <v>462</v>
      </c>
      <c r="N165" s="224">
        <v>0.0</v>
      </c>
      <c r="O165" s="117" t="b">
        <f t="shared" si="2"/>
        <v>1</v>
      </c>
      <c r="P165" s="117" t="b">
        <v>0</v>
      </c>
      <c r="Q165" s="117" t="s">
        <v>368</v>
      </c>
    </row>
    <row r="166" hidden="1">
      <c r="A166" s="108"/>
      <c r="B166" s="220"/>
      <c r="C166" s="134" t="s">
        <v>68</v>
      </c>
      <c r="D166" s="220" t="str">
        <f>vlookup(M166,'Página10'!A:B,2,false)</f>
        <v>INOV00040</v>
      </c>
      <c r="E166" s="134" t="s">
        <v>137</v>
      </c>
      <c r="F166" s="221">
        <v>44999.0</v>
      </c>
      <c r="G166" s="222">
        <v>0.0625</v>
      </c>
      <c r="H166" s="134" t="s">
        <v>411</v>
      </c>
      <c r="I166" s="223" t="s">
        <v>411</v>
      </c>
      <c r="J166" s="223" t="b">
        <f t="shared" si="1"/>
        <v>1</v>
      </c>
      <c r="K166" s="145" t="s">
        <v>574</v>
      </c>
      <c r="L166" s="156"/>
      <c r="M166" s="134" t="s">
        <v>462</v>
      </c>
      <c r="N166" s="224">
        <v>0.0</v>
      </c>
      <c r="O166" s="117" t="b">
        <f t="shared" si="2"/>
        <v>1</v>
      </c>
      <c r="P166" s="117" t="b">
        <v>0</v>
      </c>
      <c r="Q166" s="117" t="s">
        <v>368</v>
      </c>
    </row>
    <row r="167" hidden="1">
      <c r="A167" s="108"/>
      <c r="B167" s="220"/>
      <c r="C167" s="134" t="s">
        <v>453</v>
      </c>
      <c r="D167" s="220" t="str">
        <f>vlookup(M167,'Página10'!A:B,2,false)</f>
        <v>INOV00032</v>
      </c>
      <c r="E167" s="134" t="s">
        <v>137</v>
      </c>
      <c r="F167" s="221">
        <v>44999.0</v>
      </c>
      <c r="G167" s="222">
        <v>0.08333333333333333</v>
      </c>
      <c r="H167" s="134" t="s">
        <v>411</v>
      </c>
      <c r="I167" s="223" t="s">
        <v>411</v>
      </c>
      <c r="J167" s="223" t="b">
        <f t="shared" si="1"/>
        <v>1</v>
      </c>
      <c r="K167" s="145" t="s">
        <v>575</v>
      </c>
      <c r="L167" s="156"/>
      <c r="M167" s="134" t="s">
        <v>452</v>
      </c>
      <c r="N167" s="224">
        <v>0.0</v>
      </c>
      <c r="O167" s="117" t="b">
        <f t="shared" si="2"/>
        <v>1</v>
      </c>
      <c r="P167" s="117" t="b">
        <v>0</v>
      </c>
      <c r="Q167" s="117" t="s">
        <v>368</v>
      </c>
    </row>
    <row r="168" hidden="1">
      <c r="A168" s="108"/>
      <c r="B168" s="220"/>
      <c r="C168" s="134" t="s">
        <v>453</v>
      </c>
      <c r="D168" s="220" t="str">
        <f>vlookup(M168,'Página10'!A:B,2,false)</f>
        <v>INOV00032</v>
      </c>
      <c r="E168" s="134" t="s">
        <v>137</v>
      </c>
      <c r="F168" s="221">
        <v>44999.0</v>
      </c>
      <c r="G168" s="222">
        <v>0.08333333333333333</v>
      </c>
      <c r="H168" s="134" t="s">
        <v>411</v>
      </c>
      <c r="I168" s="223" t="s">
        <v>411</v>
      </c>
      <c r="J168" s="223" t="b">
        <f t="shared" si="1"/>
        <v>1</v>
      </c>
      <c r="K168" s="145" t="s">
        <v>576</v>
      </c>
      <c r="L168" s="156"/>
      <c r="M168" s="134" t="s">
        <v>452</v>
      </c>
      <c r="N168" s="224">
        <v>0.0</v>
      </c>
      <c r="O168" s="117" t="b">
        <f t="shared" si="2"/>
        <v>1</v>
      </c>
      <c r="P168" s="117" t="b">
        <v>0</v>
      </c>
      <c r="Q168" s="117" t="s">
        <v>368</v>
      </c>
    </row>
    <row r="169" hidden="1">
      <c r="A169" s="108"/>
      <c r="B169" s="220"/>
      <c r="C169" s="134" t="s">
        <v>453</v>
      </c>
      <c r="D169" s="220" t="str">
        <f>vlookup(M169,'Página10'!A:B,2,false)</f>
        <v>INOV00032</v>
      </c>
      <c r="E169" s="134" t="s">
        <v>137</v>
      </c>
      <c r="F169" s="221">
        <v>44999.0</v>
      </c>
      <c r="G169" s="222">
        <v>0.041666666666666664</v>
      </c>
      <c r="H169" s="134" t="s">
        <v>411</v>
      </c>
      <c r="I169" s="223" t="s">
        <v>411</v>
      </c>
      <c r="J169" s="223" t="b">
        <f t="shared" si="1"/>
        <v>1</v>
      </c>
      <c r="K169" s="145" t="s">
        <v>577</v>
      </c>
      <c r="L169" s="156"/>
      <c r="M169" s="134" t="s">
        <v>452</v>
      </c>
      <c r="N169" s="224">
        <v>0.0</v>
      </c>
      <c r="O169" s="117" t="b">
        <f t="shared" si="2"/>
        <v>1</v>
      </c>
      <c r="P169" s="117" t="b">
        <v>0</v>
      </c>
      <c r="Q169" s="117" t="s">
        <v>368</v>
      </c>
    </row>
    <row r="170" hidden="1">
      <c r="A170" s="108"/>
      <c r="B170" s="220"/>
      <c r="C170" s="134" t="s">
        <v>68</v>
      </c>
      <c r="D170" s="220" t="str">
        <f>vlookup(M170,'Página10'!A:B,2,false)</f>
        <v>INOV00040</v>
      </c>
      <c r="E170" s="134" t="s">
        <v>137</v>
      </c>
      <c r="F170" s="221">
        <v>45000.0</v>
      </c>
      <c r="G170" s="222">
        <v>0.020833333333333332</v>
      </c>
      <c r="H170" s="134" t="s">
        <v>411</v>
      </c>
      <c r="I170" s="223" t="s">
        <v>411</v>
      </c>
      <c r="J170" s="223" t="b">
        <f t="shared" si="1"/>
        <v>1</v>
      </c>
      <c r="K170" s="145" t="s">
        <v>578</v>
      </c>
      <c r="L170" s="156"/>
      <c r="M170" s="134" t="s">
        <v>462</v>
      </c>
      <c r="N170" s="224">
        <v>0.0</v>
      </c>
      <c r="O170" s="117" t="b">
        <f t="shared" si="2"/>
        <v>1</v>
      </c>
      <c r="P170" s="117" t="b">
        <v>0</v>
      </c>
      <c r="Q170" s="117" t="s">
        <v>368</v>
      </c>
    </row>
    <row r="171" hidden="1">
      <c r="A171" s="108"/>
      <c r="B171" s="220"/>
      <c r="C171" s="134" t="s">
        <v>453</v>
      </c>
      <c r="D171" s="220" t="str">
        <f>vlookup(M171,'Página10'!A:B,2,false)</f>
        <v>INOV00032</v>
      </c>
      <c r="E171" s="134" t="s">
        <v>137</v>
      </c>
      <c r="F171" s="221">
        <v>45000.0</v>
      </c>
      <c r="G171" s="222">
        <v>0.0625</v>
      </c>
      <c r="H171" s="134" t="s">
        <v>411</v>
      </c>
      <c r="I171" s="223" t="s">
        <v>411</v>
      </c>
      <c r="J171" s="223" t="b">
        <f t="shared" si="1"/>
        <v>1</v>
      </c>
      <c r="K171" s="145" t="s">
        <v>575</v>
      </c>
      <c r="L171" s="156"/>
      <c r="M171" s="134" t="s">
        <v>452</v>
      </c>
      <c r="N171" s="224">
        <v>0.0</v>
      </c>
      <c r="O171" s="117" t="b">
        <f t="shared" si="2"/>
        <v>1</v>
      </c>
      <c r="P171" s="117" t="b">
        <v>0</v>
      </c>
      <c r="Q171" s="117" t="s">
        <v>368</v>
      </c>
    </row>
    <row r="172" hidden="1">
      <c r="A172" s="108"/>
      <c r="B172" s="220"/>
      <c r="C172" s="134" t="s">
        <v>453</v>
      </c>
      <c r="D172" s="220" t="str">
        <f>vlookup(M172,'Página10'!A:B,2,false)</f>
        <v>INOV00032</v>
      </c>
      <c r="E172" s="134" t="s">
        <v>137</v>
      </c>
      <c r="F172" s="221">
        <v>45000.0</v>
      </c>
      <c r="G172" s="222">
        <v>0.0625</v>
      </c>
      <c r="H172" s="134" t="s">
        <v>411</v>
      </c>
      <c r="I172" s="223" t="s">
        <v>411</v>
      </c>
      <c r="J172" s="223" t="b">
        <f t="shared" si="1"/>
        <v>1</v>
      </c>
      <c r="K172" s="145" t="s">
        <v>576</v>
      </c>
      <c r="L172" s="156"/>
      <c r="M172" s="134" t="s">
        <v>452</v>
      </c>
      <c r="N172" s="224">
        <v>0.0</v>
      </c>
      <c r="O172" s="117" t="b">
        <f t="shared" si="2"/>
        <v>1</v>
      </c>
      <c r="P172" s="117" t="b">
        <v>0</v>
      </c>
      <c r="Q172" s="117" t="s">
        <v>368</v>
      </c>
    </row>
    <row r="173" hidden="1">
      <c r="A173" s="108"/>
      <c r="B173" s="220"/>
      <c r="C173" s="134" t="s">
        <v>61</v>
      </c>
      <c r="D173" s="220" t="str">
        <f>vlookup(M173,'Página10'!A:B,2,false)</f>
        <v>INOV00031</v>
      </c>
      <c r="E173" s="134" t="s">
        <v>137</v>
      </c>
      <c r="F173" s="221">
        <v>45000.0</v>
      </c>
      <c r="G173" s="222">
        <v>0.041666666666666664</v>
      </c>
      <c r="H173" s="134" t="s">
        <v>411</v>
      </c>
      <c r="I173" s="223" t="s">
        <v>411</v>
      </c>
      <c r="J173" s="223" t="b">
        <f t="shared" si="1"/>
        <v>1</v>
      </c>
      <c r="K173" s="145" t="s">
        <v>579</v>
      </c>
      <c r="L173" s="156"/>
      <c r="M173" s="134" t="s">
        <v>451</v>
      </c>
      <c r="N173" s="224">
        <v>37.76</v>
      </c>
      <c r="O173" s="117" t="b">
        <f t="shared" si="2"/>
        <v>1</v>
      </c>
      <c r="P173" s="117" t="b">
        <v>1</v>
      </c>
      <c r="Q173" s="117" t="s">
        <v>368</v>
      </c>
    </row>
    <row r="174" hidden="1">
      <c r="A174" s="108"/>
      <c r="B174" s="220"/>
      <c r="C174" s="134" t="s">
        <v>68</v>
      </c>
      <c r="D174" s="220" t="str">
        <f>vlookup(M174,'Página10'!A:B,2,false)</f>
        <v>INOV00040</v>
      </c>
      <c r="E174" s="134" t="s">
        <v>137</v>
      </c>
      <c r="F174" s="221">
        <v>45000.0</v>
      </c>
      <c r="G174" s="222">
        <v>0.041666666666666664</v>
      </c>
      <c r="H174" s="134" t="s">
        <v>411</v>
      </c>
      <c r="I174" s="223" t="s">
        <v>411</v>
      </c>
      <c r="J174" s="223" t="b">
        <f t="shared" si="1"/>
        <v>1</v>
      </c>
      <c r="K174" s="145" t="s">
        <v>580</v>
      </c>
      <c r="L174" s="156"/>
      <c r="M174" s="134" t="s">
        <v>462</v>
      </c>
      <c r="N174" s="224">
        <v>0.0</v>
      </c>
      <c r="O174" s="117" t="b">
        <f t="shared" si="2"/>
        <v>1</v>
      </c>
      <c r="P174" s="117" t="b">
        <v>0</v>
      </c>
      <c r="Q174" s="117" t="s">
        <v>368</v>
      </c>
    </row>
    <row r="175" hidden="1">
      <c r="A175" s="108"/>
      <c r="B175" s="220"/>
      <c r="C175" s="134" t="s">
        <v>50</v>
      </c>
      <c r="D175" s="220" t="str">
        <f>vlookup(M175,'Página10'!A:B,2,false)</f>
        <v>INOV00006</v>
      </c>
      <c r="E175" s="134" t="s">
        <v>137</v>
      </c>
      <c r="F175" s="221">
        <v>45000.0</v>
      </c>
      <c r="G175" s="222">
        <v>0.041666666666666664</v>
      </c>
      <c r="H175" s="134" t="s">
        <v>411</v>
      </c>
      <c r="I175" s="223" t="s">
        <v>411</v>
      </c>
      <c r="J175" s="223" t="b">
        <f t="shared" si="1"/>
        <v>1</v>
      </c>
      <c r="K175" s="145" t="s">
        <v>581</v>
      </c>
      <c r="L175" s="156"/>
      <c r="M175" s="134" t="s">
        <v>422</v>
      </c>
      <c r="N175" s="224">
        <v>37.76</v>
      </c>
      <c r="O175" s="117" t="b">
        <f t="shared" si="2"/>
        <v>1</v>
      </c>
      <c r="P175" s="117" t="b">
        <v>1</v>
      </c>
      <c r="Q175" s="117" t="s">
        <v>368</v>
      </c>
    </row>
    <row r="176" hidden="1">
      <c r="A176" s="108"/>
      <c r="B176" s="220"/>
      <c r="C176" s="134" t="s">
        <v>453</v>
      </c>
      <c r="D176" s="220" t="str">
        <f>vlookup(M176,'Página10'!A:B,2,false)</f>
        <v>INOV00032</v>
      </c>
      <c r="E176" s="134" t="s">
        <v>137</v>
      </c>
      <c r="F176" s="221">
        <v>45002.0</v>
      </c>
      <c r="G176" s="222">
        <v>0.3333333333333333</v>
      </c>
      <c r="H176" s="134" t="s">
        <v>411</v>
      </c>
      <c r="I176" s="223" t="s">
        <v>411</v>
      </c>
      <c r="J176" s="223" t="b">
        <f t="shared" si="1"/>
        <v>1</v>
      </c>
      <c r="K176" s="145" t="s">
        <v>582</v>
      </c>
      <c r="L176" s="156"/>
      <c r="M176" s="134" t="s">
        <v>452</v>
      </c>
      <c r="N176" s="224">
        <v>0.0</v>
      </c>
      <c r="O176" s="117" t="b">
        <f t="shared" si="2"/>
        <v>1</v>
      </c>
      <c r="P176" s="117" t="b">
        <v>0</v>
      </c>
      <c r="Q176" s="117" t="s">
        <v>368</v>
      </c>
    </row>
    <row r="177" hidden="1">
      <c r="A177" s="108"/>
      <c r="B177" s="220"/>
      <c r="C177" s="134" t="s">
        <v>453</v>
      </c>
      <c r="D177" s="220" t="str">
        <f>vlookup(M177,'Página10'!A:B,2,false)</f>
        <v>INOV00032</v>
      </c>
      <c r="E177" s="134" t="s">
        <v>137</v>
      </c>
      <c r="F177" s="221">
        <v>45005.0</v>
      </c>
      <c r="G177" s="222">
        <v>0.08333333333333333</v>
      </c>
      <c r="H177" s="134" t="s">
        <v>411</v>
      </c>
      <c r="I177" s="223" t="s">
        <v>411</v>
      </c>
      <c r="J177" s="223" t="b">
        <f t="shared" si="1"/>
        <v>1</v>
      </c>
      <c r="K177" s="145" t="s">
        <v>583</v>
      </c>
      <c r="L177" s="156"/>
      <c r="M177" s="134" t="s">
        <v>452</v>
      </c>
      <c r="N177" s="224">
        <v>0.0</v>
      </c>
      <c r="O177" s="117" t="b">
        <f t="shared" si="2"/>
        <v>1</v>
      </c>
      <c r="P177" s="117" t="b">
        <v>0</v>
      </c>
      <c r="Q177" s="117" t="s">
        <v>368</v>
      </c>
    </row>
    <row r="178" hidden="1">
      <c r="A178" s="108"/>
      <c r="B178" s="220"/>
      <c r="C178" s="134" t="s">
        <v>453</v>
      </c>
      <c r="D178" s="220" t="str">
        <f>vlookup(M178,'Página10'!A:B,2,false)</f>
        <v>INOV00032</v>
      </c>
      <c r="E178" s="134" t="s">
        <v>137</v>
      </c>
      <c r="F178" s="221">
        <v>45006.0</v>
      </c>
      <c r="G178" s="222">
        <v>0.041666666666666664</v>
      </c>
      <c r="H178" s="134" t="s">
        <v>411</v>
      </c>
      <c r="I178" s="223" t="s">
        <v>411</v>
      </c>
      <c r="J178" s="223" t="b">
        <f t="shared" si="1"/>
        <v>1</v>
      </c>
      <c r="K178" s="145" t="s">
        <v>584</v>
      </c>
      <c r="L178" s="156"/>
      <c r="M178" s="134" t="s">
        <v>452</v>
      </c>
      <c r="N178" s="224">
        <v>0.0</v>
      </c>
      <c r="O178" s="117" t="b">
        <f t="shared" si="2"/>
        <v>1</v>
      </c>
      <c r="P178" s="117" t="b">
        <v>0</v>
      </c>
      <c r="Q178" s="117" t="s">
        <v>368</v>
      </c>
    </row>
    <row r="179" hidden="1">
      <c r="A179" s="108"/>
      <c r="B179" s="220"/>
      <c r="C179" s="134" t="s">
        <v>453</v>
      </c>
      <c r="D179" s="220" t="str">
        <f>vlookup(M179,'Página10'!A:B,2,false)</f>
        <v>INOV00032</v>
      </c>
      <c r="E179" s="134" t="s">
        <v>137</v>
      </c>
      <c r="F179" s="221">
        <v>45008.0</v>
      </c>
      <c r="G179" s="222">
        <v>0.08333333333333333</v>
      </c>
      <c r="H179" s="134" t="s">
        <v>411</v>
      </c>
      <c r="I179" s="223" t="s">
        <v>411</v>
      </c>
      <c r="J179" s="223" t="b">
        <f t="shared" si="1"/>
        <v>1</v>
      </c>
      <c r="K179" s="145" t="s">
        <v>585</v>
      </c>
      <c r="L179" s="156"/>
      <c r="M179" s="134" t="s">
        <v>452</v>
      </c>
      <c r="N179" s="224">
        <v>0.0</v>
      </c>
      <c r="O179" s="117" t="b">
        <f t="shared" si="2"/>
        <v>1</v>
      </c>
      <c r="P179" s="117" t="b">
        <v>0</v>
      </c>
      <c r="Q179" s="117" t="s">
        <v>368</v>
      </c>
    </row>
    <row r="180" hidden="1">
      <c r="A180" s="108"/>
      <c r="B180" s="220"/>
      <c r="C180" s="134" t="s">
        <v>50</v>
      </c>
      <c r="D180" s="220" t="str">
        <f>vlookup(M180,'Página10'!A:B,2,false)</f>
        <v>INOV00006</v>
      </c>
      <c r="E180" s="134" t="s">
        <v>137</v>
      </c>
      <c r="F180" s="221">
        <v>45008.0</v>
      </c>
      <c r="G180" s="222">
        <v>0.03125</v>
      </c>
      <c r="H180" s="134" t="s">
        <v>411</v>
      </c>
      <c r="I180" s="223" t="s">
        <v>411</v>
      </c>
      <c r="J180" s="223" t="b">
        <f t="shared" si="1"/>
        <v>1</v>
      </c>
      <c r="K180" s="145" t="s">
        <v>586</v>
      </c>
      <c r="L180" s="156"/>
      <c r="M180" s="134" t="s">
        <v>422</v>
      </c>
      <c r="N180" s="224">
        <v>28.32</v>
      </c>
      <c r="O180" s="117" t="b">
        <f t="shared" si="2"/>
        <v>1</v>
      </c>
      <c r="P180" s="117" t="b">
        <v>1</v>
      </c>
      <c r="Q180" s="117" t="s">
        <v>368</v>
      </c>
    </row>
    <row r="181" hidden="1">
      <c r="A181" s="108"/>
      <c r="B181" s="220"/>
      <c r="C181" s="134" t="s">
        <v>51</v>
      </c>
      <c r="D181" s="220" t="str">
        <f>vlookup(M181,'Página10'!A:B,2,false)</f>
        <v>INOV00010</v>
      </c>
      <c r="E181" s="134" t="s">
        <v>137</v>
      </c>
      <c r="F181" s="221">
        <v>45008.0</v>
      </c>
      <c r="G181" s="222">
        <v>0.03125</v>
      </c>
      <c r="H181" s="134" t="s">
        <v>411</v>
      </c>
      <c r="I181" s="223" t="s">
        <v>411</v>
      </c>
      <c r="J181" s="223" t="b">
        <f t="shared" si="1"/>
        <v>1</v>
      </c>
      <c r="K181" s="145" t="s">
        <v>587</v>
      </c>
      <c r="L181" s="156"/>
      <c r="M181" s="134" t="s">
        <v>423</v>
      </c>
      <c r="N181" s="224">
        <v>28.32</v>
      </c>
      <c r="O181" s="117" t="b">
        <f t="shared" si="2"/>
        <v>1</v>
      </c>
      <c r="P181" s="117" t="b">
        <v>1</v>
      </c>
      <c r="Q181" s="117" t="s">
        <v>368</v>
      </c>
    </row>
    <row r="182" hidden="1">
      <c r="A182" s="108"/>
      <c r="B182" s="220"/>
      <c r="C182" s="134" t="s">
        <v>50</v>
      </c>
      <c r="D182" s="220" t="str">
        <f>vlookup(M182,'Página10'!A:B,2,false)</f>
        <v>INOV00006</v>
      </c>
      <c r="E182" s="134" t="s">
        <v>137</v>
      </c>
      <c r="F182" s="221">
        <v>45009.0</v>
      </c>
      <c r="G182" s="222">
        <v>0.020833333333333332</v>
      </c>
      <c r="H182" s="134" t="s">
        <v>479</v>
      </c>
      <c r="I182" s="223" t="s">
        <v>479</v>
      </c>
      <c r="J182" s="223" t="b">
        <f t="shared" si="1"/>
        <v>1</v>
      </c>
      <c r="K182" s="145" t="s">
        <v>588</v>
      </c>
      <c r="L182" s="156"/>
      <c r="M182" s="134" t="s">
        <v>422</v>
      </c>
      <c r="N182" s="224">
        <v>0.0</v>
      </c>
      <c r="O182" s="117" t="b">
        <f t="shared" si="2"/>
        <v>0</v>
      </c>
      <c r="P182" s="117" t="b">
        <v>1</v>
      </c>
      <c r="Q182" s="117" t="s">
        <v>368</v>
      </c>
    </row>
    <row r="183" hidden="1">
      <c r="A183" s="108"/>
      <c r="B183" s="220"/>
      <c r="C183" s="134" t="s">
        <v>51</v>
      </c>
      <c r="D183" s="220" t="str">
        <f>vlookup(M183,'Página10'!A:B,2,false)</f>
        <v>INOV00010</v>
      </c>
      <c r="E183" s="134" t="s">
        <v>137</v>
      </c>
      <c r="F183" s="221">
        <v>45014.0</v>
      </c>
      <c r="G183" s="222">
        <v>0.0625</v>
      </c>
      <c r="H183" s="134" t="s">
        <v>411</v>
      </c>
      <c r="I183" s="223" t="s">
        <v>411</v>
      </c>
      <c r="J183" s="223" t="b">
        <f t="shared" si="1"/>
        <v>1</v>
      </c>
      <c r="K183" s="145" t="s">
        <v>589</v>
      </c>
      <c r="L183" s="156"/>
      <c r="M183" s="134" t="s">
        <v>423</v>
      </c>
      <c r="N183" s="224">
        <v>56.64</v>
      </c>
      <c r="O183" s="117" t="b">
        <f t="shared" si="2"/>
        <v>1</v>
      </c>
      <c r="P183" s="117" t="b">
        <v>1</v>
      </c>
      <c r="Q183" s="117" t="s">
        <v>368</v>
      </c>
    </row>
    <row r="184" hidden="1">
      <c r="A184" s="108"/>
      <c r="B184" s="220"/>
      <c r="C184" s="134" t="s">
        <v>68</v>
      </c>
      <c r="D184" s="220" t="str">
        <f>vlookup(M184,'Página10'!A:B,2,false)</f>
        <v>INOV00040</v>
      </c>
      <c r="E184" s="134" t="s">
        <v>137</v>
      </c>
      <c r="F184" s="221">
        <v>45015.0</v>
      </c>
      <c r="G184" s="222">
        <v>0.125</v>
      </c>
      <c r="H184" s="134" t="s">
        <v>411</v>
      </c>
      <c r="I184" s="223" t="s">
        <v>411</v>
      </c>
      <c r="J184" s="223" t="b">
        <f t="shared" si="1"/>
        <v>1</v>
      </c>
      <c r="K184" s="145" t="s">
        <v>590</v>
      </c>
      <c r="L184" s="156"/>
      <c r="M184" s="134" t="s">
        <v>462</v>
      </c>
      <c r="N184" s="224">
        <v>0.0</v>
      </c>
      <c r="O184" s="117" t="b">
        <f t="shared" si="2"/>
        <v>1</v>
      </c>
      <c r="P184" s="117" t="b">
        <v>0</v>
      </c>
      <c r="Q184" s="117" t="s">
        <v>368</v>
      </c>
    </row>
    <row r="185" hidden="1">
      <c r="A185" s="108"/>
      <c r="B185" s="220"/>
      <c r="C185" s="134" t="s">
        <v>50</v>
      </c>
      <c r="D185" s="220" t="str">
        <f>vlookup(M185,'Página10'!A:B,2,false)</f>
        <v>INOV00006</v>
      </c>
      <c r="E185" s="134" t="s">
        <v>137</v>
      </c>
      <c r="F185" s="221">
        <v>45016.0</v>
      </c>
      <c r="G185" s="222">
        <v>0.2708333333333333</v>
      </c>
      <c r="H185" s="134" t="s">
        <v>411</v>
      </c>
      <c r="I185" s="223" t="s">
        <v>411</v>
      </c>
      <c r="J185" s="223" t="b">
        <f t="shared" si="1"/>
        <v>1</v>
      </c>
      <c r="K185" s="145" t="s">
        <v>591</v>
      </c>
      <c r="L185" s="156"/>
      <c r="M185" s="134" t="s">
        <v>422</v>
      </c>
      <c r="N185" s="224">
        <v>245.42</v>
      </c>
      <c r="O185" s="117" t="b">
        <f t="shared" si="2"/>
        <v>1</v>
      </c>
      <c r="P185" s="117" t="b">
        <v>1</v>
      </c>
      <c r="Q185" s="117" t="s">
        <v>368</v>
      </c>
    </row>
    <row r="186" hidden="1">
      <c r="A186" s="108"/>
      <c r="B186" s="220"/>
      <c r="C186" s="134" t="s">
        <v>49</v>
      </c>
      <c r="D186" s="220" t="str">
        <f>vlookup(M186,'Página10'!A:B,2,false)</f>
        <v>INOV00004</v>
      </c>
      <c r="E186" s="134" t="s">
        <v>126</v>
      </c>
      <c r="F186" s="221">
        <v>44932.0</v>
      </c>
      <c r="G186" s="222">
        <v>0.16666666666666666</v>
      </c>
      <c r="H186" s="134" t="s">
        <v>411</v>
      </c>
      <c r="I186" s="223" t="s">
        <v>411</v>
      </c>
      <c r="J186" s="223" t="b">
        <f t="shared" si="1"/>
        <v>1</v>
      </c>
      <c r="K186" s="145" t="s">
        <v>592</v>
      </c>
      <c r="L186" s="156"/>
      <c r="M186" s="134" t="s">
        <v>421</v>
      </c>
      <c r="N186" s="224">
        <v>177.35</v>
      </c>
      <c r="O186" s="117" t="b">
        <f t="shared" si="2"/>
        <v>1</v>
      </c>
      <c r="P186" s="117" t="b">
        <v>1</v>
      </c>
      <c r="Q186" s="117" t="s">
        <v>368</v>
      </c>
    </row>
    <row r="187" hidden="1">
      <c r="A187" s="108"/>
      <c r="B187" s="220"/>
      <c r="C187" s="134" t="s">
        <v>49</v>
      </c>
      <c r="D187" s="220" t="str">
        <f>vlookup(M187,'Página10'!A:B,2,false)</f>
        <v>INOV00004</v>
      </c>
      <c r="E187" s="134" t="s">
        <v>126</v>
      </c>
      <c r="F187" s="221">
        <v>44935.0</v>
      </c>
      <c r="G187" s="222">
        <v>0.16666666666666666</v>
      </c>
      <c r="H187" s="134" t="s">
        <v>411</v>
      </c>
      <c r="I187" s="223" t="s">
        <v>411</v>
      </c>
      <c r="J187" s="223" t="b">
        <f t="shared" si="1"/>
        <v>1</v>
      </c>
      <c r="K187" s="145" t="s">
        <v>592</v>
      </c>
      <c r="L187" s="156"/>
      <c r="M187" s="134" t="s">
        <v>421</v>
      </c>
      <c r="N187" s="224">
        <v>177.35</v>
      </c>
      <c r="O187" s="117" t="b">
        <f t="shared" si="2"/>
        <v>1</v>
      </c>
      <c r="P187" s="117" t="b">
        <v>1</v>
      </c>
      <c r="Q187" s="117" t="s">
        <v>368</v>
      </c>
    </row>
    <row r="188" hidden="1">
      <c r="A188" s="108"/>
      <c r="B188" s="220"/>
      <c r="C188" s="134" t="s">
        <v>433</v>
      </c>
      <c r="D188" s="220" t="str">
        <f>vlookup(M188,'Página10'!A:B,2,false)</f>
        <v>INOV00019</v>
      </c>
      <c r="E188" s="134" t="s">
        <v>126</v>
      </c>
      <c r="F188" s="221">
        <v>44935.0</v>
      </c>
      <c r="G188" s="222">
        <v>0.16666666666666666</v>
      </c>
      <c r="H188" s="134" t="s">
        <v>411</v>
      </c>
      <c r="I188" s="223" t="s">
        <v>411</v>
      </c>
      <c r="J188" s="223" t="b">
        <f t="shared" si="1"/>
        <v>1</v>
      </c>
      <c r="K188" s="145" t="s">
        <v>592</v>
      </c>
      <c r="L188" s="156"/>
      <c r="M188" s="134" t="s">
        <v>432</v>
      </c>
      <c r="N188" s="224">
        <v>0.0</v>
      </c>
      <c r="O188" s="117" t="b">
        <f t="shared" si="2"/>
        <v>1</v>
      </c>
      <c r="P188" s="117" t="b">
        <v>0</v>
      </c>
      <c r="Q188" s="117" t="s">
        <v>368</v>
      </c>
    </row>
    <row r="189" hidden="1">
      <c r="A189" s="108"/>
      <c r="B189" s="220"/>
      <c r="C189" s="134" t="s">
        <v>49</v>
      </c>
      <c r="D189" s="220" t="str">
        <f>vlookup(M189,'Página10'!A:B,2,false)</f>
        <v>INOV00004</v>
      </c>
      <c r="E189" s="134" t="s">
        <v>126</v>
      </c>
      <c r="F189" s="221">
        <v>44936.0</v>
      </c>
      <c r="G189" s="222">
        <v>0.20833333333333334</v>
      </c>
      <c r="H189" s="134" t="s">
        <v>411</v>
      </c>
      <c r="I189" s="223" t="s">
        <v>411</v>
      </c>
      <c r="J189" s="223" t="b">
        <f t="shared" si="1"/>
        <v>1</v>
      </c>
      <c r="K189" s="145" t="s">
        <v>592</v>
      </c>
      <c r="L189" s="156"/>
      <c r="M189" s="134" t="s">
        <v>421</v>
      </c>
      <c r="N189" s="224">
        <v>221.69</v>
      </c>
      <c r="O189" s="117" t="b">
        <f t="shared" si="2"/>
        <v>1</v>
      </c>
      <c r="P189" s="117" t="b">
        <v>1</v>
      </c>
      <c r="Q189" s="117" t="s">
        <v>368</v>
      </c>
    </row>
    <row r="190" hidden="1">
      <c r="A190" s="108"/>
      <c r="B190" s="220"/>
      <c r="C190" s="134" t="s">
        <v>62</v>
      </c>
      <c r="D190" s="220" t="str">
        <f>vlookup(M190,'Página10'!A:B,2,false)</f>
        <v>INOV00034</v>
      </c>
      <c r="E190" s="134" t="s">
        <v>126</v>
      </c>
      <c r="F190" s="221">
        <v>44937.0</v>
      </c>
      <c r="G190" s="222">
        <v>0.08333333333333333</v>
      </c>
      <c r="H190" s="134" t="s">
        <v>475</v>
      </c>
      <c r="I190" s="223" t="s">
        <v>475</v>
      </c>
      <c r="J190" s="223" t="b">
        <f t="shared" si="1"/>
        <v>1</v>
      </c>
      <c r="K190" s="145" t="s">
        <v>593</v>
      </c>
      <c r="L190" s="156"/>
      <c r="M190" s="134" t="s">
        <v>456</v>
      </c>
      <c r="N190" s="224">
        <v>0.0</v>
      </c>
      <c r="O190" s="117" t="b">
        <f t="shared" si="2"/>
        <v>1</v>
      </c>
      <c r="P190" s="117" t="b">
        <v>1</v>
      </c>
      <c r="Q190" s="117" t="s">
        <v>368</v>
      </c>
    </row>
    <row r="191" hidden="1">
      <c r="A191" s="108"/>
      <c r="B191" s="220"/>
      <c r="C191" s="134" t="s">
        <v>49</v>
      </c>
      <c r="D191" s="220" t="str">
        <f>vlookup(M191,'Página10'!A:B,2,false)</f>
        <v>INOV00004</v>
      </c>
      <c r="E191" s="134" t="s">
        <v>126</v>
      </c>
      <c r="F191" s="221">
        <v>44937.0</v>
      </c>
      <c r="G191" s="222">
        <v>0.16666666666666666</v>
      </c>
      <c r="H191" s="134" t="s">
        <v>411</v>
      </c>
      <c r="I191" s="223" t="s">
        <v>411</v>
      </c>
      <c r="J191" s="223" t="b">
        <f t="shared" si="1"/>
        <v>1</v>
      </c>
      <c r="K191" s="145" t="s">
        <v>592</v>
      </c>
      <c r="L191" s="156"/>
      <c r="M191" s="134" t="s">
        <v>421</v>
      </c>
      <c r="N191" s="224">
        <v>177.35</v>
      </c>
      <c r="O191" s="117" t="b">
        <f t="shared" si="2"/>
        <v>1</v>
      </c>
      <c r="P191" s="117" t="b">
        <v>1</v>
      </c>
      <c r="Q191" s="117" t="s">
        <v>368</v>
      </c>
    </row>
    <row r="192" hidden="1">
      <c r="A192" s="108"/>
      <c r="B192" s="220"/>
      <c r="C192" s="134" t="s">
        <v>49</v>
      </c>
      <c r="D192" s="220" t="str">
        <f>vlookup(M192,'Página10'!A:B,2,false)</f>
        <v>INOV00004</v>
      </c>
      <c r="E192" s="134" t="s">
        <v>126</v>
      </c>
      <c r="F192" s="221">
        <v>44939.0</v>
      </c>
      <c r="G192" s="222">
        <v>0.3333333333333333</v>
      </c>
      <c r="H192" s="134" t="s">
        <v>411</v>
      </c>
      <c r="I192" s="223" t="s">
        <v>411</v>
      </c>
      <c r="J192" s="223" t="b">
        <f t="shared" si="1"/>
        <v>1</v>
      </c>
      <c r="K192" s="145" t="s">
        <v>592</v>
      </c>
      <c r="L192" s="156"/>
      <c r="M192" s="134" t="s">
        <v>421</v>
      </c>
      <c r="N192" s="224">
        <v>354.7</v>
      </c>
      <c r="O192" s="117" t="b">
        <f t="shared" si="2"/>
        <v>1</v>
      </c>
      <c r="P192" s="117" t="b">
        <v>1</v>
      </c>
      <c r="Q192" s="117" t="s">
        <v>368</v>
      </c>
    </row>
    <row r="193" hidden="1">
      <c r="A193" s="108"/>
      <c r="B193" s="220"/>
      <c r="C193" s="134" t="s">
        <v>49</v>
      </c>
      <c r="D193" s="220" t="str">
        <f>vlookup(M193,'Página10'!A:B,2,false)</f>
        <v>INOV00004</v>
      </c>
      <c r="E193" s="134" t="s">
        <v>126</v>
      </c>
      <c r="F193" s="221">
        <v>44942.0</v>
      </c>
      <c r="G193" s="222">
        <v>0.125</v>
      </c>
      <c r="H193" s="134" t="s">
        <v>411</v>
      </c>
      <c r="I193" s="223" t="s">
        <v>411</v>
      </c>
      <c r="J193" s="223" t="b">
        <f t="shared" si="1"/>
        <v>1</v>
      </c>
      <c r="K193" s="145" t="s">
        <v>592</v>
      </c>
      <c r="L193" s="156"/>
      <c r="M193" s="134" t="s">
        <v>421</v>
      </c>
      <c r="N193" s="224">
        <v>133.01</v>
      </c>
      <c r="O193" s="117" t="b">
        <f t="shared" si="2"/>
        <v>1</v>
      </c>
      <c r="P193" s="117" t="b">
        <v>1</v>
      </c>
      <c r="Q193" s="117" t="s">
        <v>368</v>
      </c>
    </row>
    <row r="194" hidden="1">
      <c r="A194" s="108"/>
      <c r="B194" s="220"/>
      <c r="C194" s="134" t="s">
        <v>433</v>
      </c>
      <c r="D194" s="220" t="str">
        <f>vlookup(M194,'Página10'!A:B,2,false)</f>
        <v>INOV00019</v>
      </c>
      <c r="E194" s="134" t="s">
        <v>126</v>
      </c>
      <c r="F194" s="221">
        <v>44942.0</v>
      </c>
      <c r="G194" s="222">
        <v>0.125</v>
      </c>
      <c r="H194" s="134" t="s">
        <v>411</v>
      </c>
      <c r="I194" s="223" t="s">
        <v>411</v>
      </c>
      <c r="J194" s="223" t="b">
        <f t="shared" si="1"/>
        <v>1</v>
      </c>
      <c r="K194" s="145" t="s">
        <v>592</v>
      </c>
      <c r="L194" s="156"/>
      <c r="M194" s="134" t="s">
        <v>432</v>
      </c>
      <c r="N194" s="224">
        <v>0.0</v>
      </c>
      <c r="O194" s="117" t="b">
        <f t="shared" si="2"/>
        <v>1</v>
      </c>
      <c r="P194" s="117" t="b">
        <v>0</v>
      </c>
      <c r="Q194" s="117" t="s">
        <v>368</v>
      </c>
    </row>
    <row r="195" hidden="1">
      <c r="A195" s="108"/>
      <c r="B195" s="220"/>
      <c r="C195" s="134" t="s">
        <v>49</v>
      </c>
      <c r="D195" s="220" t="str">
        <f>vlookup(M195,'Página10'!A:B,2,false)</f>
        <v>INOV00004</v>
      </c>
      <c r="E195" s="134" t="s">
        <v>126</v>
      </c>
      <c r="F195" s="221">
        <v>44943.0</v>
      </c>
      <c r="G195" s="222">
        <v>0.25</v>
      </c>
      <c r="H195" s="134" t="s">
        <v>411</v>
      </c>
      <c r="I195" s="223" t="s">
        <v>411</v>
      </c>
      <c r="J195" s="223" t="b">
        <f t="shared" si="1"/>
        <v>1</v>
      </c>
      <c r="K195" s="145" t="s">
        <v>592</v>
      </c>
      <c r="L195" s="156"/>
      <c r="M195" s="134" t="s">
        <v>421</v>
      </c>
      <c r="N195" s="224">
        <v>266.03</v>
      </c>
      <c r="O195" s="117" t="b">
        <f t="shared" si="2"/>
        <v>1</v>
      </c>
      <c r="P195" s="117" t="b">
        <v>1</v>
      </c>
      <c r="Q195" s="117" t="s">
        <v>368</v>
      </c>
    </row>
    <row r="196" hidden="1">
      <c r="A196" s="108"/>
      <c r="B196" s="220"/>
      <c r="C196" s="134" t="s">
        <v>50</v>
      </c>
      <c r="D196" s="220" t="str">
        <f>vlookup(M196,'Página10'!A:B,2,false)</f>
        <v>INOV00006</v>
      </c>
      <c r="E196" s="134" t="s">
        <v>126</v>
      </c>
      <c r="F196" s="221">
        <v>44944.0</v>
      </c>
      <c r="G196" s="222">
        <v>0.3333333333333333</v>
      </c>
      <c r="H196" s="134" t="s">
        <v>411</v>
      </c>
      <c r="I196" s="223" t="s">
        <v>411</v>
      </c>
      <c r="J196" s="223" t="b">
        <f t="shared" si="1"/>
        <v>1</v>
      </c>
      <c r="K196" s="145" t="s">
        <v>592</v>
      </c>
      <c r="L196" s="156"/>
      <c r="M196" s="134" t="s">
        <v>422</v>
      </c>
      <c r="N196" s="224">
        <v>354.7</v>
      </c>
      <c r="O196" s="117" t="b">
        <f t="shared" si="2"/>
        <v>1</v>
      </c>
      <c r="P196" s="117" t="b">
        <v>1</v>
      </c>
      <c r="Q196" s="117" t="s">
        <v>368</v>
      </c>
    </row>
    <row r="197" hidden="1">
      <c r="A197" s="108"/>
      <c r="B197" s="220"/>
      <c r="C197" s="134" t="s">
        <v>49</v>
      </c>
      <c r="D197" s="220" t="str">
        <f>vlookup(M197,'Página10'!A:B,2,false)</f>
        <v>INOV00004</v>
      </c>
      <c r="E197" s="134" t="s">
        <v>126</v>
      </c>
      <c r="F197" s="221">
        <v>44945.0</v>
      </c>
      <c r="G197" s="222">
        <v>0.20833333333333334</v>
      </c>
      <c r="H197" s="134" t="s">
        <v>411</v>
      </c>
      <c r="I197" s="223" t="s">
        <v>411</v>
      </c>
      <c r="J197" s="223" t="b">
        <f t="shared" si="1"/>
        <v>1</v>
      </c>
      <c r="K197" s="145" t="s">
        <v>592</v>
      </c>
      <c r="L197" s="156"/>
      <c r="M197" s="134" t="s">
        <v>421</v>
      </c>
      <c r="N197" s="224">
        <v>221.69</v>
      </c>
      <c r="O197" s="117" t="b">
        <f t="shared" si="2"/>
        <v>1</v>
      </c>
      <c r="P197" s="117" t="b">
        <v>1</v>
      </c>
      <c r="Q197" s="117" t="s">
        <v>368</v>
      </c>
    </row>
    <row r="198" hidden="1">
      <c r="A198" s="108"/>
      <c r="B198" s="220"/>
      <c r="C198" s="134" t="s">
        <v>49</v>
      </c>
      <c r="D198" s="220" t="str">
        <f>vlookup(M198,'Página10'!A:B,2,false)</f>
        <v>INOV00004</v>
      </c>
      <c r="E198" s="134" t="s">
        <v>126</v>
      </c>
      <c r="F198" s="221">
        <v>44946.0</v>
      </c>
      <c r="G198" s="222">
        <v>0.10416666666666667</v>
      </c>
      <c r="H198" s="134" t="s">
        <v>411</v>
      </c>
      <c r="I198" s="223" t="s">
        <v>411</v>
      </c>
      <c r="J198" s="223" t="b">
        <f t="shared" si="1"/>
        <v>1</v>
      </c>
      <c r="K198" s="145" t="s">
        <v>592</v>
      </c>
      <c r="L198" s="156"/>
      <c r="M198" s="134" t="s">
        <v>421</v>
      </c>
      <c r="N198" s="224">
        <v>110.85</v>
      </c>
      <c r="O198" s="117" t="b">
        <f t="shared" si="2"/>
        <v>1</v>
      </c>
      <c r="P198" s="117" t="b">
        <v>1</v>
      </c>
      <c r="Q198" s="117" t="s">
        <v>368</v>
      </c>
    </row>
    <row r="199" hidden="1">
      <c r="A199" s="108"/>
      <c r="B199" s="220"/>
      <c r="C199" s="134" t="s">
        <v>433</v>
      </c>
      <c r="D199" s="220" t="str">
        <f>vlookup(M199,'Página10'!A:B,2,false)</f>
        <v>INOV00019</v>
      </c>
      <c r="E199" s="134" t="s">
        <v>126</v>
      </c>
      <c r="F199" s="221">
        <v>44946.0</v>
      </c>
      <c r="G199" s="222">
        <v>0.20833333333333334</v>
      </c>
      <c r="H199" s="134" t="s">
        <v>411</v>
      </c>
      <c r="I199" s="223" t="s">
        <v>411</v>
      </c>
      <c r="J199" s="223" t="b">
        <f t="shared" si="1"/>
        <v>1</v>
      </c>
      <c r="K199" s="145" t="s">
        <v>592</v>
      </c>
      <c r="L199" s="156"/>
      <c r="M199" s="134" t="s">
        <v>432</v>
      </c>
      <c r="N199" s="224">
        <v>0.0</v>
      </c>
      <c r="O199" s="117" t="b">
        <f t="shared" si="2"/>
        <v>1</v>
      </c>
      <c r="P199" s="117" t="b">
        <v>0</v>
      </c>
      <c r="Q199" s="117" t="s">
        <v>368</v>
      </c>
    </row>
    <row r="200" hidden="1">
      <c r="A200" s="108"/>
      <c r="B200" s="220"/>
      <c r="C200" s="134" t="s">
        <v>62</v>
      </c>
      <c r="D200" s="220" t="str">
        <f>vlookup(M200,'Página10'!A:B,2,false)</f>
        <v>INOV00034</v>
      </c>
      <c r="E200" s="134" t="s">
        <v>126</v>
      </c>
      <c r="F200" s="221">
        <v>44946.0</v>
      </c>
      <c r="G200" s="222">
        <v>0.08333333333333333</v>
      </c>
      <c r="H200" s="134" t="s">
        <v>475</v>
      </c>
      <c r="I200" s="223" t="s">
        <v>475</v>
      </c>
      <c r="J200" s="223" t="b">
        <f t="shared" si="1"/>
        <v>1</v>
      </c>
      <c r="K200" s="145" t="s">
        <v>593</v>
      </c>
      <c r="L200" s="156"/>
      <c r="M200" s="134" t="s">
        <v>456</v>
      </c>
      <c r="N200" s="224">
        <v>0.0</v>
      </c>
      <c r="O200" s="117" t="b">
        <f t="shared" si="2"/>
        <v>1</v>
      </c>
      <c r="P200" s="117" t="b">
        <v>1</v>
      </c>
      <c r="Q200" s="117" t="s">
        <v>368</v>
      </c>
    </row>
    <row r="201" hidden="1">
      <c r="A201" s="108"/>
      <c r="B201" s="220"/>
      <c r="C201" s="134" t="s">
        <v>50</v>
      </c>
      <c r="D201" s="220" t="str">
        <f>vlookup(M201,'Página10'!A:B,2,false)</f>
        <v>INOV00006</v>
      </c>
      <c r="E201" s="134" t="s">
        <v>126</v>
      </c>
      <c r="F201" s="221">
        <v>44949.0</v>
      </c>
      <c r="G201" s="222">
        <v>0.3333333333333333</v>
      </c>
      <c r="H201" s="134" t="s">
        <v>411</v>
      </c>
      <c r="I201" s="223" t="s">
        <v>411</v>
      </c>
      <c r="J201" s="223" t="b">
        <f t="shared" si="1"/>
        <v>1</v>
      </c>
      <c r="K201" s="145" t="s">
        <v>592</v>
      </c>
      <c r="L201" s="156"/>
      <c r="M201" s="134" t="s">
        <v>422</v>
      </c>
      <c r="N201" s="224">
        <v>354.7</v>
      </c>
      <c r="O201" s="117" t="b">
        <f t="shared" si="2"/>
        <v>1</v>
      </c>
      <c r="P201" s="117" t="b">
        <v>1</v>
      </c>
      <c r="Q201" s="117" t="s">
        <v>368</v>
      </c>
    </row>
    <row r="202" hidden="1">
      <c r="A202" s="108"/>
      <c r="B202" s="220"/>
      <c r="C202" s="134" t="s">
        <v>50</v>
      </c>
      <c r="D202" s="220" t="str">
        <f>vlookup(M202,'Página10'!A:B,2,false)</f>
        <v>INOV00006</v>
      </c>
      <c r="E202" s="134" t="s">
        <v>126</v>
      </c>
      <c r="F202" s="221">
        <v>44950.0</v>
      </c>
      <c r="G202" s="222">
        <v>0.1875</v>
      </c>
      <c r="H202" s="134" t="s">
        <v>411</v>
      </c>
      <c r="I202" s="223" t="s">
        <v>411</v>
      </c>
      <c r="J202" s="223" t="b">
        <f t="shared" si="1"/>
        <v>1</v>
      </c>
      <c r="K202" s="145" t="s">
        <v>592</v>
      </c>
      <c r="L202" s="156"/>
      <c r="M202" s="134" t="s">
        <v>422</v>
      </c>
      <c r="N202" s="224">
        <v>199.52</v>
      </c>
      <c r="O202" s="117" t="b">
        <f t="shared" si="2"/>
        <v>1</v>
      </c>
      <c r="P202" s="117" t="b">
        <v>1</v>
      </c>
      <c r="Q202" s="117" t="s">
        <v>368</v>
      </c>
    </row>
    <row r="203" hidden="1">
      <c r="A203" s="108"/>
      <c r="B203" s="220"/>
      <c r="C203" s="134" t="s">
        <v>435</v>
      </c>
      <c r="D203" s="220" t="str">
        <f>vlookup(M203,'Página10'!A:B,2,false)</f>
        <v>INOV00020</v>
      </c>
      <c r="E203" s="134" t="s">
        <v>126</v>
      </c>
      <c r="F203" s="221">
        <v>44951.0</v>
      </c>
      <c r="G203" s="222">
        <v>0.08333333333333333</v>
      </c>
      <c r="H203" s="134" t="s">
        <v>411</v>
      </c>
      <c r="I203" s="223" t="s">
        <v>411</v>
      </c>
      <c r="J203" s="223" t="b">
        <f t="shared" si="1"/>
        <v>1</v>
      </c>
      <c r="K203" s="145" t="s">
        <v>592</v>
      </c>
      <c r="L203" s="156"/>
      <c r="M203" s="134" t="s">
        <v>434</v>
      </c>
      <c r="N203" s="224">
        <v>0.0</v>
      </c>
      <c r="O203" s="117" t="b">
        <f t="shared" si="2"/>
        <v>1</v>
      </c>
      <c r="P203" s="117" t="b">
        <v>0</v>
      </c>
      <c r="Q203" s="117" t="s">
        <v>368</v>
      </c>
    </row>
    <row r="204" hidden="1">
      <c r="A204" s="108"/>
      <c r="B204" s="220"/>
      <c r="C204" s="134" t="s">
        <v>49</v>
      </c>
      <c r="D204" s="220" t="str">
        <f>vlookup(M204,'Página10'!A:B,2,false)</f>
        <v>INOV00004</v>
      </c>
      <c r="E204" s="134" t="s">
        <v>126</v>
      </c>
      <c r="F204" s="221">
        <v>44951.0</v>
      </c>
      <c r="G204" s="222">
        <v>0.041666666666666664</v>
      </c>
      <c r="H204" s="134" t="s">
        <v>411</v>
      </c>
      <c r="I204" s="223" t="s">
        <v>411</v>
      </c>
      <c r="J204" s="223" t="b">
        <f t="shared" si="1"/>
        <v>1</v>
      </c>
      <c r="K204" s="145" t="s">
        <v>592</v>
      </c>
      <c r="L204" s="156"/>
      <c r="M204" s="134" t="s">
        <v>421</v>
      </c>
      <c r="N204" s="224">
        <v>0.0</v>
      </c>
      <c r="O204" s="117" t="b">
        <f t="shared" si="2"/>
        <v>1</v>
      </c>
      <c r="P204" s="117" t="b">
        <v>1</v>
      </c>
      <c r="Q204" s="117" t="s">
        <v>368</v>
      </c>
    </row>
    <row r="205" hidden="1">
      <c r="A205" s="108"/>
      <c r="B205" s="220"/>
      <c r="C205" s="134" t="s">
        <v>62</v>
      </c>
      <c r="D205" s="220" t="str">
        <f>vlookup(M205,'Página10'!A:B,2,false)</f>
        <v>INOV00034</v>
      </c>
      <c r="E205" s="134" t="s">
        <v>126</v>
      </c>
      <c r="F205" s="221">
        <v>44953.0</v>
      </c>
      <c r="G205" s="222">
        <v>0.125</v>
      </c>
      <c r="H205" s="134" t="s">
        <v>475</v>
      </c>
      <c r="I205" s="223" t="s">
        <v>475</v>
      </c>
      <c r="J205" s="223" t="b">
        <f t="shared" si="1"/>
        <v>1</v>
      </c>
      <c r="K205" s="145" t="s">
        <v>593</v>
      </c>
      <c r="L205" s="156"/>
      <c r="M205" s="134" t="s">
        <v>456</v>
      </c>
      <c r="N205" s="224">
        <v>0.0</v>
      </c>
      <c r="O205" s="117" t="b">
        <f t="shared" si="2"/>
        <v>1</v>
      </c>
      <c r="P205" s="117" t="b">
        <v>1</v>
      </c>
      <c r="Q205" s="117" t="s">
        <v>368</v>
      </c>
    </row>
    <row r="206" hidden="1">
      <c r="A206" s="108"/>
      <c r="B206" s="220"/>
      <c r="C206" s="134" t="s">
        <v>63</v>
      </c>
      <c r="D206" s="220" t="str">
        <f>vlookup(M206,'Página10'!A:B,2,false)</f>
        <v>INOV00035</v>
      </c>
      <c r="E206" s="134" t="s">
        <v>126</v>
      </c>
      <c r="F206" s="221">
        <v>44956.0</v>
      </c>
      <c r="G206" s="222">
        <v>0.20833333333333334</v>
      </c>
      <c r="H206" s="134" t="s">
        <v>475</v>
      </c>
      <c r="I206" s="223" t="s">
        <v>475</v>
      </c>
      <c r="J206" s="223" t="b">
        <f t="shared" si="1"/>
        <v>1</v>
      </c>
      <c r="K206" s="145" t="s">
        <v>594</v>
      </c>
      <c r="L206" s="156"/>
      <c r="M206" s="134" t="s">
        <v>457</v>
      </c>
      <c r="N206" s="224">
        <v>0.0</v>
      </c>
      <c r="O206" s="117" t="b">
        <f t="shared" si="2"/>
        <v>1</v>
      </c>
      <c r="P206" s="117" t="b">
        <v>1</v>
      </c>
      <c r="Q206" s="117" t="s">
        <v>368</v>
      </c>
    </row>
    <row r="207" hidden="1">
      <c r="A207" s="108"/>
      <c r="B207" s="220"/>
      <c r="C207" s="134" t="s">
        <v>50</v>
      </c>
      <c r="D207" s="220" t="str">
        <f>vlookup(M207,'Página10'!A:B,2,false)</f>
        <v>INOV00006</v>
      </c>
      <c r="E207" s="134" t="s">
        <v>126</v>
      </c>
      <c r="F207" s="221">
        <v>44956.0</v>
      </c>
      <c r="G207" s="222">
        <v>0.125</v>
      </c>
      <c r="H207" s="134" t="s">
        <v>411</v>
      </c>
      <c r="I207" s="223" t="s">
        <v>411</v>
      </c>
      <c r="J207" s="223" t="b">
        <f t="shared" si="1"/>
        <v>1</v>
      </c>
      <c r="K207" s="145" t="s">
        <v>592</v>
      </c>
      <c r="L207" s="156"/>
      <c r="M207" s="134" t="s">
        <v>422</v>
      </c>
      <c r="N207" s="224">
        <v>0.0</v>
      </c>
      <c r="O207" s="117" t="b">
        <f t="shared" si="2"/>
        <v>1</v>
      </c>
      <c r="P207" s="117" t="b">
        <v>1</v>
      </c>
      <c r="Q207" s="117" t="s">
        <v>368</v>
      </c>
    </row>
    <row r="208" hidden="1">
      <c r="A208" s="108"/>
      <c r="B208" s="220"/>
      <c r="C208" s="134" t="s">
        <v>50</v>
      </c>
      <c r="D208" s="220" t="str">
        <f>vlookup(M208,'Página10'!A:B,2,false)</f>
        <v>INOV00006</v>
      </c>
      <c r="E208" s="134" t="s">
        <v>126</v>
      </c>
      <c r="F208" s="221">
        <v>44957.0</v>
      </c>
      <c r="G208" s="222">
        <v>0.125</v>
      </c>
      <c r="H208" s="134" t="s">
        <v>411</v>
      </c>
      <c r="I208" s="223" t="s">
        <v>411</v>
      </c>
      <c r="J208" s="223" t="b">
        <f t="shared" si="1"/>
        <v>1</v>
      </c>
      <c r="K208" s="145" t="s">
        <v>592</v>
      </c>
      <c r="L208" s="156"/>
      <c r="M208" s="134" t="s">
        <v>422</v>
      </c>
      <c r="N208" s="224">
        <v>133.01</v>
      </c>
      <c r="O208" s="117" t="b">
        <f t="shared" si="2"/>
        <v>1</v>
      </c>
      <c r="P208" s="117" t="b">
        <v>1</v>
      </c>
      <c r="Q208" s="117" t="s">
        <v>368</v>
      </c>
    </row>
    <row r="209" hidden="1">
      <c r="A209" s="108"/>
      <c r="B209" s="220"/>
      <c r="C209" s="134" t="s">
        <v>63</v>
      </c>
      <c r="D209" s="220" t="str">
        <f>vlookup(M209,'Página10'!A:B,2,false)</f>
        <v>INOV00035</v>
      </c>
      <c r="E209" s="134" t="s">
        <v>126</v>
      </c>
      <c r="F209" s="221">
        <v>44957.0</v>
      </c>
      <c r="G209" s="222">
        <v>0.08333333333333333</v>
      </c>
      <c r="H209" s="134" t="s">
        <v>475</v>
      </c>
      <c r="I209" s="223" t="s">
        <v>475</v>
      </c>
      <c r="J209" s="223" t="b">
        <f t="shared" si="1"/>
        <v>1</v>
      </c>
      <c r="K209" s="145" t="s">
        <v>594</v>
      </c>
      <c r="L209" s="156"/>
      <c r="M209" s="134" t="s">
        <v>457</v>
      </c>
      <c r="N209" s="224">
        <v>0.0</v>
      </c>
      <c r="O209" s="117" t="b">
        <f t="shared" si="2"/>
        <v>1</v>
      </c>
      <c r="P209" s="117" t="b">
        <v>1</v>
      </c>
      <c r="Q209" s="117" t="s">
        <v>368</v>
      </c>
    </row>
    <row r="210" hidden="1">
      <c r="A210" s="108"/>
      <c r="B210" s="220"/>
      <c r="C210" s="134" t="s">
        <v>59</v>
      </c>
      <c r="D210" s="220" t="str">
        <f>vlookup(M210,'Página10'!A:B,2,false)</f>
        <v>INOV00024</v>
      </c>
      <c r="E210" s="134" t="s">
        <v>126</v>
      </c>
      <c r="F210" s="221">
        <v>44957.0</v>
      </c>
      <c r="G210" s="222">
        <v>0.08333333333333333</v>
      </c>
      <c r="H210" s="134" t="s">
        <v>475</v>
      </c>
      <c r="I210" s="223" t="s">
        <v>475</v>
      </c>
      <c r="J210" s="223" t="b">
        <f t="shared" si="1"/>
        <v>1</v>
      </c>
      <c r="K210" s="145" t="s">
        <v>595</v>
      </c>
      <c r="L210" s="156"/>
      <c r="M210" s="134" t="s">
        <v>439</v>
      </c>
      <c r="N210" s="224">
        <v>0.0</v>
      </c>
      <c r="O210" s="117" t="b">
        <f t="shared" si="2"/>
        <v>1</v>
      </c>
      <c r="P210" s="117" t="b">
        <v>1</v>
      </c>
      <c r="Q210" s="117" t="s">
        <v>368</v>
      </c>
    </row>
    <row r="211" hidden="1">
      <c r="A211" s="108"/>
      <c r="B211" s="220"/>
      <c r="C211" s="134" t="s">
        <v>62</v>
      </c>
      <c r="D211" s="220" t="str">
        <f>vlookup(M211,'Página10'!A:B,2,false)</f>
        <v>INOV00034</v>
      </c>
      <c r="E211" s="134" t="s">
        <v>126</v>
      </c>
      <c r="F211" s="221">
        <v>44986.0</v>
      </c>
      <c r="G211" s="222">
        <v>0.16666666666666666</v>
      </c>
      <c r="H211" s="134" t="s">
        <v>475</v>
      </c>
      <c r="I211" s="223" t="s">
        <v>475</v>
      </c>
      <c r="J211" s="223" t="b">
        <f t="shared" si="1"/>
        <v>1</v>
      </c>
      <c r="K211" s="145" t="s">
        <v>593</v>
      </c>
      <c r="L211" s="156"/>
      <c r="M211" s="134" t="s">
        <v>456</v>
      </c>
      <c r="N211" s="224">
        <v>0.0</v>
      </c>
      <c r="O211" s="117" t="b">
        <f t="shared" si="2"/>
        <v>1</v>
      </c>
      <c r="P211" s="117" t="b">
        <v>1</v>
      </c>
      <c r="Q211" s="117" t="s">
        <v>368</v>
      </c>
    </row>
    <row r="212" hidden="1">
      <c r="A212" s="108"/>
      <c r="B212" s="220"/>
      <c r="C212" s="134" t="s">
        <v>50</v>
      </c>
      <c r="D212" s="220" t="str">
        <f>vlookup(M212,'Página10'!A:B,2,false)</f>
        <v>INOV00006</v>
      </c>
      <c r="E212" s="134" t="s">
        <v>126</v>
      </c>
      <c r="F212" s="221">
        <v>44987.0</v>
      </c>
      <c r="G212" s="222">
        <v>0.08333333333333333</v>
      </c>
      <c r="H212" s="134" t="s">
        <v>411</v>
      </c>
      <c r="I212" s="223" t="s">
        <v>411</v>
      </c>
      <c r="J212" s="223" t="b">
        <f t="shared" si="1"/>
        <v>1</v>
      </c>
      <c r="K212" s="145" t="s">
        <v>592</v>
      </c>
      <c r="L212" s="156"/>
      <c r="M212" s="134" t="s">
        <v>422</v>
      </c>
      <c r="N212" s="224">
        <v>84.82</v>
      </c>
      <c r="O212" s="117" t="b">
        <f t="shared" si="2"/>
        <v>1</v>
      </c>
      <c r="P212" s="117" t="b">
        <v>1</v>
      </c>
      <c r="Q212" s="117" t="s">
        <v>368</v>
      </c>
    </row>
    <row r="213" hidden="1">
      <c r="A213" s="108"/>
      <c r="B213" s="220"/>
      <c r="C213" s="134" t="s">
        <v>50</v>
      </c>
      <c r="D213" s="220" t="str">
        <f>vlookup(M213,'Página10'!A:B,2,false)</f>
        <v>INOV00006</v>
      </c>
      <c r="E213" s="134" t="s">
        <v>126</v>
      </c>
      <c r="F213" s="221">
        <v>44991.0</v>
      </c>
      <c r="G213" s="222">
        <v>0.041666666666666664</v>
      </c>
      <c r="H213" s="134" t="s">
        <v>411</v>
      </c>
      <c r="I213" s="223" t="s">
        <v>411</v>
      </c>
      <c r="J213" s="223" t="b">
        <f t="shared" si="1"/>
        <v>1</v>
      </c>
      <c r="K213" s="145" t="s">
        <v>592</v>
      </c>
      <c r="L213" s="156"/>
      <c r="M213" s="134" t="s">
        <v>422</v>
      </c>
      <c r="N213" s="224">
        <v>42.41</v>
      </c>
      <c r="O213" s="117" t="b">
        <f t="shared" si="2"/>
        <v>1</v>
      </c>
      <c r="P213" s="117" t="b">
        <v>1</v>
      </c>
      <c r="Q213" s="117" t="s">
        <v>368</v>
      </c>
    </row>
    <row r="214" hidden="1">
      <c r="A214" s="108"/>
      <c r="B214" s="220"/>
      <c r="C214" s="134" t="s">
        <v>64</v>
      </c>
      <c r="D214" s="220" t="str">
        <f>vlookup(M214,'Página10'!A:B,2,false)</f>
        <v>INOV00036</v>
      </c>
      <c r="E214" s="134" t="s">
        <v>126</v>
      </c>
      <c r="F214" s="221">
        <v>44991.0</v>
      </c>
      <c r="G214" s="222">
        <v>0.08333333333333333</v>
      </c>
      <c r="H214" s="134" t="s">
        <v>475</v>
      </c>
      <c r="I214" s="223" t="s">
        <v>475</v>
      </c>
      <c r="J214" s="223" t="b">
        <f t="shared" si="1"/>
        <v>1</v>
      </c>
      <c r="K214" s="145" t="s">
        <v>596</v>
      </c>
      <c r="L214" s="156"/>
      <c r="M214" s="134" t="s">
        <v>458</v>
      </c>
      <c r="N214" s="224">
        <v>0.0</v>
      </c>
      <c r="O214" s="117" t="b">
        <f t="shared" si="2"/>
        <v>1</v>
      </c>
      <c r="P214" s="117" t="b">
        <v>1</v>
      </c>
      <c r="Q214" s="117" t="s">
        <v>368</v>
      </c>
    </row>
    <row r="215" hidden="1">
      <c r="A215" s="108"/>
      <c r="B215" s="220"/>
      <c r="C215" s="134" t="s">
        <v>49</v>
      </c>
      <c r="D215" s="220" t="str">
        <f>vlookup(M215,'Página10'!A:B,2,false)</f>
        <v>INOV00004</v>
      </c>
      <c r="E215" s="134" t="s">
        <v>126</v>
      </c>
      <c r="F215" s="221">
        <v>44992.0</v>
      </c>
      <c r="G215" s="222">
        <v>0.08333333333333333</v>
      </c>
      <c r="H215" s="134" t="s">
        <v>475</v>
      </c>
      <c r="I215" s="223" t="s">
        <v>475</v>
      </c>
      <c r="J215" s="223" t="b">
        <f t="shared" si="1"/>
        <v>1</v>
      </c>
      <c r="K215" s="145" t="s">
        <v>597</v>
      </c>
      <c r="L215" s="156"/>
      <c r="M215" s="134" t="s">
        <v>421</v>
      </c>
      <c r="N215" s="224">
        <v>84.82</v>
      </c>
      <c r="O215" s="117" t="b">
        <f t="shared" si="2"/>
        <v>1</v>
      </c>
      <c r="P215" s="117" t="b">
        <v>1</v>
      </c>
      <c r="Q215" s="117" t="s">
        <v>368</v>
      </c>
    </row>
    <row r="216" hidden="1">
      <c r="A216" s="108"/>
      <c r="B216" s="220"/>
      <c r="C216" s="134" t="s">
        <v>49</v>
      </c>
      <c r="D216" s="220" t="str">
        <f>vlookup(M216,'Página10'!A:B,2,false)</f>
        <v>INOV00004</v>
      </c>
      <c r="E216" s="134" t="s">
        <v>126</v>
      </c>
      <c r="F216" s="221">
        <v>44994.0</v>
      </c>
      <c r="G216" s="222">
        <v>0.041666666666666664</v>
      </c>
      <c r="H216" s="134" t="s">
        <v>411</v>
      </c>
      <c r="I216" s="223" t="s">
        <v>411</v>
      </c>
      <c r="J216" s="223" t="b">
        <f t="shared" si="1"/>
        <v>1</v>
      </c>
      <c r="K216" s="145" t="s">
        <v>592</v>
      </c>
      <c r="L216" s="156"/>
      <c r="M216" s="134" t="s">
        <v>421</v>
      </c>
      <c r="N216" s="224">
        <v>42.41</v>
      </c>
      <c r="O216" s="117" t="b">
        <f t="shared" si="2"/>
        <v>1</v>
      </c>
      <c r="P216" s="117" t="b">
        <v>1</v>
      </c>
      <c r="Q216" s="117" t="s">
        <v>368</v>
      </c>
    </row>
    <row r="217" hidden="1">
      <c r="A217" s="108"/>
      <c r="B217" s="220"/>
      <c r="C217" s="134" t="s">
        <v>49</v>
      </c>
      <c r="D217" s="220" t="str">
        <f>vlookup(M217,'Página10'!A:B,2,false)</f>
        <v>INOV00004</v>
      </c>
      <c r="E217" s="134" t="s">
        <v>126</v>
      </c>
      <c r="F217" s="221">
        <v>44995.0</v>
      </c>
      <c r="G217" s="222">
        <v>0.041666666666666664</v>
      </c>
      <c r="H217" s="134" t="s">
        <v>411</v>
      </c>
      <c r="I217" s="223" t="s">
        <v>411</v>
      </c>
      <c r="J217" s="223" t="b">
        <f t="shared" si="1"/>
        <v>1</v>
      </c>
      <c r="K217" s="145" t="s">
        <v>592</v>
      </c>
      <c r="L217" s="156"/>
      <c r="M217" s="134" t="s">
        <v>421</v>
      </c>
      <c r="N217" s="224">
        <v>42.41</v>
      </c>
      <c r="O217" s="117" t="b">
        <f t="shared" si="2"/>
        <v>1</v>
      </c>
      <c r="P217" s="117" t="b">
        <v>1</v>
      </c>
      <c r="Q217" s="117" t="s">
        <v>368</v>
      </c>
    </row>
    <row r="218" hidden="1">
      <c r="A218" s="108"/>
      <c r="B218" s="220"/>
      <c r="C218" s="134" t="s">
        <v>59</v>
      </c>
      <c r="D218" s="220" t="str">
        <f>vlookup(M218,'Página10'!A:B,2,false)</f>
        <v>INOV00024</v>
      </c>
      <c r="E218" s="134" t="s">
        <v>126</v>
      </c>
      <c r="F218" s="221">
        <v>44995.0</v>
      </c>
      <c r="G218" s="222">
        <v>0.08333333333333333</v>
      </c>
      <c r="H218" s="134" t="s">
        <v>475</v>
      </c>
      <c r="I218" s="223" t="s">
        <v>475</v>
      </c>
      <c r="J218" s="223" t="b">
        <f t="shared" si="1"/>
        <v>1</v>
      </c>
      <c r="K218" s="145" t="s">
        <v>598</v>
      </c>
      <c r="L218" s="156"/>
      <c r="M218" s="134" t="s">
        <v>439</v>
      </c>
      <c r="N218" s="224">
        <v>84.82</v>
      </c>
      <c r="O218" s="117" t="b">
        <f t="shared" si="2"/>
        <v>1</v>
      </c>
      <c r="P218" s="117" t="b">
        <v>1</v>
      </c>
      <c r="Q218" s="117" t="s">
        <v>368</v>
      </c>
    </row>
    <row r="219" hidden="1">
      <c r="A219" s="108"/>
      <c r="B219" s="220"/>
      <c r="C219" s="134" t="s">
        <v>59</v>
      </c>
      <c r="D219" s="220" t="str">
        <f>vlookup(M219,'Página10'!A:B,2,false)</f>
        <v>INOV00024</v>
      </c>
      <c r="E219" s="134" t="s">
        <v>126</v>
      </c>
      <c r="F219" s="221">
        <v>44998.0</v>
      </c>
      <c r="G219" s="222">
        <v>0.08333333333333333</v>
      </c>
      <c r="H219" s="134" t="s">
        <v>475</v>
      </c>
      <c r="I219" s="223" t="s">
        <v>475</v>
      </c>
      <c r="J219" s="223" t="b">
        <f t="shared" si="1"/>
        <v>1</v>
      </c>
      <c r="K219" s="145" t="s">
        <v>598</v>
      </c>
      <c r="L219" s="156"/>
      <c r="M219" s="134" t="s">
        <v>439</v>
      </c>
      <c r="N219" s="224">
        <v>84.82</v>
      </c>
      <c r="O219" s="117" t="b">
        <f t="shared" si="2"/>
        <v>1</v>
      </c>
      <c r="P219" s="117" t="b">
        <v>1</v>
      </c>
      <c r="Q219" s="117" t="s">
        <v>368</v>
      </c>
    </row>
    <row r="220" hidden="1">
      <c r="A220" s="108"/>
      <c r="B220" s="220"/>
      <c r="C220" s="134" t="s">
        <v>433</v>
      </c>
      <c r="D220" s="220" t="str">
        <f>vlookup(M220,'Página10'!A:B,2,false)</f>
        <v>INOV00019</v>
      </c>
      <c r="E220" s="134" t="s">
        <v>126</v>
      </c>
      <c r="F220" s="221">
        <v>44998.0</v>
      </c>
      <c r="G220" s="222">
        <v>0.08333333333333333</v>
      </c>
      <c r="H220" s="134" t="s">
        <v>411</v>
      </c>
      <c r="I220" s="223" t="s">
        <v>411</v>
      </c>
      <c r="J220" s="223" t="b">
        <f t="shared" si="1"/>
        <v>1</v>
      </c>
      <c r="K220" s="145" t="s">
        <v>592</v>
      </c>
      <c r="L220" s="156"/>
      <c r="M220" s="134" t="s">
        <v>432</v>
      </c>
      <c r="N220" s="224">
        <v>0.0</v>
      </c>
      <c r="O220" s="117" t="b">
        <f t="shared" si="2"/>
        <v>1</v>
      </c>
      <c r="P220" s="117" t="b">
        <v>0</v>
      </c>
      <c r="Q220" s="117" t="s">
        <v>368</v>
      </c>
    </row>
    <row r="221" hidden="1">
      <c r="A221" s="108"/>
      <c r="B221" s="220"/>
      <c r="C221" s="134" t="s">
        <v>49</v>
      </c>
      <c r="D221" s="220" t="str">
        <f>vlookup(M221,'Página10'!A:B,2,false)</f>
        <v>INOV00004</v>
      </c>
      <c r="E221" s="134" t="s">
        <v>126</v>
      </c>
      <c r="F221" s="221">
        <v>44998.0</v>
      </c>
      <c r="G221" s="222">
        <v>0.08333333333333333</v>
      </c>
      <c r="H221" s="134" t="s">
        <v>411</v>
      </c>
      <c r="I221" s="223" t="s">
        <v>411</v>
      </c>
      <c r="J221" s="223" t="b">
        <f t="shared" si="1"/>
        <v>1</v>
      </c>
      <c r="K221" s="145" t="s">
        <v>592</v>
      </c>
      <c r="L221" s="156"/>
      <c r="M221" s="134" t="s">
        <v>421</v>
      </c>
      <c r="N221" s="224">
        <v>84.82</v>
      </c>
      <c r="O221" s="117" t="b">
        <f t="shared" si="2"/>
        <v>1</v>
      </c>
      <c r="P221" s="117" t="b">
        <v>1</v>
      </c>
      <c r="Q221" s="117" t="s">
        <v>368</v>
      </c>
    </row>
    <row r="222" hidden="1">
      <c r="A222" s="108"/>
      <c r="B222" s="220"/>
      <c r="C222" s="134" t="s">
        <v>49</v>
      </c>
      <c r="D222" s="220" t="str">
        <f>vlookup(M222,'Página10'!A:B,2,false)</f>
        <v>INOV00004</v>
      </c>
      <c r="E222" s="134" t="s">
        <v>126</v>
      </c>
      <c r="F222" s="221">
        <v>44999.0</v>
      </c>
      <c r="G222" s="222">
        <v>0.08333333333333333</v>
      </c>
      <c r="H222" s="134" t="s">
        <v>411</v>
      </c>
      <c r="I222" s="223" t="s">
        <v>411</v>
      </c>
      <c r="J222" s="223" t="b">
        <f t="shared" si="1"/>
        <v>1</v>
      </c>
      <c r="K222" s="145" t="s">
        <v>592</v>
      </c>
      <c r="L222" s="156"/>
      <c r="M222" s="134" t="s">
        <v>421</v>
      </c>
      <c r="N222" s="224">
        <v>84.82</v>
      </c>
      <c r="O222" s="117" t="b">
        <f t="shared" si="2"/>
        <v>1</v>
      </c>
      <c r="P222" s="117" t="b">
        <v>1</v>
      </c>
      <c r="Q222" s="117" t="s">
        <v>368</v>
      </c>
    </row>
    <row r="223" hidden="1">
      <c r="A223" s="108"/>
      <c r="B223" s="220"/>
      <c r="C223" s="134" t="s">
        <v>59</v>
      </c>
      <c r="D223" s="220" t="str">
        <f>vlookup(M223,'Página10'!A:B,2,false)</f>
        <v>INOV00024</v>
      </c>
      <c r="E223" s="134" t="s">
        <v>126</v>
      </c>
      <c r="F223" s="221">
        <v>44999.0</v>
      </c>
      <c r="G223" s="222">
        <v>0.08333333333333333</v>
      </c>
      <c r="H223" s="134" t="s">
        <v>475</v>
      </c>
      <c r="I223" s="223" t="s">
        <v>475</v>
      </c>
      <c r="J223" s="223" t="b">
        <f t="shared" si="1"/>
        <v>1</v>
      </c>
      <c r="K223" s="145" t="s">
        <v>598</v>
      </c>
      <c r="L223" s="156"/>
      <c r="M223" s="134" t="s">
        <v>439</v>
      </c>
      <c r="N223" s="224">
        <v>84.82</v>
      </c>
      <c r="O223" s="117" t="b">
        <f t="shared" si="2"/>
        <v>1</v>
      </c>
      <c r="P223" s="117" t="b">
        <v>1</v>
      </c>
      <c r="Q223" s="117" t="s">
        <v>368</v>
      </c>
    </row>
    <row r="224" hidden="1">
      <c r="A224" s="108"/>
      <c r="B224" s="220"/>
      <c r="C224" s="134" t="s">
        <v>433</v>
      </c>
      <c r="D224" s="220" t="str">
        <f>vlookup(M224,'Página10'!A:B,2,false)</f>
        <v>INOV00019</v>
      </c>
      <c r="E224" s="134" t="s">
        <v>126</v>
      </c>
      <c r="F224" s="221">
        <v>45000.0</v>
      </c>
      <c r="G224" s="222">
        <v>0.041666666666666664</v>
      </c>
      <c r="H224" s="134" t="s">
        <v>411</v>
      </c>
      <c r="I224" s="223" t="s">
        <v>411</v>
      </c>
      <c r="J224" s="223" t="b">
        <f t="shared" si="1"/>
        <v>1</v>
      </c>
      <c r="K224" s="145" t="s">
        <v>592</v>
      </c>
      <c r="L224" s="156"/>
      <c r="M224" s="134" t="s">
        <v>432</v>
      </c>
      <c r="N224" s="224">
        <v>0.0</v>
      </c>
      <c r="O224" s="117" t="b">
        <f t="shared" si="2"/>
        <v>1</v>
      </c>
      <c r="P224" s="117" t="b">
        <v>0</v>
      </c>
      <c r="Q224" s="117" t="s">
        <v>368</v>
      </c>
    </row>
    <row r="225" hidden="1">
      <c r="A225" s="108"/>
      <c r="B225" s="220"/>
      <c r="C225" s="134" t="s">
        <v>59</v>
      </c>
      <c r="D225" s="220" t="str">
        <f>vlookup(M225,'Página10'!A:B,2,false)</f>
        <v>INOV00024</v>
      </c>
      <c r="E225" s="134" t="s">
        <v>126</v>
      </c>
      <c r="F225" s="221">
        <v>45000.0</v>
      </c>
      <c r="G225" s="222">
        <v>0.041666666666666664</v>
      </c>
      <c r="H225" s="134" t="s">
        <v>475</v>
      </c>
      <c r="I225" s="223" t="s">
        <v>475</v>
      </c>
      <c r="J225" s="223" t="b">
        <f t="shared" si="1"/>
        <v>1</v>
      </c>
      <c r="K225" s="145" t="s">
        <v>599</v>
      </c>
      <c r="L225" s="156"/>
      <c r="M225" s="134" t="s">
        <v>439</v>
      </c>
      <c r="N225" s="224">
        <v>42.41</v>
      </c>
      <c r="O225" s="117" t="b">
        <f t="shared" si="2"/>
        <v>1</v>
      </c>
      <c r="P225" s="117" t="b">
        <v>1</v>
      </c>
      <c r="Q225" s="117" t="s">
        <v>368</v>
      </c>
    </row>
    <row r="226" hidden="1">
      <c r="A226" s="108"/>
      <c r="B226" s="220"/>
      <c r="C226" s="134" t="s">
        <v>49</v>
      </c>
      <c r="D226" s="220" t="str">
        <f>vlookup(M226,'Página10'!A:B,2,false)</f>
        <v>INOV00004</v>
      </c>
      <c r="E226" s="134" t="s">
        <v>126</v>
      </c>
      <c r="F226" s="221">
        <v>45002.0</v>
      </c>
      <c r="G226" s="222">
        <v>0.08333333333333333</v>
      </c>
      <c r="H226" s="134" t="s">
        <v>411</v>
      </c>
      <c r="I226" s="223" t="s">
        <v>411</v>
      </c>
      <c r="J226" s="223" t="b">
        <f t="shared" si="1"/>
        <v>1</v>
      </c>
      <c r="K226" s="145" t="s">
        <v>592</v>
      </c>
      <c r="L226" s="156"/>
      <c r="M226" s="134" t="s">
        <v>421</v>
      </c>
      <c r="N226" s="224">
        <v>84.82</v>
      </c>
      <c r="O226" s="117" t="b">
        <f t="shared" si="2"/>
        <v>1</v>
      </c>
      <c r="P226" s="117" t="b">
        <v>1</v>
      </c>
      <c r="Q226" s="117" t="s">
        <v>368</v>
      </c>
    </row>
    <row r="227" hidden="1">
      <c r="A227" s="108"/>
      <c r="B227" s="220"/>
      <c r="C227" s="134" t="s">
        <v>64</v>
      </c>
      <c r="D227" s="220" t="str">
        <f>vlookup(M227,'Página10'!A:B,2,false)</f>
        <v>INOV00036</v>
      </c>
      <c r="E227" s="134" t="s">
        <v>126</v>
      </c>
      <c r="F227" s="221">
        <v>45002.0</v>
      </c>
      <c r="G227" s="222">
        <v>0.125</v>
      </c>
      <c r="H227" s="134" t="s">
        <v>475</v>
      </c>
      <c r="I227" s="223" t="s">
        <v>475</v>
      </c>
      <c r="J227" s="223" t="b">
        <f t="shared" si="1"/>
        <v>1</v>
      </c>
      <c r="K227" s="145" t="s">
        <v>596</v>
      </c>
      <c r="L227" s="156"/>
      <c r="M227" s="134" t="s">
        <v>458</v>
      </c>
      <c r="N227" s="224">
        <v>0.0</v>
      </c>
      <c r="O227" s="117" t="b">
        <f t="shared" si="2"/>
        <v>1</v>
      </c>
      <c r="P227" s="117" t="b">
        <v>1</v>
      </c>
      <c r="Q227" s="117" t="s">
        <v>368</v>
      </c>
    </row>
    <row r="228" hidden="1">
      <c r="A228" s="108"/>
      <c r="B228" s="220"/>
      <c r="C228" s="134" t="s">
        <v>433</v>
      </c>
      <c r="D228" s="220" t="str">
        <f>vlookup(M228,'Página10'!A:B,2,false)</f>
        <v>INOV00019</v>
      </c>
      <c r="E228" s="134" t="s">
        <v>126</v>
      </c>
      <c r="F228" s="221">
        <v>45005.0</v>
      </c>
      <c r="G228" s="222">
        <v>0.08333333333333333</v>
      </c>
      <c r="H228" s="134" t="s">
        <v>411</v>
      </c>
      <c r="I228" s="223" t="s">
        <v>411</v>
      </c>
      <c r="J228" s="223" t="b">
        <f t="shared" si="1"/>
        <v>1</v>
      </c>
      <c r="K228" s="145" t="s">
        <v>592</v>
      </c>
      <c r="L228" s="156"/>
      <c r="M228" s="134" t="s">
        <v>432</v>
      </c>
      <c r="N228" s="224">
        <v>0.0</v>
      </c>
      <c r="O228" s="117" t="b">
        <f t="shared" si="2"/>
        <v>1</v>
      </c>
      <c r="P228" s="117" t="b">
        <v>0</v>
      </c>
      <c r="Q228" s="117" t="s">
        <v>368</v>
      </c>
    </row>
    <row r="229" hidden="1">
      <c r="A229" s="108"/>
      <c r="B229" s="220"/>
      <c r="C229" s="134" t="s">
        <v>64</v>
      </c>
      <c r="D229" s="220" t="str">
        <f>vlookup(M229,'Página10'!A:B,2,false)</f>
        <v>INOV00036</v>
      </c>
      <c r="E229" s="134" t="s">
        <v>126</v>
      </c>
      <c r="F229" s="221">
        <v>45005.0</v>
      </c>
      <c r="G229" s="222">
        <v>0.125</v>
      </c>
      <c r="H229" s="134" t="s">
        <v>475</v>
      </c>
      <c r="I229" s="223" t="s">
        <v>475</v>
      </c>
      <c r="J229" s="223" t="b">
        <f t="shared" si="1"/>
        <v>1</v>
      </c>
      <c r="K229" s="145" t="s">
        <v>596</v>
      </c>
      <c r="L229" s="156"/>
      <c r="M229" s="134" t="s">
        <v>458</v>
      </c>
      <c r="N229" s="224">
        <v>0.0</v>
      </c>
      <c r="O229" s="117" t="b">
        <f t="shared" si="2"/>
        <v>1</v>
      </c>
      <c r="P229" s="117" t="b">
        <v>1</v>
      </c>
      <c r="Q229" s="117" t="s">
        <v>368</v>
      </c>
    </row>
    <row r="230" hidden="1">
      <c r="A230" s="108"/>
      <c r="B230" s="220"/>
      <c r="C230" s="134" t="s">
        <v>49</v>
      </c>
      <c r="D230" s="220" t="str">
        <f>vlookup(M230,'Página10'!A:B,2,false)</f>
        <v>INOV00004</v>
      </c>
      <c r="E230" s="134" t="s">
        <v>126</v>
      </c>
      <c r="F230" s="221">
        <v>45006.0</v>
      </c>
      <c r="G230" s="222">
        <v>0.08333333333333333</v>
      </c>
      <c r="H230" s="134" t="s">
        <v>411</v>
      </c>
      <c r="I230" s="223" t="s">
        <v>411</v>
      </c>
      <c r="J230" s="223" t="b">
        <f t="shared" si="1"/>
        <v>1</v>
      </c>
      <c r="K230" s="145" t="s">
        <v>592</v>
      </c>
      <c r="L230" s="156"/>
      <c r="M230" s="134" t="s">
        <v>421</v>
      </c>
      <c r="N230" s="224">
        <v>84.82</v>
      </c>
      <c r="O230" s="117" t="b">
        <f t="shared" si="2"/>
        <v>1</v>
      </c>
      <c r="P230" s="117" t="b">
        <v>1</v>
      </c>
      <c r="Q230" s="117" t="s">
        <v>368</v>
      </c>
    </row>
    <row r="231" hidden="1">
      <c r="A231" s="108"/>
      <c r="B231" s="220"/>
      <c r="C231" s="134" t="s">
        <v>435</v>
      </c>
      <c r="D231" s="220" t="str">
        <f>vlookup(M231,'Página10'!A:B,2,false)</f>
        <v>INOV00020</v>
      </c>
      <c r="E231" s="134" t="s">
        <v>129</v>
      </c>
      <c r="F231" s="221">
        <v>44942.0</v>
      </c>
      <c r="G231" s="222">
        <v>0.041666666666666664</v>
      </c>
      <c r="H231" s="134" t="s">
        <v>475</v>
      </c>
      <c r="I231" s="223" t="s">
        <v>475</v>
      </c>
      <c r="J231" s="223" t="b">
        <f t="shared" si="1"/>
        <v>1</v>
      </c>
      <c r="K231" s="145" t="s">
        <v>600</v>
      </c>
      <c r="L231" s="156"/>
      <c r="M231" s="134" t="s">
        <v>434</v>
      </c>
      <c r="N231" s="224">
        <v>0.0</v>
      </c>
      <c r="O231" s="117" t="b">
        <f t="shared" si="2"/>
        <v>1</v>
      </c>
      <c r="P231" s="117" t="b">
        <v>0</v>
      </c>
      <c r="Q231" s="117" t="s">
        <v>368</v>
      </c>
    </row>
    <row r="232" hidden="1">
      <c r="A232" s="108"/>
      <c r="B232" s="220"/>
      <c r="C232" s="134" t="s">
        <v>57</v>
      </c>
      <c r="D232" s="220" t="str">
        <f>vlookup(M232,'Página10'!A:B,2,false)</f>
        <v>INOV00022</v>
      </c>
      <c r="E232" s="134" t="s">
        <v>129</v>
      </c>
      <c r="F232" s="221">
        <v>44944.0</v>
      </c>
      <c r="G232" s="222">
        <v>0.041666666666666664</v>
      </c>
      <c r="H232" s="134" t="s">
        <v>475</v>
      </c>
      <c r="I232" s="223" t="s">
        <v>475</v>
      </c>
      <c r="J232" s="223" t="b">
        <f t="shared" si="1"/>
        <v>1</v>
      </c>
      <c r="K232" s="145" t="s">
        <v>601</v>
      </c>
      <c r="L232" s="156"/>
      <c r="M232" s="134" t="s">
        <v>437</v>
      </c>
      <c r="N232" s="224">
        <v>138.85</v>
      </c>
      <c r="O232" s="117" t="b">
        <f t="shared" si="2"/>
        <v>1</v>
      </c>
      <c r="P232" s="117" t="b">
        <v>1</v>
      </c>
      <c r="Q232" s="117" t="s">
        <v>368</v>
      </c>
    </row>
    <row r="233" hidden="1">
      <c r="A233" s="108"/>
      <c r="B233" s="220"/>
      <c r="C233" s="134" t="s">
        <v>57</v>
      </c>
      <c r="D233" s="220" t="str">
        <f>vlookup(M233,'Página10'!A:B,2,false)</f>
        <v>INOV00022</v>
      </c>
      <c r="E233" s="134" t="s">
        <v>129</v>
      </c>
      <c r="F233" s="221">
        <v>44945.0</v>
      </c>
      <c r="G233" s="222">
        <v>0.020833333333333332</v>
      </c>
      <c r="H233" s="134" t="s">
        <v>475</v>
      </c>
      <c r="I233" s="223" t="s">
        <v>475</v>
      </c>
      <c r="J233" s="223" t="b">
        <f t="shared" si="1"/>
        <v>1</v>
      </c>
      <c r="K233" s="145" t="s">
        <v>602</v>
      </c>
      <c r="L233" s="156"/>
      <c r="M233" s="134" t="s">
        <v>437</v>
      </c>
      <c r="N233" s="224">
        <v>69.42</v>
      </c>
      <c r="O233" s="117" t="b">
        <f t="shared" si="2"/>
        <v>1</v>
      </c>
      <c r="P233" s="117" t="b">
        <v>1</v>
      </c>
      <c r="Q233" s="117" t="s">
        <v>368</v>
      </c>
    </row>
    <row r="234" hidden="1">
      <c r="A234" s="108"/>
      <c r="B234" s="220"/>
      <c r="C234" s="134" t="s">
        <v>441</v>
      </c>
      <c r="D234" s="220" t="str">
        <f>vlookup(M234,'Página10'!A:B,2,false)</f>
        <v>INOV00025</v>
      </c>
      <c r="E234" s="134" t="s">
        <v>129</v>
      </c>
      <c r="F234" s="221">
        <v>44944.0</v>
      </c>
      <c r="G234" s="222">
        <v>0.03125</v>
      </c>
      <c r="H234" s="134" t="s">
        <v>475</v>
      </c>
      <c r="I234" s="223" t="s">
        <v>475</v>
      </c>
      <c r="J234" s="223" t="b">
        <f t="shared" si="1"/>
        <v>1</v>
      </c>
      <c r="K234" s="145" t="s">
        <v>603</v>
      </c>
      <c r="L234" s="156"/>
      <c r="M234" s="134" t="s">
        <v>440</v>
      </c>
      <c r="N234" s="224">
        <v>0.0</v>
      </c>
      <c r="O234" s="117" t="b">
        <f t="shared" si="2"/>
        <v>1</v>
      </c>
      <c r="P234" s="117" t="b">
        <v>0</v>
      </c>
      <c r="Q234" s="117" t="s">
        <v>368</v>
      </c>
    </row>
    <row r="235" hidden="1">
      <c r="A235" s="108"/>
      <c r="B235" s="220"/>
      <c r="C235" s="134" t="s">
        <v>65</v>
      </c>
      <c r="D235" s="220" t="str">
        <f>vlookup(M235,'Página10'!A:B,2,false)</f>
        <v>INOV00037</v>
      </c>
      <c r="E235" s="134" t="s">
        <v>129</v>
      </c>
      <c r="F235" s="221">
        <v>44945.0</v>
      </c>
      <c r="G235" s="222">
        <v>0.041666666666666664</v>
      </c>
      <c r="H235" s="134" t="s">
        <v>475</v>
      </c>
      <c r="I235" s="223" t="s">
        <v>475</v>
      </c>
      <c r="J235" s="223" t="b">
        <f t="shared" si="1"/>
        <v>1</v>
      </c>
      <c r="K235" s="145" t="s">
        <v>604</v>
      </c>
      <c r="L235" s="156"/>
      <c r="M235" s="134" t="s">
        <v>459</v>
      </c>
      <c r="N235" s="224">
        <v>0.0</v>
      </c>
      <c r="O235" s="117" t="b">
        <f t="shared" si="2"/>
        <v>1</v>
      </c>
      <c r="P235" s="117" t="b">
        <v>1</v>
      </c>
      <c r="Q235" s="117" t="s">
        <v>368</v>
      </c>
    </row>
    <row r="236" hidden="1">
      <c r="A236" s="108"/>
      <c r="B236" s="220"/>
      <c r="C236" s="134" t="s">
        <v>62</v>
      </c>
      <c r="D236" s="220" t="str">
        <f>vlookup(M236,'Página10'!A:B,2,false)</f>
        <v>INOV00034</v>
      </c>
      <c r="E236" s="134" t="s">
        <v>129</v>
      </c>
      <c r="F236" s="221">
        <v>44946.0</v>
      </c>
      <c r="G236" s="222">
        <v>0.041666666666666664</v>
      </c>
      <c r="H236" s="134" t="s">
        <v>475</v>
      </c>
      <c r="I236" s="223" t="s">
        <v>475</v>
      </c>
      <c r="J236" s="223" t="b">
        <f t="shared" si="1"/>
        <v>1</v>
      </c>
      <c r="K236" s="145" t="s">
        <v>604</v>
      </c>
      <c r="L236" s="156"/>
      <c r="M236" s="134" t="s">
        <v>456</v>
      </c>
      <c r="N236" s="224">
        <v>0.0</v>
      </c>
      <c r="O236" s="117" t="b">
        <f t="shared" si="2"/>
        <v>1</v>
      </c>
      <c r="P236" s="117" t="b">
        <v>1</v>
      </c>
      <c r="Q236" s="117" t="s">
        <v>368</v>
      </c>
    </row>
    <row r="237" hidden="1">
      <c r="A237" s="108"/>
      <c r="B237" s="220"/>
      <c r="C237" s="134" t="s">
        <v>58</v>
      </c>
      <c r="D237" s="220" t="str">
        <f>vlookup(M237,'Página10'!A:B,2,false)</f>
        <v>INOV00023</v>
      </c>
      <c r="E237" s="134" t="s">
        <v>129</v>
      </c>
      <c r="F237" s="221">
        <v>44946.0</v>
      </c>
      <c r="G237" s="222">
        <v>0.0625</v>
      </c>
      <c r="H237" s="134" t="s">
        <v>475</v>
      </c>
      <c r="I237" s="223" t="s">
        <v>475</v>
      </c>
      <c r="J237" s="223" t="b">
        <f t="shared" si="1"/>
        <v>1</v>
      </c>
      <c r="K237" s="145" t="s">
        <v>605</v>
      </c>
      <c r="L237" s="156"/>
      <c r="M237" s="134" t="s">
        <v>438</v>
      </c>
      <c r="N237" s="224">
        <v>208.27</v>
      </c>
      <c r="O237" s="117" t="b">
        <f t="shared" si="2"/>
        <v>1</v>
      </c>
      <c r="P237" s="117" t="b">
        <v>1</v>
      </c>
      <c r="Q237" s="117" t="s">
        <v>368</v>
      </c>
    </row>
    <row r="238" hidden="1">
      <c r="A238" s="108"/>
      <c r="B238" s="220"/>
      <c r="C238" s="134" t="s">
        <v>66</v>
      </c>
      <c r="D238" s="220" t="str">
        <f>vlookup(M238,'Página10'!A:B,2,false)</f>
        <v>INOV00038</v>
      </c>
      <c r="E238" s="134" t="s">
        <v>129</v>
      </c>
      <c r="F238" s="221">
        <v>44950.0</v>
      </c>
      <c r="G238" s="222">
        <v>0.041666666666666664</v>
      </c>
      <c r="H238" s="134" t="s">
        <v>475</v>
      </c>
      <c r="I238" s="223" t="s">
        <v>475</v>
      </c>
      <c r="J238" s="223" t="b">
        <f t="shared" si="1"/>
        <v>1</v>
      </c>
      <c r="K238" s="145" t="s">
        <v>604</v>
      </c>
      <c r="L238" s="156"/>
      <c r="M238" s="134" t="s">
        <v>460</v>
      </c>
      <c r="N238" s="224">
        <v>0.0</v>
      </c>
      <c r="O238" s="117" t="b">
        <f t="shared" si="2"/>
        <v>1</v>
      </c>
      <c r="P238" s="117" t="b">
        <v>1</v>
      </c>
      <c r="Q238" s="117" t="s">
        <v>368</v>
      </c>
    </row>
    <row r="239" hidden="1">
      <c r="A239" s="108"/>
      <c r="B239" s="220"/>
      <c r="C239" s="134" t="s">
        <v>435</v>
      </c>
      <c r="D239" s="220" t="str">
        <f>vlookup(M239,'Página10'!A:B,2,false)</f>
        <v>INOV00020</v>
      </c>
      <c r="E239" s="134" t="s">
        <v>129</v>
      </c>
      <c r="F239" s="221">
        <v>44951.0</v>
      </c>
      <c r="G239" s="222">
        <v>0.08333333333333333</v>
      </c>
      <c r="H239" s="134" t="s">
        <v>475</v>
      </c>
      <c r="I239" s="223" t="s">
        <v>475</v>
      </c>
      <c r="J239" s="223" t="b">
        <f t="shared" si="1"/>
        <v>1</v>
      </c>
      <c r="K239" s="145" t="s">
        <v>606</v>
      </c>
      <c r="L239" s="156"/>
      <c r="M239" s="134" t="s">
        <v>434</v>
      </c>
      <c r="N239" s="224">
        <v>0.0</v>
      </c>
      <c r="O239" s="117" t="b">
        <f t="shared" si="2"/>
        <v>1</v>
      </c>
      <c r="P239" s="117" t="b">
        <v>0</v>
      </c>
      <c r="Q239" s="117" t="s">
        <v>368</v>
      </c>
    </row>
    <row r="240" hidden="1">
      <c r="A240" s="108"/>
      <c r="B240" s="220"/>
      <c r="C240" s="134" t="s">
        <v>49</v>
      </c>
      <c r="D240" s="220" t="str">
        <f>vlookup(M240,'Página10'!A:B,2,false)</f>
        <v>INOV00004</v>
      </c>
      <c r="E240" s="134" t="s">
        <v>129</v>
      </c>
      <c r="F240" s="221">
        <v>44951.0</v>
      </c>
      <c r="G240" s="222">
        <v>0.020833333333333332</v>
      </c>
      <c r="H240" s="134" t="s">
        <v>475</v>
      </c>
      <c r="I240" s="223" t="s">
        <v>475</v>
      </c>
      <c r="J240" s="223" t="b">
        <f t="shared" si="1"/>
        <v>1</v>
      </c>
      <c r="K240" s="145" t="s">
        <v>607</v>
      </c>
      <c r="L240" s="156"/>
      <c r="M240" s="134" t="s">
        <v>421</v>
      </c>
      <c r="N240" s="224">
        <v>69.42</v>
      </c>
      <c r="O240" s="117" t="b">
        <f t="shared" si="2"/>
        <v>1</v>
      </c>
      <c r="P240" s="117" t="b">
        <v>1</v>
      </c>
      <c r="Q240" s="117" t="s">
        <v>368</v>
      </c>
    </row>
    <row r="241" hidden="1">
      <c r="A241" s="108"/>
      <c r="B241" s="220"/>
      <c r="C241" s="134" t="s">
        <v>57</v>
      </c>
      <c r="D241" s="220" t="str">
        <f>vlookup(M241,'Página10'!A:B,2,false)</f>
        <v>INOV00022</v>
      </c>
      <c r="E241" s="134" t="s">
        <v>129</v>
      </c>
      <c r="F241" s="221">
        <v>44952.0</v>
      </c>
      <c r="G241" s="222">
        <v>0.08333333333333333</v>
      </c>
      <c r="H241" s="134" t="s">
        <v>475</v>
      </c>
      <c r="I241" s="223" t="s">
        <v>475</v>
      </c>
      <c r="J241" s="223" t="b">
        <f t="shared" si="1"/>
        <v>1</v>
      </c>
      <c r="K241" s="145" t="s">
        <v>608</v>
      </c>
      <c r="L241" s="156"/>
      <c r="M241" s="134" t="s">
        <v>437</v>
      </c>
      <c r="N241" s="224">
        <v>277.69</v>
      </c>
      <c r="O241" s="117" t="b">
        <f t="shared" si="2"/>
        <v>1</v>
      </c>
      <c r="P241" s="117" t="b">
        <v>1</v>
      </c>
      <c r="Q241" s="117" t="s">
        <v>368</v>
      </c>
    </row>
    <row r="242" hidden="1">
      <c r="A242" s="108"/>
      <c r="B242" s="220"/>
      <c r="C242" s="134" t="s">
        <v>65</v>
      </c>
      <c r="D242" s="220" t="str">
        <f>vlookup(M242,'Página10'!A:B,2,false)</f>
        <v>INOV00037</v>
      </c>
      <c r="E242" s="134" t="s">
        <v>129</v>
      </c>
      <c r="F242" s="221">
        <v>44952.0</v>
      </c>
      <c r="G242" s="222">
        <v>0.041666666666666664</v>
      </c>
      <c r="H242" s="134" t="s">
        <v>475</v>
      </c>
      <c r="I242" s="223" t="s">
        <v>475</v>
      </c>
      <c r="J242" s="223" t="b">
        <f t="shared" si="1"/>
        <v>1</v>
      </c>
      <c r="K242" s="145" t="s">
        <v>604</v>
      </c>
      <c r="L242" s="156"/>
      <c r="M242" s="134" t="s">
        <v>459</v>
      </c>
      <c r="N242" s="224">
        <v>0.0</v>
      </c>
      <c r="O242" s="117" t="b">
        <f t="shared" si="2"/>
        <v>1</v>
      </c>
      <c r="P242" s="117" t="b">
        <v>1</v>
      </c>
      <c r="Q242" s="117" t="s">
        <v>368</v>
      </c>
    </row>
    <row r="243" hidden="1">
      <c r="A243" s="108"/>
      <c r="B243" s="220"/>
      <c r="C243" s="134" t="s">
        <v>59</v>
      </c>
      <c r="D243" s="220" t="str">
        <f>vlookup(M243,'Página10'!A:B,2,false)</f>
        <v>INOV00024</v>
      </c>
      <c r="E243" s="134" t="s">
        <v>129</v>
      </c>
      <c r="F243" s="221">
        <v>44953.0</v>
      </c>
      <c r="G243" s="222">
        <v>0.041666666666666664</v>
      </c>
      <c r="H243" s="134" t="s">
        <v>475</v>
      </c>
      <c r="I243" s="223" t="s">
        <v>475</v>
      </c>
      <c r="J243" s="223" t="b">
        <f t="shared" si="1"/>
        <v>1</v>
      </c>
      <c r="K243" s="145" t="s">
        <v>609</v>
      </c>
      <c r="L243" s="156"/>
      <c r="M243" s="134" t="s">
        <v>439</v>
      </c>
      <c r="N243" s="224">
        <v>138.85</v>
      </c>
      <c r="O243" s="117" t="b">
        <f t="shared" si="2"/>
        <v>1</v>
      </c>
      <c r="P243" s="117" t="b">
        <v>1</v>
      </c>
      <c r="Q243" s="117" t="s">
        <v>368</v>
      </c>
    </row>
    <row r="244" hidden="1">
      <c r="A244" s="108"/>
      <c r="B244" s="220"/>
      <c r="C244" s="134" t="s">
        <v>290</v>
      </c>
      <c r="D244" s="220" t="str">
        <f>vlookup(M244,'Página10'!A:B,2,false)</f>
        <v>INOV00001</v>
      </c>
      <c r="E244" s="134" t="s">
        <v>129</v>
      </c>
      <c r="F244" s="221">
        <v>44953.0</v>
      </c>
      <c r="G244" s="222">
        <v>0.020833333333333332</v>
      </c>
      <c r="H244" s="134" t="s">
        <v>475</v>
      </c>
      <c r="I244" s="223" t="s">
        <v>475</v>
      </c>
      <c r="J244" s="223" t="b">
        <f t="shared" si="1"/>
        <v>1</v>
      </c>
      <c r="K244" s="145" t="s">
        <v>610</v>
      </c>
      <c r="L244" s="156"/>
      <c r="M244" s="134" t="s">
        <v>416</v>
      </c>
      <c r="N244" s="224">
        <v>69.42</v>
      </c>
      <c r="O244" s="117" t="b">
        <f t="shared" si="2"/>
        <v>1</v>
      </c>
      <c r="P244" s="117" t="b">
        <v>1</v>
      </c>
      <c r="Q244" s="117" t="s">
        <v>368</v>
      </c>
    </row>
    <row r="245" hidden="1">
      <c r="A245" s="108"/>
      <c r="B245" s="220"/>
      <c r="C245" s="134" t="s">
        <v>65</v>
      </c>
      <c r="D245" s="220" t="str">
        <f>vlookup(M245,'Página10'!A:B,2,false)</f>
        <v>INOV00037</v>
      </c>
      <c r="E245" s="134" t="s">
        <v>129</v>
      </c>
      <c r="F245" s="221">
        <v>44953.0</v>
      </c>
      <c r="G245" s="222">
        <v>0.041666666666666664</v>
      </c>
      <c r="H245" s="134" t="s">
        <v>475</v>
      </c>
      <c r="I245" s="223" t="s">
        <v>475</v>
      </c>
      <c r="J245" s="223" t="b">
        <f t="shared" si="1"/>
        <v>1</v>
      </c>
      <c r="K245" s="145" t="s">
        <v>604</v>
      </c>
      <c r="L245" s="156"/>
      <c r="M245" s="134" t="s">
        <v>459</v>
      </c>
      <c r="N245" s="224">
        <v>0.0</v>
      </c>
      <c r="O245" s="117" t="b">
        <f t="shared" si="2"/>
        <v>1</v>
      </c>
      <c r="P245" s="117" t="b">
        <v>1</v>
      </c>
      <c r="Q245" s="117" t="s">
        <v>368</v>
      </c>
    </row>
    <row r="246" hidden="1">
      <c r="A246" s="108"/>
      <c r="B246" s="220"/>
      <c r="C246" s="134" t="s">
        <v>63</v>
      </c>
      <c r="D246" s="220" t="str">
        <f>vlookup(M246,'Página10'!A:B,2,false)</f>
        <v>INOV00035</v>
      </c>
      <c r="E246" s="134" t="s">
        <v>129</v>
      </c>
      <c r="F246" s="221">
        <v>44957.0</v>
      </c>
      <c r="G246" s="222">
        <v>0.041666666666666664</v>
      </c>
      <c r="H246" s="134" t="s">
        <v>475</v>
      </c>
      <c r="I246" s="223" t="s">
        <v>475</v>
      </c>
      <c r="J246" s="223" t="b">
        <f t="shared" si="1"/>
        <v>1</v>
      </c>
      <c r="K246" s="145" t="s">
        <v>604</v>
      </c>
      <c r="L246" s="156"/>
      <c r="M246" s="134" t="s">
        <v>457</v>
      </c>
      <c r="N246" s="224">
        <v>0.0</v>
      </c>
      <c r="O246" s="117" t="b">
        <f t="shared" si="2"/>
        <v>1</v>
      </c>
      <c r="P246" s="117" t="b">
        <v>1</v>
      </c>
      <c r="Q246" s="117" t="s">
        <v>368</v>
      </c>
    </row>
    <row r="247" hidden="1">
      <c r="A247" s="108"/>
      <c r="B247" s="220"/>
      <c r="C247" s="134" t="s">
        <v>441</v>
      </c>
      <c r="D247" s="220" t="str">
        <f>vlookup(M247,'Página10'!A:B,2,false)</f>
        <v>INOV00025</v>
      </c>
      <c r="E247" s="134" t="s">
        <v>129</v>
      </c>
      <c r="F247" s="221">
        <v>44957.0</v>
      </c>
      <c r="G247" s="222">
        <v>0.020833333333333332</v>
      </c>
      <c r="H247" s="134" t="s">
        <v>475</v>
      </c>
      <c r="I247" s="223" t="s">
        <v>475</v>
      </c>
      <c r="J247" s="223" t="b">
        <f t="shared" si="1"/>
        <v>1</v>
      </c>
      <c r="K247" s="145" t="s">
        <v>603</v>
      </c>
      <c r="L247" s="156"/>
      <c r="M247" s="134" t="s">
        <v>440</v>
      </c>
      <c r="N247" s="224">
        <v>0.0</v>
      </c>
      <c r="O247" s="117" t="b">
        <f t="shared" si="2"/>
        <v>1</v>
      </c>
      <c r="P247" s="117" t="b">
        <v>0</v>
      </c>
      <c r="Q247" s="117" t="s">
        <v>368</v>
      </c>
    </row>
    <row r="248" hidden="1">
      <c r="A248" s="108"/>
      <c r="B248" s="220"/>
      <c r="C248" s="134" t="s">
        <v>64</v>
      </c>
      <c r="D248" s="220" t="str">
        <f>vlookup(M248,'Página10'!A:B,2,false)</f>
        <v>INOV00036</v>
      </c>
      <c r="E248" s="134" t="s">
        <v>129</v>
      </c>
      <c r="F248" s="221">
        <v>44957.0</v>
      </c>
      <c r="G248" s="222">
        <v>0.0625</v>
      </c>
      <c r="H248" s="134" t="s">
        <v>475</v>
      </c>
      <c r="I248" s="223" t="s">
        <v>475</v>
      </c>
      <c r="J248" s="223" t="b">
        <f t="shared" si="1"/>
        <v>1</v>
      </c>
      <c r="K248" s="145" t="s">
        <v>611</v>
      </c>
      <c r="L248" s="156"/>
      <c r="M248" s="134" t="s">
        <v>458</v>
      </c>
      <c r="N248" s="224">
        <v>0.0</v>
      </c>
      <c r="O248" s="117" t="b">
        <f t="shared" si="2"/>
        <v>1</v>
      </c>
      <c r="P248" s="117" t="b">
        <v>1</v>
      </c>
      <c r="Q248" s="117" t="s">
        <v>368</v>
      </c>
    </row>
    <row r="249" hidden="1">
      <c r="A249" s="108"/>
      <c r="B249" s="220"/>
      <c r="C249" s="134" t="s">
        <v>66</v>
      </c>
      <c r="D249" s="220" t="str">
        <f>vlookup(M249,'Página10'!A:B,2,false)</f>
        <v>INOV00038</v>
      </c>
      <c r="E249" s="134" t="s">
        <v>129</v>
      </c>
      <c r="F249" s="221">
        <v>44958.0</v>
      </c>
      <c r="G249" s="222">
        <v>0.041666666666666664</v>
      </c>
      <c r="H249" s="134" t="s">
        <v>475</v>
      </c>
      <c r="I249" s="223" t="s">
        <v>475</v>
      </c>
      <c r="J249" s="223" t="b">
        <f t="shared" si="1"/>
        <v>1</v>
      </c>
      <c r="K249" s="145" t="s">
        <v>604</v>
      </c>
      <c r="L249" s="156"/>
      <c r="M249" s="134" t="s">
        <v>460</v>
      </c>
      <c r="N249" s="224">
        <v>0.0</v>
      </c>
      <c r="O249" s="117" t="b">
        <f t="shared" si="2"/>
        <v>1</v>
      </c>
      <c r="P249" s="117" t="b">
        <v>1</v>
      </c>
      <c r="Q249" s="117" t="s">
        <v>368</v>
      </c>
    </row>
    <row r="250" hidden="1">
      <c r="A250" s="108"/>
      <c r="B250" s="220"/>
      <c r="C250" s="134" t="s">
        <v>62</v>
      </c>
      <c r="D250" s="220" t="str">
        <f>vlookup(M250,'Página10'!A:B,2,false)</f>
        <v>INOV00034</v>
      </c>
      <c r="E250" s="134" t="s">
        <v>129</v>
      </c>
      <c r="F250" s="221">
        <v>44958.0</v>
      </c>
      <c r="G250" s="222">
        <v>0.041666666666666664</v>
      </c>
      <c r="H250" s="134" t="s">
        <v>475</v>
      </c>
      <c r="I250" s="223" t="s">
        <v>475</v>
      </c>
      <c r="J250" s="223" t="b">
        <f t="shared" si="1"/>
        <v>1</v>
      </c>
      <c r="K250" s="145" t="s">
        <v>604</v>
      </c>
      <c r="L250" s="156"/>
      <c r="M250" s="134" t="s">
        <v>456</v>
      </c>
      <c r="N250" s="224">
        <v>0.0</v>
      </c>
      <c r="O250" s="117" t="b">
        <f t="shared" si="2"/>
        <v>1</v>
      </c>
      <c r="P250" s="117" t="b">
        <v>1</v>
      </c>
      <c r="Q250" s="117" t="s">
        <v>368</v>
      </c>
    </row>
    <row r="251" hidden="1">
      <c r="A251" s="108"/>
      <c r="B251" s="220"/>
      <c r="C251" s="134" t="s">
        <v>65</v>
      </c>
      <c r="D251" s="220" t="str">
        <f>vlookup(M251,'Página10'!A:B,2,false)</f>
        <v>INOV00037</v>
      </c>
      <c r="E251" s="134" t="s">
        <v>129</v>
      </c>
      <c r="F251" s="221">
        <v>44959.0</v>
      </c>
      <c r="G251" s="222">
        <v>0.041666666666666664</v>
      </c>
      <c r="H251" s="134" t="s">
        <v>475</v>
      </c>
      <c r="I251" s="223" t="s">
        <v>475</v>
      </c>
      <c r="J251" s="223" t="b">
        <f t="shared" si="1"/>
        <v>1</v>
      </c>
      <c r="K251" s="145" t="s">
        <v>604</v>
      </c>
      <c r="L251" s="156"/>
      <c r="M251" s="134" t="s">
        <v>459</v>
      </c>
      <c r="N251" s="224">
        <v>0.0</v>
      </c>
      <c r="O251" s="117" t="b">
        <f t="shared" si="2"/>
        <v>1</v>
      </c>
      <c r="P251" s="117" t="b">
        <v>1</v>
      </c>
      <c r="Q251" s="117" t="s">
        <v>368</v>
      </c>
    </row>
    <row r="252" hidden="1">
      <c r="A252" s="108"/>
      <c r="B252" s="220"/>
      <c r="C252" s="134" t="s">
        <v>433</v>
      </c>
      <c r="D252" s="220" t="str">
        <f>vlookup(M252,'Página10'!A:B,2,false)</f>
        <v>INOV00019</v>
      </c>
      <c r="E252" s="134" t="s">
        <v>129</v>
      </c>
      <c r="F252" s="221">
        <v>44959.0</v>
      </c>
      <c r="G252" s="222">
        <v>0.041666666666666664</v>
      </c>
      <c r="H252" s="134" t="s">
        <v>411</v>
      </c>
      <c r="I252" s="223" t="s">
        <v>411</v>
      </c>
      <c r="J252" s="223" t="b">
        <f t="shared" si="1"/>
        <v>1</v>
      </c>
      <c r="K252" s="145" t="s">
        <v>612</v>
      </c>
      <c r="L252" s="156"/>
      <c r="M252" s="134" t="s">
        <v>432</v>
      </c>
      <c r="N252" s="224">
        <v>0.0</v>
      </c>
      <c r="O252" s="117" t="b">
        <f t="shared" si="2"/>
        <v>1</v>
      </c>
      <c r="P252" s="117" t="b">
        <v>0</v>
      </c>
      <c r="Q252" s="117" t="s">
        <v>368</v>
      </c>
    </row>
    <row r="253" hidden="1">
      <c r="A253" s="108"/>
      <c r="B253" s="220"/>
      <c r="C253" s="134" t="s">
        <v>49</v>
      </c>
      <c r="D253" s="220" t="str">
        <f>vlookup(M253,'Página10'!A:B,2,false)</f>
        <v>INOV00004</v>
      </c>
      <c r="E253" s="134" t="s">
        <v>129</v>
      </c>
      <c r="F253" s="221">
        <v>44959.0</v>
      </c>
      <c r="G253" s="222">
        <v>0.041666666666666664</v>
      </c>
      <c r="H253" s="134" t="s">
        <v>411</v>
      </c>
      <c r="I253" s="223" t="s">
        <v>411</v>
      </c>
      <c r="J253" s="223" t="b">
        <f t="shared" si="1"/>
        <v>1</v>
      </c>
      <c r="K253" s="145" t="s">
        <v>613</v>
      </c>
      <c r="L253" s="156"/>
      <c r="M253" s="134" t="s">
        <v>421</v>
      </c>
      <c r="N253" s="224">
        <v>179.68</v>
      </c>
      <c r="O253" s="117" t="b">
        <f t="shared" si="2"/>
        <v>1</v>
      </c>
      <c r="P253" s="117" t="b">
        <v>1</v>
      </c>
      <c r="Q253" s="117" t="s">
        <v>368</v>
      </c>
    </row>
    <row r="254" hidden="1">
      <c r="A254" s="108"/>
      <c r="B254" s="220"/>
      <c r="C254" s="134" t="s">
        <v>290</v>
      </c>
      <c r="D254" s="220" t="str">
        <f>vlookup(M254,'Página10'!A:B,2,false)</f>
        <v>INOV00001</v>
      </c>
      <c r="E254" s="134" t="s">
        <v>129</v>
      </c>
      <c r="F254" s="221">
        <v>44960.0</v>
      </c>
      <c r="G254" s="222">
        <v>0.041666666666666664</v>
      </c>
      <c r="H254" s="134" t="s">
        <v>411</v>
      </c>
      <c r="I254" s="223" t="s">
        <v>411</v>
      </c>
      <c r="J254" s="223" t="b">
        <f t="shared" si="1"/>
        <v>1</v>
      </c>
      <c r="K254" s="145" t="s">
        <v>614</v>
      </c>
      <c r="L254" s="156"/>
      <c r="M254" s="134" t="s">
        <v>416</v>
      </c>
      <c r="N254" s="224">
        <v>179.68</v>
      </c>
      <c r="O254" s="117" t="b">
        <f t="shared" si="2"/>
        <v>1</v>
      </c>
      <c r="P254" s="117" t="b">
        <v>1</v>
      </c>
      <c r="Q254" s="117" t="s">
        <v>368</v>
      </c>
    </row>
    <row r="255" hidden="1">
      <c r="A255" s="108"/>
      <c r="B255" s="220"/>
      <c r="C255" s="134" t="s">
        <v>65</v>
      </c>
      <c r="D255" s="220" t="str">
        <f>vlookup(M255,'Página10'!A:B,2,false)</f>
        <v>INOV00037</v>
      </c>
      <c r="E255" s="134" t="s">
        <v>129</v>
      </c>
      <c r="F255" s="221">
        <v>44963.0</v>
      </c>
      <c r="G255" s="222">
        <v>0.041666666666666664</v>
      </c>
      <c r="H255" s="134" t="s">
        <v>475</v>
      </c>
      <c r="I255" s="223" t="s">
        <v>475</v>
      </c>
      <c r="J255" s="223" t="b">
        <f t="shared" si="1"/>
        <v>1</v>
      </c>
      <c r="K255" s="145" t="s">
        <v>604</v>
      </c>
      <c r="L255" s="156"/>
      <c r="M255" s="134" t="s">
        <v>459</v>
      </c>
      <c r="N255" s="224">
        <v>0.0</v>
      </c>
      <c r="O255" s="117" t="b">
        <f t="shared" si="2"/>
        <v>1</v>
      </c>
      <c r="P255" s="117" t="b">
        <v>1</v>
      </c>
      <c r="Q255" s="117" t="s">
        <v>368</v>
      </c>
    </row>
    <row r="256" hidden="1">
      <c r="A256" s="108"/>
      <c r="B256" s="220"/>
      <c r="C256" s="134" t="s">
        <v>66</v>
      </c>
      <c r="D256" s="220" t="str">
        <f>vlookup(M256,'Página10'!A:B,2,false)</f>
        <v>INOV00038</v>
      </c>
      <c r="E256" s="134" t="s">
        <v>129</v>
      </c>
      <c r="F256" s="221">
        <v>44963.0</v>
      </c>
      <c r="G256" s="222">
        <v>0.041666666666666664</v>
      </c>
      <c r="H256" s="134" t="s">
        <v>475</v>
      </c>
      <c r="I256" s="223" t="s">
        <v>475</v>
      </c>
      <c r="J256" s="223" t="b">
        <f t="shared" si="1"/>
        <v>1</v>
      </c>
      <c r="K256" s="145" t="s">
        <v>604</v>
      </c>
      <c r="L256" s="156"/>
      <c r="M256" s="134" t="s">
        <v>460</v>
      </c>
      <c r="N256" s="224">
        <v>0.0</v>
      </c>
      <c r="O256" s="117" t="b">
        <f t="shared" si="2"/>
        <v>1</v>
      </c>
      <c r="P256" s="117" t="b">
        <v>1</v>
      </c>
      <c r="Q256" s="117" t="s">
        <v>368</v>
      </c>
    </row>
    <row r="257" hidden="1">
      <c r="A257" s="108"/>
      <c r="B257" s="220"/>
      <c r="C257" s="134" t="s">
        <v>51</v>
      </c>
      <c r="D257" s="220" t="str">
        <f>vlookup(M257,'Página10'!A:B,2,false)</f>
        <v>INOV00010</v>
      </c>
      <c r="E257" s="134" t="s">
        <v>129</v>
      </c>
      <c r="F257" s="221">
        <v>44963.0</v>
      </c>
      <c r="G257" s="222">
        <v>0.041666666666666664</v>
      </c>
      <c r="H257" s="134" t="s">
        <v>411</v>
      </c>
      <c r="I257" s="223" t="s">
        <v>411</v>
      </c>
      <c r="J257" s="223" t="b">
        <f t="shared" si="1"/>
        <v>1</v>
      </c>
      <c r="K257" s="145" t="s">
        <v>613</v>
      </c>
      <c r="L257" s="156"/>
      <c r="M257" s="134" t="s">
        <v>423</v>
      </c>
      <c r="N257" s="224">
        <v>179.68</v>
      </c>
      <c r="O257" s="117" t="b">
        <f t="shared" si="2"/>
        <v>1</v>
      </c>
      <c r="P257" s="117" t="b">
        <v>1</v>
      </c>
      <c r="Q257" s="117" t="s">
        <v>368</v>
      </c>
    </row>
    <row r="258" hidden="1">
      <c r="A258" s="108"/>
      <c r="B258" s="220"/>
      <c r="C258" s="134" t="s">
        <v>66</v>
      </c>
      <c r="D258" s="220" t="str">
        <f>vlookup(M258,'Página10'!A:B,2,false)</f>
        <v>INOV00038</v>
      </c>
      <c r="E258" s="134" t="s">
        <v>129</v>
      </c>
      <c r="F258" s="221">
        <v>44965.0</v>
      </c>
      <c r="G258" s="222">
        <v>0.041666666666666664</v>
      </c>
      <c r="H258" s="134" t="s">
        <v>475</v>
      </c>
      <c r="I258" s="223" t="s">
        <v>475</v>
      </c>
      <c r="J258" s="223" t="b">
        <f t="shared" si="1"/>
        <v>1</v>
      </c>
      <c r="K258" s="145" t="s">
        <v>604</v>
      </c>
      <c r="L258" s="156"/>
      <c r="M258" s="134" t="s">
        <v>460</v>
      </c>
      <c r="N258" s="224">
        <v>0.0</v>
      </c>
      <c r="O258" s="117" t="b">
        <f t="shared" si="2"/>
        <v>1</v>
      </c>
      <c r="P258" s="117" t="b">
        <v>1</v>
      </c>
      <c r="Q258" s="117" t="s">
        <v>368</v>
      </c>
    </row>
    <row r="259" hidden="1">
      <c r="A259" s="108"/>
      <c r="B259" s="220"/>
      <c r="C259" s="134" t="s">
        <v>65</v>
      </c>
      <c r="D259" s="220" t="str">
        <f>vlookup(M259,'Página10'!A:B,2,false)</f>
        <v>INOV00037</v>
      </c>
      <c r="E259" s="134" t="s">
        <v>129</v>
      </c>
      <c r="F259" s="221">
        <v>44966.0</v>
      </c>
      <c r="G259" s="222">
        <v>0.041666666666666664</v>
      </c>
      <c r="H259" s="134" t="s">
        <v>475</v>
      </c>
      <c r="I259" s="223" t="s">
        <v>475</v>
      </c>
      <c r="J259" s="223" t="b">
        <f t="shared" si="1"/>
        <v>1</v>
      </c>
      <c r="K259" s="145" t="s">
        <v>604</v>
      </c>
      <c r="L259" s="156"/>
      <c r="M259" s="134" t="s">
        <v>459</v>
      </c>
      <c r="N259" s="224">
        <v>0.0</v>
      </c>
      <c r="O259" s="117" t="b">
        <f t="shared" si="2"/>
        <v>1</v>
      </c>
      <c r="P259" s="117" t="b">
        <v>1</v>
      </c>
      <c r="Q259" s="117" t="s">
        <v>368</v>
      </c>
    </row>
    <row r="260" hidden="1">
      <c r="A260" s="108"/>
      <c r="B260" s="220"/>
      <c r="C260" s="134" t="s">
        <v>69</v>
      </c>
      <c r="D260" s="220" t="str">
        <f>vlookup(M260,'Página10'!A:B,2,false)</f>
        <v>INOV00041</v>
      </c>
      <c r="E260" s="134" t="s">
        <v>129</v>
      </c>
      <c r="F260" s="221">
        <v>44971.0</v>
      </c>
      <c r="G260" s="222">
        <v>0.041666666666666664</v>
      </c>
      <c r="H260" s="134" t="s">
        <v>475</v>
      </c>
      <c r="I260" s="223" t="s">
        <v>475</v>
      </c>
      <c r="J260" s="223" t="b">
        <f t="shared" si="1"/>
        <v>1</v>
      </c>
      <c r="K260" s="145" t="s">
        <v>615</v>
      </c>
      <c r="L260" s="156"/>
      <c r="M260" s="134" t="s">
        <v>463</v>
      </c>
      <c r="N260" s="224">
        <v>0.0</v>
      </c>
      <c r="O260" s="117" t="b">
        <f t="shared" si="2"/>
        <v>1</v>
      </c>
      <c r="P260" s="117" t="b">
        <v>1</v>
      </c>
      <c r="Q260" s="117" t="s">
        <v>368</v>
      </c>
    </row>
    <row r="261" hidden="1">
      <c r="A261" s="108"/>
      <c r="B261" s="220"/>
      <c r="C261" s="134" t="s">
        <v>49</v>
      </c>
      <c r="D261" s="220" t="str">
        <f>vlookup(M261,'Página10'!A:B,2,false)</f>
        <v>INOV00004</v>
      </c>
      <c r="E261" s="134" t="s">
        <v>129</v>
      </c>
      <c r="F261" s="221">
        <v>44972.0</v>
      </c>
      <c r="G261" s="222">
        <v>0.041666666666666664</v>
      </c>
      <c r="H261" s="134" t="s">
        <v>475</v>
      </c>
      <c r="I261" s="223" t="s">
        <v>475</v>
      </c>
      <c r="J261" s="223" t="b">
        <f t="shared" si="1"/>
        <v>1</v>
      </c>
      <c r="K261" s="145" t="s">
        <v>604</v>
      </c>
      <c r="L261" s="156"/>
      <c r="M261" s="134" t="s">
        <v>421</v>
      </c>
      <c r="N261" s="224">
        <v>179.68</v>
      </c>
      <c r="O261" s="117" t="b">
        <f t="shared" si="2"/>
        <v>1</v>
      </c>
      <c r="P261" s="117" t="b">
        <v>1</v>
      </c>
      <c r="Q261" s="117" t="s">
        <v>368</v>
      </c>
    </row>
    <row r="262" hidden="1">
      <c r="A262" s="108"/>
      <c r="B262" s="220"/>
      <c r="C262" s="134" t="s">
        <v>49</v>
      </c>
      <c r="D262" s="220" t="str">
        <f>vlookup(M262,'Página10'!A:B,2,false)</f>
        <v>INOV00004</v>
      </c>
      <c r="E262" s="134" t="s">
        <v>129</v>
      </c>
      <c r="F262" s="221">
        <v>44974.0</v>
      </c>
      <c r="G262" s="222">
        <v>0.041666666666666664</v>
      </c>
      <c r="H262" s="134" t="s">
        <v>475</v>
      </c>
      <c r="I262" s="223" t="s">
        <v>475</v>
      </c>
      <c r="J262" s="223" t="b">
        <f t="shared" si="1"/>
        <v>1</v>
      </c>
      <c r="K262" s="145" t="s">
        <v>604</v>
      </c>
      <c r="L262" s="156"/>
      <c r="M262" s="134" t="s">
        <v>421</v>
      </c>
      <c r="N262" s="224">
        <v>179.68</v>
      </c>
      <c r="O262" s="117" t="b">
        <f t="shared" si="2"/>
        <v>1</v>
      </c>
      <c r="P262" s="117" t="b">
        <v>1</v>
      </c>
      <c r="Q262" s="117" t="s">
        <v>368</v>
      </c>
    </row>
    <row r="263" hidden="1">
      <c r="A263" s="108"/>
      <c r="B263" s="220"/>
      <c r="C263" s="134" t="s">
        <v>69</v>
      </c>
      <c r="D263" s="220" t="str">
        <f>vlookup(M263,'Página10'!A:B,2,false)</f>
        <v>INOV00041</v>
      </c>
      <c r="E263" s="134" t="s">
        <v>129</v>
      </c>
      <c r="F263" s="221">
        <v>44974.0</v>
      </c>
      <c r="G263" s="222">
        <v>0.041666666666666664</v>
      </c>
      <c r="H263" s="134" t="s">
        <v>475</v>
      </c>
      <c r="I263" s="223" t="s">
        <v>475</v>
      </c>
      <c r="J263" s="223" t="b">
        <f t="shared" si="1"/>
        <v>1</v>
      </c>
      <c r="K263" s="145" t="s">
        <v>616</v>
      </c>
      <c r="L263" s="156"/>
      <c r="M263" s="134" t="s">
        <v>463</v>
      </c>
      <c r="N263" s="224">
        <v>0.0</v>
      </c>
      <c r="O263" s="117" t="b">
        <f t="shared" si="2"/>
        <v>1</v>
      </c>
      <c r="P263" s="117" t="b">
        <v>1</v>
      </c>
      <c r="Q263" s="117" t="s">
        <v>368</v>
      </c>
    </row>
    <row r="264" hidden="1">
      <c r="A264" s="108"/>
      <c r="B264" s="220"/>
      <c r="C264" s="134" t="s">
        <v>59</v>
      </c>
      <c r="D264" s="220" t="str">
        <f>vlookup(M264,'Página10'!A:B,2,false)</f>
        <v>INOV00024</v>
      </c>
      <c r="E264" s="134" t="s">
        <v>129</v>
      </c>
      <c r="F264" s="221">
        <v>44980.0</v>
      </c>
      <c r="G264" s="222">
        <v>0.041666666666666664</v>
      </c>
      <c r="H264" s="134" t="s">
        <v>475</v>
      </c>
      <c r="I264" s="223" t="s">
        <v>475</v>
      </c>
      <c r="J264" s="223" t="b">
        <f t="shared" si="1"/>
        <v>1</v>
      </c>
      <c r="K264" s="145" t="s">
        <v>617</v>
      </c>
      <c r="L264" s="156"/>
      <c r="M264" s="134" t="s">
        <v>439</v>
      </c>
      <c r="N264" s="224">
        <v>179.68</v>
      </c>
      <c r="O264" s="117" t="b">
        <f t="shared" si="2"/>
        <v>1</v>
      </c>
      <c r="P264" s="117" t="b">
        <v>1</v>
      </c>
      <c r="Q264" s="117" t="s">
        <v>368</v>
      </c>
    </row>
    <row r="265" hidden="1">
      <c r="A265" s="108"/>
      <c r="B265" s="220"/>
      <c r="C265" s="134" t="s">
        <v>290</v>
      </c>
      <c r="D265" s="220" t="str">
        <f>vlookup(M265,'Página10'!A:B,2,false)</f>
        <v>INOV00001</v>
      </c>
      <c r="E265" s="134" t="s">
        <v>129</v>
      </c>
      <c r="F265" s="221">
        <v>44981.0</v>
      </c>
      <c r="G265" s="222">
        <v>0.041666666666666664</v>
      </c>
      <c r="H265" s="134" t="s">
        <v>411</v>
      </c>
      <c r="I265" s="223" t="s">
        <v>411</v>
      </c>
      <c r="J265" s="223" t="b">
        <f t="shared" si="1"/>
        <v>1</v>
      </c>
      <c r="K265" s="145" t="s">
        <v>614</v>
      </c>
      <c r="L265" s="156"/>
      <c r="M265" s="134" t="s">
        <v>416</v>
      </c>
      <c r="N265" s="224">
        <v>179.68</v>
      </c>
      <c r="O265" s="117" t="b">
        <f t="shared" si="2"/>
        <v>1</v>
      </c>
      <c r="P265" s="117" t="b">
        <v>1</v>
      </c>
      <c r="Q265" s="117" t="s">
        <v>368</v>
      </c>
    </row>
    <row r="266" hidden="1">
      <c r="A266" s="108"/>
      <c r="B266" s="220"/>
      <c r="C266" s="134" t="s">
        <v>62</v>
      </c>
      <c r="D266" s="220" t="str">
        <f>vlookup(M266,'Página10'!A:B,2,false)</f>
        <v>INOV00034</v>
      </c>
      <c r="E266" s="134" t="s">
        <v>129</v>
      </c>
      <c r="F266" s="221">
        <v>44984.0</v>
      </c>
      <c r="G266" s="222">
        <v>0.041666666666666664</v>
      </c>
      <c r="H266" s="134" t="s">
        <v>475</v>
      </c>
      <c r="I266" s="223" t="s">
        <v>475</v>
      </c>
      <c r="J266" s="223" t="b">
        <f t="shared" si="1"/>
        <v>1</v>
      </c>
      <c r="K266" s="145" t="s">
        <v>604</v>
      </c>
      <c r="L266" s="156"/>
      <c r="M266" s="134" t="s">
        <v>456</v>
      </c>
      <c r="N266" s="224">
        <v>0.0</v>
      </c>
      <c r="O266" s="117" t="b">
        <f t="shared" si="2"/>
        <v>1</v>
      </c>
      <c r="P266" s="117" t="b">
        <v>1</v>
      </c>
      <c r="Q266" s="117" t="s">
        <v>368</v>
      </c>
    </row>
    <row r="267" hidden="1">
      <c r="A267" s="108"/>
      <c r="B267" s="220"/>
      <c r="C267" s="134" t="s">
        <v>62</v>
      </c>
      <c r="D267" s="220" t="str">
        <f>vlookup(M267,'Página10'!A:B,2,false)</f>
        <v>INOV00034</v>
      </c>
      <c r="E267" s="134" t="s">
        <v>129</v>
      </c>
      <c r="F267" s="221">
        <v>44986.0</v>
      </c>
      <c r="G267" s="222">
        <v>0.041666666666666664</v>
      </c>
      <c r="H267" s="134" t="s">
        <v>475</v>
      </c>
      <c r="I267" s="223" t="s">
        <v>475</v>
      </c>
      <c r="J267" s="223" t="b">
        <f t="shared" si="1"/>
        <v>1</v>
      </c>
      <c r="K267" s="145" t="s">
        <v>604</v>
      </c>
      <c r="L267" s="156"/>
      <c r="M267" s="134" t="s">
        <v>456</v>
      </c>
      <c r="N267" s="224">
        <v>0.0</v>
      </c>
      <c r="O267" s="117" t="b">
        <f t="shared" si="2"/>
        <v>1</v>
      </c>
      <c r="P267" s="117" t="b">
        <v>1</v>
      </c>
      <c r="Q267" s="117" t="s">
        <v>368</v>
      </c>
    </row>
    <row r="268" hidden="1">
      <c r="A268" s="108"/>
      <c r="B268" s="220"/>
      <c r="C268" s="134" t="s">
        <v>50</v>
      </c>
      <c r="D268" s="220" t="str">
        <f>vlookup(M268,'Página10'!A:B,2,false)</f>
        <v>INOV00006</v>
      </c>
      <c r="E268" s="134" t="s">
        <v>129</v>
      </c>
      <c r="F268" s="221">
        <v>44987.0</v>
      </c>
      <c r="G268" s="222">
        <v>0.041666666666666664</v>
      </c>
      <c r="H268" s="134" t="s">
        <v>475</v>
      </c>
      <c r="I268" s="223" t="s">
        <v>475</v>
      </c>
      <c r="J268" s="223" t="b">
        <f t="shared" si="1"/>
        <v>1</v>
      </c>
      <c r="K268" s="145" t="s">
        <v>618</v>
      </c>
      <c r="L268" s="156"/>
      <c r="M268" s="134" t="s">
        <v>422</v>
      </c>
      <c r="N268" s="224">
        <v>132.81</v>
      </c>
      <c r="O268" s="117" t="b">
        <f t="shared" si="2"/>
        <v>1</v>
      </c>
      <c r="P268" s="117" t="b">
        <v>1</v>
      </c>
      <c r="Q268" s="117" t="s">
        <v>368</v>
      </c>
    </row>
    <row r="269" hidden="1">
      <c r="A269" s="108"/>
      <c r="B269" s="220"/>
      <c r="C269" s="134" t="s">
        <v>50</v>
      </c>
      <c r="D269" s="220" t="str">
        <f>vlookup(M269,'Página10'!A:B,2,false)</f>
        <v>INOV00006</v>
      </c>
      <c r="E269" s="134" t="s">
        <v>129</v>
      </c>
      <c r="F269" s="221">
        <v>44991.0</v>
      </c>
      <c r="G269" s="222">
        <v>0.041666666666666664</v>
      </c>
      <c r="H269" s="134" t="s">
        <v>475</v>
      </c>
      <c r="I269" s="223" t="s">
        <v>475</v>
      </c>
      <c r="J269" s="223" t="b">
        <f t="shared" si="1"/>
        <v>1</v>
      </c>
      <c r="K269" s="145" t="s">
        <v>618</v>
      </c>
      <c r="L269" s="156"/>
      <c r="M269" s="134" t="s">
        <v>422</v>
      </c>
      <c r="N269" s="224">
        <v>132.81</v>
      </c>
      <c r="O269" s="117" t="b">
        <f t="shared" si="2"/>
        <v>1</v>
      </c>
      <c r="P269" s="117" t="b">
        <v>1</v>
      </c>
      <c r="Q269" s="117" t="s">
        <v>368</v>
      </c>
    </row>
    <row r="270" hidden="1">
      <c r="A270" s="108"/>
      <c r="B270" s="220"/>
      <c r="C270" s="134" t="s">
        <v>49</v>
      </c>
      <c r="D270" s="220" t="str">
        <f>vlookup(M270,'Página10'!A:B,2,false)</f>
        <v>INOV00004</v>
      </c>
      <c r="E270" s="134" t="s">
        <v>129</v>
      </c>
      <c r="F270" s="221">
        <v>44992.0</v>
      </c>
      <c r="G270" s="222">
        <v>0.041666666666666664</v>
      </c>
      <c r="H270" s="134" t="s">
        <v>475</v>
      </c>
      <c r="I270" s="223" t="s">
        <v>475</v>
      </c>
      <c r="J270" s="223" t="b">
        <f t="shared" si="1"/>
        <v>1</v>
      </c>
      <c r="K270" s="145" t="s">
        <v>604</v>
      </c>
      <c r="L270" s="156"/>
      <c r="M270" s="134" t="s">
        <v>421</v>
      </c>
      <c r="N270" s="224">
        <v>132.81</v>
      </c>
      <c r="O270" s="117" t="b">
        <f t="shared" si="2"/>
        <v>1</v>
      </c>
      <c r="P270" s="117" t="b">
        <v>1</v>
      </c>
      <c r="Q270" s="117" t="s">
        <v>368</v>
      </c>
    </row>
    <row r="271" hidden="1">
      <c r="A271" s="108"/>
      <c r="B271" s="220"/>
      <c r="C271" s="134" t="s">
        <v>62</v>
      </c>
      <c r="D271" s="220" t="str">
        <f>vlookup(M271,'Página10'!A:B,2,false)</f>
        <v>INOV00034</v>
      </c>
      <c r="E271" s="134" t="s">
        <v>129</v>
      </c>
      <c r="F271" s="221">
        <v>44992.0</v>
      </c>
      <c r="G271" s="222">
        <v>0.041666666666666664</v>
      </c>
      <c r="H271" s="134" t="s">
        <v>475</v>
      </c>
      <c r="I271" s="223" t="s">
        <v>475</v>
      </c>
      <c r="J271" s="223" t="b">
        <f t="shared" si="1"/>
        <v>1</v>
      </c>
      <c r="K271" s="145" t="s">
        <v>604</v>
      </c>
      <c r="L271" s="156"/>
      <c r="M271" s="134" t="s">
        <v>456</v>
      </c>
      <c r="N271" s="224">
        <v>0.0</v>
      </c>
      <c r="O271" s="117" t="b">
        <f t="shared" si="2"/>
        <v>1</v>
      </c>
      <c r="P271" s="117" t="b">
        <v>1</v>
      </c>
      <c r="Q271" s="117" t="s">
        <v>368</v>
      </c>
    </row>
    <row r="272" hidden="1">
      <c r="A272" s="108"/>
      <c r="B272" s="220"/>
      <c r="C272" s="134" t="s">
        <v>69</v>
      </c>
      <c r="D272" s="220" t="str">
        <f>vlookup(M272,'Página10'!A:B,2,false)</f>
        <v>INOV00041</v>
      </c>
      <c r="E272" s="134" t="s">
        <v>129</v>
      </c>
      <c r="F272" s="221">
        <v>44992.0</v>
      </c>
      <c r="G272" s="222">
        <v>0.041666666666666664</v>
      </c>
      <c r="H272" s="134" t="s">
        <v>475</v>
      </c>
      <c r="I272" s="223" t="s">
        <v>475</v>
      </c>
      <c r="J272" s="223" t="b">
        <f t="shared" si="1"/>
        <v>1</v>
      </c>
      <c r="K272" s="145" t="s">
        <v>619</v>
      </c>
      <c r="L272" s="156"/>
      <c r="M272" s="134" t="s">
        <v>463</v>
      </c>
      <c r="N272" s="224">
        <v>0.0</v>
      </c>
      <c r="O272" s="117" t="b">
        <f t="shared" si="2"/>
        <v>1</v>
      </c>
      <c r="P272" s="117" t="b">
        <v>1</v>
      </c>
      <c r="Q272" s="117" t="s">
        <v>368</v>
      </c>
    </row>
    <row r="273" hidden="1">
      <c r="A273" s="108"/>
      <c r="B273" s="220"/>
      <c r="C273" s="134" t="s">
        <v>58</v>
      </c>
      <c r="D273" s="220" t="str">
        <f>vlookup(M273,'Página10'!A:B,2,false)</f>
        <v>INOV00023</v>
      </c>
      <c r="E273" s="134" t="s">
        <v>129</v>
      </c>
      <c r="F273" s="221">
        <v>44994.0</v>
      </c>
      <c r="G273" s="222">
        <v>0.0625</v>
      </c>
      <c r="H273" s="134" t="s">
        <v>475</v>
      </c>
      <c r="I273" s="223" t="s">
        <v>475</v>
      </c>
      <c r="J273" s="223" t="b">
        <f t="shared" si="1"/>
        <v>1</v>
      </c>
      <c r="K273" s="145" t="s">
        <v>620</v>
      </c>
      <c r="L273" s="156"/>
      <c r="M273" s="134" t="s">
        <v>438</v>
      </c>
      <c r="N273" s="224">
        <v>199.21</v>
      </c>
      <c r="O273" s="117" t="b">
        <f t="shared" si="2"/>
        <v>1</v>
      </c>
      <c r="P273" s="117" t="b">
        <v>1</v>
      </c>
      <c r="Q273" s="117" t="s">
        <v>368</v>
      </c>
    </row>
    <row r="274" hidden="1">
      <c r="A274" s="108"/>
      <c r="B274" s="220"/>
      <c r="C274" s="134" t="s">
        <v>58</v>
      </c>
      <c r="D274" s="220" t="str">
        <f>vlookup(M274,'Página10'!A:B,2,false)</f>
        <v>INOV00023</v>
      </c>
      <c r="E274" s="134" t="s">
        <v>129</v>
      </c>
      <c r="F274" s="221">
        <v>44995.0</v>
      </c>
      <c r="G274" s="222">
        <v>0.041666666666666664</v>
      </c>
      <c r="H274" s="134" t="s">
        <v>475</v>
      </c>
      <c r="I274" s="223" t="s">
        <v>475</v>
      </c>
      <c r="J274" s="223" t="b">
        <f t="shared" si="1"/>
        <v>1</v>
      </c>
      <c r="K274" s="145" t="s">
        <v>620</v>
      </c>
      <c r="L274" s="156"/>
      <c r="M274" s="134" t="s">
        <v>438</v>
      </c>
      <c r="N274" s="224">
        <v>132.81</v>
      </c>
      <c r="O274" s="117" t="b">
        <f t="shared" si="2"/>
        <v>1</v>
      </c>
      <c r="P274" s="117" t="b">
        <v>1</v>
      </c>
      <c r="Q274" s="117" t="s">
        <v>368</v>
      </c>
    </row>
    <row r="275" hidden="1">
      <c r="A275" s="108"/>
      <c r="B275" s="220"/>
      <c r="C275" s="134" t="s">
        <v>69</v>
      </c>
      <c r="D275" s="220" t="str">
        <f>vlookup(M275,'Página10'!A:B,2,false)</f>
        <v>INOV00041</v>
      </c>
      <c r="E275" s="134" t="s">
        <v>129</v>
      </c>
      <c r="F275" s="221">
        <v>44995.0</v>
      </c>
      <c r="G275" s="222">
        <v>0.041666666666666664</v>
      </c>
      <c r="H275" s="134" t="s">
        <v>475</v>
      </c>
      <c r="I275" s="223" t="s">
        <v>475</v>
      </c>
      <c r="J275" s="223" t="b">
        <f t="shared" si="1"/>
        <v>1</v>
      </c>
      <c r="K275" s="145" t="s">
        <v>619</v>
      </c>
      <c r="L275" s="156"/>
      <c r="M275" s="134" t="s">
        <v>463</v>
      </c>
      <c r="N275" s="224">
        <v>0.0</v>
      </c>
      <c r="O275" s="117" t="b">
        <f t="shared" si="2"/>
        <v>1</v>
      </c>
      <c r="P275" s="117" t="b">
        <v>1</v>
      </c>
      <c r="Q275" s="117" t="s">
        <v>368</v>
      </c>
    </row>
    <row r="276" hidden="1">
      <c r="A276" s="108"/>
      <c r="B276" s="220"/>
      <c r="C276" s="134" t="s">
        <v>68</v>
      </c>
      <c r="D276" s="220" t="str">
        <f>vlookup(M276,'Página10'!A:B,2,false)</f>
        <v>INOV00040</v>
      </c>
      <c r="E276" s="134" t="s">
        <v>129</v>
      </c>
      <c r="F276" s="221">
        <v>44998.0</v>
      </c>
      <c r="G276" s="222">
        <v>0.041666666666666664</v>
      </c>
      <c r="H276" s="134" t="s">
        <v>411</v>
      </c>
      <c r="I276" s="223" t="s">
        <v>411</v>
      </c>
      <c r="J276" s="223" t="b">
        <f t="shared" si="1"/>
        <v>1</v>
      </c>
      <c r="K276" s="145" t="s">
        <v>616</v>
      </c>
      <c r="L276" s="156"/>
      <c r="M276" s="134" t="s">
        <v>462</v>
      </c>
      <c r="N276" s="224">
        <v>0.0</v>
      </c>
      <c r="O276" s="117" t="b">
        <f t="shared" si="2"/>
        <v>1</v>
      </c>
      <c r="P276" s="117" t="b">
        <v>0</v>
      </c>
      <c r="Q276" s="117" t="s">
        <v>368</v>
      </c>
    </row>
    <row r="277" hidden="1">
      <c r="A277" s="108"/>
      <c r="B277" s="220"/>
      <c r="C277" s="134" t="s">
        <v>69</v>
      </c>
      <c r="D277" s="220" t="str">
        <f>vlookup(M277,'Página10'!A:B,2,false)</f>
        <v>INOV00041</v>
      </c>
      <c r="E277" s="134" t="s">
        <v>129</v>
      </c>
      <c r="F277" s="221">
        <v>44998.0</v>
      </c>
      <c r="G277" s="222">
        <v>0.041666666666666664</v>
      </c>
      <c r="H277" s="134" t="s">
        <v>475</v>
      </c>
      <c r="I277" s="223" t="s">
        <v>475</v>
      </c>
      <c r="J277" s="223" t="b">
        <f t="shared" si="1"/>
        <v>1</v>
      </c>
      <c r="K277" s="145" t="s">
        <v>619</v>
      </c>
      <c r="L277" s="156"/>
      <c r="M277" s="134" t="s">
        <v>463</v>
      </c>
      <c r="N277" s="224">
        <v>0.0</v>
      </c>
      <c r="O277" s="117" t="b">
        <f t="shared" si="2"/>
        <v>1</v>
      </c>
      <c r="P277" s="117" t="b">
        <v>1</v>
      </c>
      <c r="Q277" s="117" t="s">
        <v>368</v>
      </c>
    </row>
    <row r="278" hidden="1">
      <c r="A278" s="108"/>
      <c r="B278" s="220"/>
      <c r="C278" s="134" t="s">
        <v>62</v>
      </c>
      <c r="D278" s="220" t="str">
        <f>vlookup(M278,'Página10'!A:B,2,false)</f>
        <v>INOV00034</v>
      </c>
      <c r="E278" s="134" t="s">
        <v>129</v>
      </c>
      <c r="F278" s="221">
        <v>45000.0</v>
      </c>
      <c r="G278" s="222">
        <v>0.041666666666666664</v>
      </c>
      <c r="H278" s="134" t="s">
        <v>475</v>
      </c>
      <c r="I278" s="223" t="s">
        <v>475</v>
      </c>
      <c r="J278" s="223" t="b">
        <f t="shared" si="1"/>
        <v>1</v>
      </c>
      <c r="K278" s="145" t="s">
        <v>604</v>
      </c>
      <c r="L278" s="156"/>
      <c r="M278" s="134" t="s">
        <v>456</v>
      </c>
      <c r="N278" s="224">
        <v>0.0</v>
      </c>
      <c r="O278" s="117" t="b">
        <f t="shared" si="2"/>
        <v>1</v>
      </c>
      <c r="P278" s="117" t="b">
        <v>1</v>
      </c>
      <c r="Q278" s="117" t="s">
        <v>368</v>
      </c>
    </row>
    <row r="279" hidden="1">
      <c r="A279" s="108"/>
      <c r="B279" s="220"/>
      <c r="C279" s="134" t="s">
        <v>65</v>
      </c>
      <c r="D279" s="220" t="str">
        <f>vlookup(M279,'Página10'!A:B,2,false)</f>
        <v>INOV00037</v>
      </c>
      <c r="E279" s="134" t="s">
        <v>129</v>
      </c>
      <c r="F279" s="221">
        <v>45000.0</v>
      </c>
      <c r="G279" s="222">
        <v>0.08333333333333333</v>
      </c>
      <c r="H279" s="134" t="s">
        <v>475</v>
      </c>
      <c r="I279" s="223" t="s">
        <v>475</v>
      </c>
      <c r="J279" s="223" t="b">
        <f t="shared" si="1"/>
        <v>1</v>
      </c>
      <c r="K279" s="145" t="s">
        <v>604</v>
      </c>
      <c r="L279" s="156"/>
      <c r="M279" s="134" t="s">
        <v>459</v>
      </c>
      <c r="N279" s="224">
        <v>0.0</v>
      </c>
      <c r="O279" s="117" t="b">
        <f t="shared" si="2"/>
        <v>1</v>
      </c>
      <c r="P279" s="117" t="b">
        <v>1</v>
      </c>
      <c r="Q279" s="117" t="s">
        <v>368</v>
      </c>
    </row>
    <row r="280" hidden="1">
      <c r="A280" s="108"/>
      <c r="B280" s="220"/>
      <c r="C280" s="134" t="s">
        <v>62</v>
      </c>
      <c r="D280" s="220" t="str">
        <f>vlookup(M280,'Página10'!A:B,2,false)</f>
        <v>INOV00034</v>
      </c>
      <c r="E280" s="134" t="s">
        <v>129</v>
      </c>
      <c r="F280" s="221">
        <v>45001.0</v>
      </c>
      <c r="G280" s="222">
        <v>0.041666666666666664</v>
      </c>
      <c r="H280" s="134" t="s">
        <v>475</v>
      </c>
      <c r="I280" s="223" t="s">
        <v>475</v>
      </c>
      <c r="J280" s="223" t="b">
        <f t="shared" si="1"/>
        <v>1</v>
      </c>
      <c r="K280" s="145" t="s">
        <v>604</v>
      </c>
      <c r="L280" s="156"/>
      <c r="M280" s="134" t="s">
        <v>456</v>
      </c>
      <c r="N280" s="224">
        <v>0.0</v>
      </c>
      <c r="O280" s="117" t="b">
        <f t="shared" si="2"/>
        <v>1</v>
      </c>
      <c r="P280" s="117" t="b">
        <v>1</v>
      </c>
      <c r="Q280" s="117" t="s">
        <v>368</v>
      </c>
    </row>
    <row r="281" hidden="1">
      <c r="A281" s="108"/>
      <c r="B281" s="220"/>
      <c r="C281" s="134" t="s">
        <v>58</v>
      </c>
      <c r="D281" s="220" t="str">
        <f>vlookup(M281,'Página10'!A:B,2,false)</f>
        <v>INOV00023</v>
      </c>
      <c r="E281" s="134" t="s">
        <v>129</v>
      </c>
      <c r="F281" s="221">
        <v>45001.0</v>
      </c>
      <c r="G281" s="222">
        <v>0.041666666666666664</v>
      </c>
      <c r="H281" s="134" t="s">
        <v>475</v>
      </c>
      <c r="I281" s="223" t="s">
        <v>475</v>
      </c>
      <c r="J281" s="223" t="b">
        <f t="shared" si="1"/>
        <v>1</v>
      </c>
      <c r="K281" s="145" t="s">
        <v>620</v>
      </c>
      <c r="L281" s="156"/>
      <c r="M281" s="134" t="s">
        <v>438</v>
      </c>
      <c r="N281" s="224">
        <v>132.81</v>
      </c>
      <c r="O281" s="117" t="b">
        <f t="shared" si="2"/>
        <v>1</v>
      </c>
      <c r="P281" s="117" t="b">
        <v>1</v>
      </c>
      <c r="Q281" s="117" t="s">
        <v>368</v>
      </c>
    </row>
    <row r="282" hidden="1">
      <c r="A282" s="108"/>
      <c r="B282" s="220"/>
      <c r="C282" s="134" t="s">
        <v>66</v>
      </c>
      <c r="D282" s="220" t="str">
        <f>vlookup(M282,'Página10'!A:B,2,false)</f>
        <v>INOV00038</v>
      </c>
      <c r="E282" s="134" t="s">
        <v>129</v>
      </c>
      <c r="F282" s="221">
        <v>45005.0</v>
      </c>
      <c r="G282" s="222">
        <v>0.041666666666666664</v>
      </c>
      <c r="H282" s="134" t="s">
        <v>475</v>
      </c>
      <c r="I282" s="223" t="s">
        <v>475</v>
      </c>
      <c r="J282" s="223" t="b">
        <f t="shared" si="1"/>
        <v>1</v>
      </c>
      <c r="K282" s="145" t="s">
        <v>604</v>
      </c>
      <c r="L282" s="156"/>
      <c r="M282" s="134" t="s">
        <v>460</v>
      </c>
      <c r="N282" s="224">
        <v>0.0</v>
      </c>
      <c r="O282" s="117" t="b">
        <f t="shared" si="2"/>
        <v>1</v>
      </c>
      <c r="P282" s="117" t="b">
        <v>1</v>
      </c>
      <c r="Q282" s="117" t="s">
        <v>368</v>
      </c>
    </row>
    <row r="283" hidden="1">
      <c r="A283" s="108"/>
      <c r="B283" s="220"/>
      <c r="C283" s="134" t="s">
        <v>69</v>
      </c>
      <c r="D283" s="220" t="str">
        <f>vlookup(M283,'Página10'!A:B,2,false)</f>
        <v>INOV00041</v>
      </c>
      <c r="E283" s="134" t="s">
        <v>129</v>
      </c>
      <c r="F283" s="221">
        <v>45005.0</v>
      </c>
      <c r="G283" s="222">
        <v>0.041666666666666664</v>
      </c>
      <c r="H283" s="134" t="s">
        <v>475</v>
      </c>
      <c r="I283" s="223" t="s">
        <v>475</v>
      </c>
      <c r="J283" s="223" t="b">
        <f t="shared" si="1"/>
        <v>1</v>
      </c>
      <c r="K283" s="145" t="s">
        <v>619</v>
      </c>
      <c r="L283" s="156"/>
      <c r="M283" s="134" t="s">
        <v>463</v>
      </c>
      <c r="N283" s="224">
        <v>0.0</v>
      </c>
      <c r="O283" s="117" t="b">
        <f t="shared" si="2"/>
        <v>1</v>
      </c>
      <c r="P283" s="117" t="b">
        <v>1</v>
      </c>
      <c r="Q283" s="117" t="s">
        <v>368</v>
      </c>
    </row>
    <row r="284" hidden="1">
      <c r="A284" s="108"/>
      <c r="B284" s="220"/>
      <c r="C284" s="134" t="s">
        <v>49</v>
      </c>
      <c r="D284" s="220" t="str">
        <f>vlookup(M284,'Página10'!A:B,2,false)</f>
        <v>INOV00004</v>
      </c>
      <c r="E284" s="134" t="s">
        <v>129</v>
      </c>
      <c r="F284" s="221">
        <v>45006.0</v>
      </c>
      <c r="G284" s="222">
        <v>0.041666666666666664</v>
      </c>
      <c r="H284" s="134" t="s">
        <v>411</v>
      </c>
      <c r="I284" s="223" t="s">
        <v>411</v>
      </c>
      <c r="J284" s="223" t="b">
        <f t="shared" si="1"/>
        <v>1</v>
      </c>
      <c r="K284" s="145" t="s">
        <v>613</v>
      </c>
      <c r="L284" s="156"/>
      <c r="M284" s="134" t="s">
        <v>421</v>
      </c>
      <c r="N284" s="224">
        <v>132.81</v>
      </c>
      <c r="O284" s="117" t="b">
        <f t="shared" si="2"/>
        <v>1</v>
      </c>
      <c r="P284" s="117" t="b">
        <v>1</v>
      </c>
      <c r="Q284" s="117" t="s">
        <v>368</v>
      </c>
    </row>
    <row r="285" hidden="1">
      <c r="A285" s="108"/>
      <c r="B285" s="220"/>
      <c r="C285" s="134" t="s">
        <v>59</v>
      </c>
      <c r="D285" s="220" t="str">
        <f>vlookup(M285,'Página10'!A:B,2,false)</f>
        <v>INOV00024</v>
      </c>
      <c r="E285" s="134" t="s">
        <v>129</v>
      </c>
      <c r="F285" s="221">
        <v>45008.0</v>
      </c>
      <c r="G285" s="222">
        <v>0.041666666666666664</v>
      </c>
      <c r="H285" s="134" t="s">
        <v>475</v>
      </c>
      <c r="I285" s="223" t="s">
        <v>475</v>
      </c>
      <c r="J285" s="223" t="b">
        <f t="shared" si="1"/>
        <v>1</v>
      </c>
      <c r="K285" s="145" t="s">
        <v>621</v>
      </c>
      <c r="L285" s="156"/>
      <c r="M285" s="134" t="s">
        <v>439</v>
      </c>
      <c r="N285" s="224">
        <v>132.81</v>
      </c>
      <c r="O285" s="117" t="b">
        <f t="shared" si="2"/>
        <v>1</v>
      </c>
      <c r="P285" s="117" t="b">
        <v>1</v>
      </c>
      <c r="Q285" s="117" t="s">
        <v>368</v>
      </c>
    </row>
    <row r="286" hidden="1">
      <c r="A286" s="108"/>
      <c r="B286" s="220"/>
      <c r="C286" s="134" t="s">
        <v>58</v>
      </c>
      <c r="D286" s="220" t="str">
        <f>vlookup(M286,'Página10'!A:B,2,false)</f>
        <v>INOV00023</v>
      </c>
      <c r="E286" s="134" t="s">
        <v>129</v>
      </c>
      <c r="F286" s="221">
        <v>45008.0</v>
      </c>
      <c r="G286" s="222">
        <v>0.041666666666666664</v>
      </c>
      <c r="H286" s="134" t="s">
        <v>475</v>
      </c>
      <c r="I286" s="223" t="s">
        <v>475</v>
      </c>
      <c r="J286" s="223" t="b">
        <f t="shared" si="1"/>
        <v>1</v>
      </c>
      <c r="K286" s="145" t="s">
        <v>620</v>
      </c>
      <c r="L286" s="156"/>
      <c r="M286" s="134" t="s">
        <v>438</v>
      </c>
      <c r="N286" s="224">
        <v>132.81</v>
      </c>
      <c r="O286" s="117" t="b">
        <f t="shared" si="2"/>
        <v>1</v>
      </c>
      <c r="P286" s="117" t="b">
        <v>1</v>
      </c>
      <c r="Q286" s="117" t="s">
        <v>368</v>
      </c>
    </row>
    <row r="287" hidden="1">
      <c r="A287" s="108"/>
      <c r="B287" s="220"/>
      <c r="C287" s="134" t="s">
        <v>58</v>
      </c>
      <c r="D287" s="220" t="str">
        <f>vlookup(M287,'Página10'!A:B,2,false)</f>
        <v>INOV00023</v>
      </c>
      <c r="E287" s="134" t="s">
        <v>129</v>
      </c>
      <c r="F287" s="221">
        <v>45009.0</v>
      </c>
      <c r="G287" s="222">
        <v>0.041666666666666664</v>
      </c>
      <c r="H287" s="134" t="s">
        <v>475</v>
      </c>
      <c r="I287" s="223" t="s">
        <v>475</v>
      </c>
      <c r="J287" s="223" t="b">
        <f t="shared" si="1"/>
        <v>1</v>
      </c>
      <c r="K287" s="145" t="s">
        <v>620</v>
      </c>
      <c r="L287" s="156"/>
      <c r="M287" s="134" t="s">
        <v>438</v>
      </c>
      <c r="N287" s="224">
        <v>132.81</v>
      </c>
      <c r="O287" s="117" t="b">
        <f t="shared" si="2"/>
        <v>1</v>
      </c>
      <c r="P287" s="117" t="b">
        <v>1</v>
      </c>
      <c r="Q287" s="117" t="s">
        <v>368</v>
      </c>
    </row>
    <row r="288" hidden="1">
      <c r="A288" s="108"/>
      <c r="B288" s="220"/>
      <c r="C288" s="134" t="s">
        <v>433</v>
      </c>
      <c r="D288" s="220" t="str">
        <f>vlookup(M288,'Página10'!A:B,2,false)</f>
        <v>INOV00019</v>
      </c>
      <c r="E288" s="134" t="s">
        <v>129</v>
      </c>
      <c r="F288" s="221">
        <v>45009.0</v>
      </c>
      <c r="G288" s="222">
        <v>0.041666666666666664</v>
      </c>
      <c r="H288" s="134" t="s">
        <v>411</v>
      </c>
      <c r="I288" s="223" t="s">
        <v>411</v>
      </c>
      <c r="J288" s="223" t="b">
        <f t="shared" si="1"/>
        <v>1</v>
      </c>
      <c r="K288" s="145" t="s">
        <v>612</v>
      </c>
      <c r="L288" s="156"/>
      <c r="M288" s="134" t="s">
        <v>432</v>
      </c>
      <c r="N288" s="224">
        <v>0.0</v>
      </c>
      <c r="O288" s="117" t="b">
        <f t="shared" si="2"/>
        <v>1</v>
      </c>
      <c r="P288" s="117" t="b">
        <v>0</v>
      </c>
      <c r="Q288" s="117" t="s">
        <v>368</v>
      </c>
    </row>
    <row r="289" hidden="1">
      <c r="A289" s="108"/>
      <c r="B289" s="220"/>
      <c r="C289" s="134" t="s">
        <v>66</v>
      </c>
      <c r="D289" s="220" t="str">
        <f>vlookup(M289,'Página10'!A:B,2,false)</f>
        <v>INOV00038</v>
      </c>
      <c r="E289" s="134" t="s">
        <v>129</v>
      </c>
      <c r="F289" s="221">
        <v>45012.0</v>
      </c>
      <c r="G289" s="222">
        <v>0.041666666666666664</v>
      </c>
      <c r="H289" s="134" t="s">
        <v>475</v>
      </c>
      <c r="I289" s="223" t="s">
        <v>475</v>
      </c>
      <c r="J289" s="223" t="b">
        <f t="shared" si="1"/>
        <v>1</v>
      </c>
      <c r="K289" s="145" t="s">
        <v>604</v>
      </c>
      <c r="L289" s="156"/>
      <c r="M289" s="134" t="s">
        <v>460</v>
      </c>
      <c r="N289" s="224">
        <v>0.0</v>
      </c>
      <c r="O289" s="117" t="b">
        <f t="shared" si="2"/>
        <v>1</v>
      </c>
      <c r="P289" s="117" t="b">
        <v>1</v>
      </c>
      <c r="Q289" s="117" t="s">
        <v>368</v>
      </c>
    </row>
    <row r="290" hidden="1">
      <c r="A290" s="108"/>
      <c r="B290" s="220"/>
      <c r="C290" s="134" t="s">
        <v>66</v>
      </c>
      <c r="D290" s="220" t="str">
        <f>vlookup(M290,'Página10'!A:B,2,false)</f>
        <v>INOV00038</v>
      </c>
      <c r="E290" s="134" t="s">
        <v>129</v>
      </c>
      <c r="F290" s="221">
        <v>45012.0</v>
      </c>
      <c r="G290" s="222">
        <v>0.041666666666666664</v>
      </c>
      <c r="H290" s="134" t="s">
        <v>475</v>
      </c>
      <c r="I290" s="223" t="s">
        <v>475</v>
      </c>
      <c r="J290" s="223" t="b">
        <f t="shared" si="1"/>
        <v>1</v>
      </c>
      <c r="K290" s="145" t="s">
        <v>622</v>
      </c>
      <c r="L290" s="156"/>
      <c r="M290" s="134" t="s">
        <v>460</v>
      </c>
      <c r="N290" s="224">
        <v>0.0</v>
      </c>
      <c r="O290" s="117" t="b">
        <f t="shared" si="2"/>
        <v>1</v>
      </c>
      <c r="P290" s="117" t="b">
        <v>1</v>
      </c>
      <c r="Q290" s="117" t="s">
        <v>368</v>
      </c>
    </row>
    <row r="291" hidden="1">
      <c r="A291" s="108"/>
      <c r="B291" s="220"/>
      <c r="C291" s="134" t="s">
        <v>52</v>
      </c>
      <c r="D291" s="220" t="str">
        <f>vlookup(M291,'Página10'!A:B,2,false)</f>
        <v>INOV00013</v>
      </c>
      <c r="E291" s="134" t="s">
        <v>146</v>
      </c>
      <c r="F291" s="221">
        <v>44928.0</v>
      </c>
      <c r="G291" s="222">
        <v>0.10416666666666667</v>
      </c>
      <c r="H291" s="134" t="s">
        <v>411</v>
      </c>
      <c r="I291" s="223" t="s">
        <v>411</v>
      </c>
      <c r="J291" s="223" t="b">
        <f t="shared" si="1"/>
        <v>1</v>
      </c>
      <c r="K291" s="145" t="s">
        <v>623</v>
      </c>
      <c r="L291" s="156"/>
      <c r="M291" s="134" t="s">
        <v>426</v>
      </c>
      <c r="N291" s="224">
        <v>205.0</v>
      </c>
      <c r="O291" s="117" t="b">
        <f t="shared" si="2"/>
        <v>1</v>
      </c>
      <c r="P291" s="117" t="b">
        <v>1</v>
      </c>
      <c r="Q291" s="117" t="s">
        <v>368</v>
      </c>
    </row>
    <row r="292" hidden="1">
      <c r="A292" s="108"/>
      <c r="B292" s="220"/>
      <c r="C292" s="134" t="s">
        <v>52</v>
      </c>
      <c r="D292" s="220" t="str">
        <f>vlookup(M292,'Página10'!A:B,2,false)</f>
        <v>INOV00013</v>
      </c>
      <c r="E292" s="134" t="s">
        <v>146</v>
      </c>
      <c r="F292" s="221">
        <v>44928.0</v>
      </c>
      <c r="G292" s="222">
        <v>0.041666666666666664</v>
      </c>
      <c r="H292" s="134" t="s">
        <v>411</v>
      </c>
      <c r="I292" s="223" t="s">
        <v>411</v>
      </c>
      <c r="J292" s="223" t="b">
        <f t="shared" si="1"/>
        <v>1</v>
      </c>
      <c r="K292" s="145" t="s">
        <v>624</v>
      </c>
      <c r="L292" s="156"/>
      <c r="M292" s="134" t="s">
        <v>426</v>
      </c>
      <c r="N292" s="224">
        <v>82.0</v>
      </c>
      <c r="O292" s="117" t="b">
        <f t="shared" si="2"/>
        <v>1</v>
      </c>
      <c r="P292" s="117" t="b">
        <v>1</v>
      </c>
      <c r="Q292" s="117" t="s">
        <v>368</v>
      </c>
    </row>
    <row r="293" hidden="1">
      <c r="A293" s="108"/>
      <c r="B293" s="220"/>
      <c r="C293" s="134" t="s">
        <v>53</v>
      </c>
      <c r="D293" s="220" t="str">
        <f>vlookup(M293,'Página10'!A:B,2,false)</f>
        <v>INOV00014</v>
      </c>
      <c r="E293" s="134" t="s">
        <v>146</v>
      </c>
      <c r="F293" s="221">
        <v>44928.0</v>
      </c>
      <c r="G293" s="222">
        <v>0.041666666666666664</v>
      </c>
      <c r="H293" s="134" t="s">
        <v>411</v>
      </c>
      <c r="I293" s="223" t="s">
        <v>411</v>
      </c>
      <c r="J293" s="223" t="b">
        <f t="shared" si="1"/>
        <v>1</v>
      </c>
      <c r="K293" s="145" t="s">
        <v>625</v>
      </c>
      <c r="L293" s="156"/>
      <c r="M293" s="134" t="s">
        <v>427</v>
      </c>
      <c r="N293" s="224">
        <v>82.0</v>
      </c>
      <c r="O293" s="117" t="b">
        <f t="shared" si="2"/>
        <v>1</v>
      </c>
      <c r="P293" s="117" t="b">
        <v>1</v>
      </c>
      <c r="Q293" s="117" t="s">
        <v>368</v>
      </c>
    </row>
    <row r="294" hidden="1">
      <c r="A294" s="108"/>
      <c r="B294" s="220"/>
      <c r="C294" s="134" t="s">
        <v>68</v>
      </c>
      <c r="D294" s="220" t="str">
        <f>vlookup(M294,'Página10'!A:B,2,false)</f>
        <v>INOV00040</v>
      </c>
      <c r="E294" s="134" t="s">
        <v>146</v>
      </c>
      <c r="F294" s="221">
        <v>44928.0</v>
      </c>
      <c r="G294" s="222">
        <v>0.08333333333333333</v>
      </c>
      <c r="H294" s="134" t="s">
        <v>411</v>
      </c>
      <c r="I294" s="223" t="s">
        <v>411</v>
      </c>
      <c r="J294" s="223" t="b">
        <f t="shared" si="1"/>
        <v>1</v>
      </c>
      <c r="K294" s="145" t="s">
        <v>626</v>
      </c>
      <c r="L294" s="156"/>
      <c r="M294" s="134" t="s">
        <v>462</v>
      </c>
      <c r="N294" s="224">
        <v>0.0</v>
      </c>
      <c r="O294" s="117" t="b">
        <f t="shared" si="2"/>
        <v>1</v>
      </c>
      <c r="P294" s="117" t="b">
        <v>0</v>
      </c>
      <c r="Q294" s="117" t="s">
        <v>368</v>
      </c>
    </row>
    <row r="295" hidden="1">
      <c r="A295" s="108"/>
      <c r="B295" s="220"/>
      <c r="C295" s="134" t="s">
        <v>290</v>
      </c>
      <c r="D295" s="220" t="str">
        <f>vlookup(M295,'Página10'!A:B,2,false)</f>
        <v>INOV00001</v>
      </c>
      <c r="E295" s="134" t="s">
        <v>146</v>
      </c>
      <c r="F295" s="221">
        <v>44929.0</v>
      </c>
      <c r="G295" s="222">
        <v>0.0625</v>
      </c>
      <c r="H295" s="134" t="s">
        <v>479</v>
      </c>
      <c r="I295" s="223" t="s">
        <v>479</v>
      </c>
      <c r="J295" s="223" t="b">
        <f t="shared" si="1"/>
        <v>1</v>
      </c>
      <c r="K295" s="145" t="s">
        <v>627</v>
      </c>
      <c r="L295" s="156"/>
      <c r="M295" s="134" t="s">
        <v>416</v>
      </c>
      <c r="N295" s="224">
        <v>0.0</v>
      </c>
      <c r="O295" s="117" t="b">
        <f t="shared" si="2"/>
        <v>0</v>
      </c>
      <c r="P295" s="117" t="b">
        <v>1</v>
      </c>
      <c r="Q295" s="117" t="s">
        <v>368</v>
      </c>
    </row>
    <row r="296" hidden="1">
      <c r="A296" s="108"/>
      <c r="B296" s="220"/>
      <c r="C296" s="134" t="s">
        <v>52</v>
      </c>
      <c r="D296" s="220" t="str">
        <f>vlookup(M296,'Página10'!A:B,2,false)</f>
        <v>INOV00013</v>
      </c>
      <c r="E296" s="134" t="s">
        <v>146</v>
      </c>
      <c r="F296" s="221">
        <v>44929.0</v>
      </c>
      <c r="G296" s="222">
        <v>0.041666666666666664</v>
      </c>
      <c r="H296" s="134" t="s">
        <v>479</v>
      </c>
      <c r="I296" s="223" t="s">
        <v>479</v>
      </c>
      <c r="J296" s="223" t="b">
        <f t="shared" si="1"/>
        <v>1</v>
      </c>
      <c r="K296" s="145" t="s">
        <v>627</v>
      </c>
      <c r="L296" s="156"/>
      <c r="M296" s="134" t="s">
        <v>426</v>
      </c>
      <c r="N296" s="224">
        <v>0.0</v>
      </c>
      <c r="O296" s="117" t="b">
        <f t="shared" si="2"/>
        <v>0</v>
      </c>
      <c r="P296" s="117" t="b">
        <v>1</v>
      </c>
      <c r="Q296" s="117" t="s">
        <v>368</v>
      </c>
    </row>
    <row r="297" hidden="1">
      <c r="A297" s="108"/>
      <c r="B297" s="220"/>
      <c r="C297" s="134" t="s">
        <v>51</v>
      </c>
      <c r="D297" s="220" t="str">
        <f>vlookup(M297,'Página10'!A:B,2,false)</f>
        <v>INOV00010</v>
      </c>
      <c r="E297" s="134" t="s">
        <v>146</v>
      </c>
      <c r="F297" s="221">
        <v>44929.0</v>
      </c>
      <c r="G297" s="222">
        <v>0.041666666666666664</v>
      </c>
      <c r="H297" s="134" t="s">
        <v>479</v>
      </c>
      <c r="I297" s="223" t="s">
        <v>479</v>
      </c>
      <c r="J297" s="223" t="b">
        <f t="shared" si="1"/>
        <v>1</v>
      </c>
      <c r="K297" s="145" t="s">
        <v>628</v>
      </c>
      <c r="L297" s="156"/>
      <c r="M297" s="134" t="s">
        <v>423</v>
      </c>
      <c r="N297" s="224">
        <v>0.0</v>
      </c>
      <c r="O297" s="117" t="b">
        <f t="shared" si="2"/>
        <v>0</v>
      </c>
      <c r="P297" s="117" t="b">
        <v>1</v>
      </c>
      <c r="Q297" s="117" t="s">
        <v>368</v>
      </c>
    </row>
    <row r="298" hidden="1">
      <c r="A298" s="108"/>
      <c r="B298" s="220"/>
      <c r="C298" s="134" t="s">
        <v>68</v>
      </c>
      <c r="D298" s="220" t="str">
        <f>vlookup(M298,'Página10'!A:B,2,false)</f>
        <v>INOV00040</v>
      </c>
      <c r="E298" s="134" t="s">
        <v>146</v>
      </c>
      <c r="F298" s="221">
        <v>44929.0</v>
      </c>
      <c r="G298" s="222">
        <v>0.08333333333333333</v>
      </c>
      <c r="H298" s="134" t="s">
        <v>411</v>
      </c>
      <c r="I298" s="223" t="s">
        <v>411</v>
      </c>
      <c r="J298" s="223" t="b">
        <f t="shared" si="1"/>
        <v>1</v>
      </c>
      <c r="K298" s="145" t="s">
        <v>629</v>
      </c>
      <c r="L298" s="156"/>
      <c r="M298" s="134" t="s">
        <v>462</v>
      </c>
      <c r="N298" s="224">
        <v>0.0</v>
      </c>
      <c r="O298" s="117" t="b">
        <f t="shared" si="2"/>
        <v>1</v>
      </c>
      <c r="P298" s="117" t="b">
        <v>0</v>
      </c>
      <c r="Q298" s="117" t="s">
        <v>368</v>
      </c>
    </row>
    <row r="299" hidden="1">
      <c r="A299" s="108"/>
      <c r="B299" s="220"/>
      <c r="C299" s="134" t="s">
        <v>290</v>
      </c>
      <c r="D299" s="220" t="str">
        <f>vlookup(M299,'Página10'!A:B,2,false)</f>
        <v>INOV00001</v>
      </c>
      <c r="E299" s="134" t="s">
        <v>146</v>
      </c>
      <c r="F299" s="221">
        <v>44929.0</v>
      </c>
      <c r="G299" s="222">
        <v>0.041666666666666664</v>
      </c>
      <c r="H299" s="134" t="s">
        <v>479</v>
      </c>
      <c r="I299" s="223" t="s">
        <v>479</v>
      </c>
      <c r="J299" s="223" t="b">
        <f t="shared" si="1"/>
        <v>1</v>
      </c>
      <c r="K299" s="145" t="s">
        <v>630</v>
      </c>
      <c r="L299" s="156"/>
      <c r="M299" s="134" t="s">
        <v>416</v>
      </c>
      <c r="N299" s="224">
        <v>0.0</v>
      </c>
      <c r="O299" s="117" t="b">
        <f t="shared" si="2"/>
        <v>0</v>
      </c>
      <c r="P299" s="117" t="b">
        <v>1</v>
      </c>
      <c r="Q299" s="117" t="s">
        <v>368</v>
      </c>
    </row>
    <row r="300" hidden="1">
      <c r="A300" s="108"/>
      <c r="B300" s="220"/>
      <c r="C300" s="134" t="s">
        <v>290</v>
      </c>
      <c r="D300" s="220" t="str">
        <f>vlookup(M300,'Página10'!A:B,2,false)</f>
        <v>INOV00001</v>
      </c>
      <c r="E300" s="134" t="s">
        <v>146</v>
      </c>
      <c r="F300" s="221">
        <v>44929.0</v>
      </c>
      <c r="G300" s="222">
        <v>0.020833333333333332</v>
      </c>
      <c r="H300" s="134" t="s">
        <v>479</v>
      </c>
      <c r="I300" s="223" t="s">
        <v>479</v>
      </c>
      <c r="J300" s="223" t="b">
        <f t="shared" si="1"/>
        <v>1</v>
      </c>
      <c r="K300" s="145" t="s">
        <v>631</v>
      </c>
      <c r="L300" s="156"/>
      <c r="M300" s="134" t="s">
        <v>416</v>
      </c>
      <c r="N300" s="224">
        <v>0.0</v>
      </c>
      <c r="O300" s="117" t="b">
        <f t="shared" si="2"/>
        <v>0</v>
      </c>
      <c r="P300" s="117" t="b">
        <v>1</v>
      </c>
      <c r="Q300" s="117" t="s">
        <v>368</v>
      </c>
    </row>
    <row r="301" hidden="1">
      <c r="A301" s="108"/>
      <c r="B301" s="220"/>
      <c r="C301" s="134" t="s">
        <v>290</v>
      </c>
      <c r="D301" s="220" t="str">
        <f>vlookup(M301,'Página10'!A:B,2,false)</f>
        <v>INOV00001</v>
      </c>
      <c r="E301" s="134" t="s">
        <v>146</v>
      </c>
      <c r="F301" s="221">
        <v>44930.0</v>
      </c>
      <c r="G301" s="222">
        <v>0.14583333333333334</v>
      </c>
      <c r="H301" s="134" t="s">
        <v>411</v>
      </c>
      <c r="I301" s="223" t="s">
        <v>411</v>
      </c>
      <c r="J301" s="223" t="b">
        <f t="shared" si="1"/>
        <v>1</v>
      </c>
      <c r="K301" s="145" t="s">
        <v>632</v>
      </c>
      <c r="L301" s="156"/>
      <c r="M301" s="134" t="s">
        <v>416</v>
      </c>
      <c r="N301" s="224">
        <v>287.01</v>
      </c>
      <c r="O301" s="117" t="b">
        <f t="shared" si="2"/>
        <v>1</v>
      </c>
      <c r="P301" s="117" t="b">
        <v>1</v>
      </c>
      <c r="Q301" s="117" t="s">
        <v>368</v>
      </c>
    </row>
    <row r="302" hidden="1">
      <c r="A302" s="108"/>
      <c r="B302" s="220"/>
      <c r="C302" s="134" t="s">
        <v>54</v>
      </c>
      <c r="D302" s="220" t="str">
        <f>vlookup(M302,'Página10'!A:B,2,false)</f>
        <v>INOV00016</v>
      </c>
      <c r="E302" s="134" t="s">
        <v>146</v>
      </c>
      <c r="F302" s="221">
        <v>44930.0</v>
      </c>
      <c r="G302" s="222">
        <v>0.0625</v>
      </c>
      <c r="H302" s="134" t="s">
        <v>411</v>
      </c>
      <c r="I302" s="223" t="s">
        <v>411</v>
      </c>
      <c r="J302" s="223" t="b">
        <f t="shared" si="1"/>
        <v>1</v>
      </c>
      <c r="K302" s="145" t="s">
        <v>633</v>
      </c>
      <c r="L302" s="156"/>
      <c r="M302" s="134" t="s">
        <v>428</v>
      </c>
      <c r="N302" s="224">
        <v>123.0</v>
      </c>
      <c r="O302" s="117" t="b">
        <f t="shared" si="2"/>
        <v>1</v>
      </c>
      <c r="P302" s="117" t="b">
        <v>1</v>
      </c>
      <c r="Q302" s="117" t="s">
        <v>368</v>
      </c>
    </row>
    <row r="303" hidden="1">
      <c r="A303" s="108"/>
      <c r="B303" s="220"/>
      <c r="C303" s="134" t="s">
        <v>54</v>
      </c>
      <c r="D303" s="220" t="str">
        <f>vlookup(M303,'Página10'!A:B,2,false)</f>
        <v>INOV00016</v>
      </c>
      <c r="E303" s="134" t="s">
        <v>146</v>
      </c>
      <c r="F303" s="221">
        <v>44931.0</v>
      </c>
      <c r="G303" s="222">
        <v>0.20833333333333334</v>
      </c>
      <c r="H303" s="134" t="s">
        <v>475</v>
      </c>
      <c r="I303" s="223" t="s">
        <v>475</v>
      </c>
      <c r="J303" s="223" t="b">
        <f t="shared" si="1"/>
        <v>1</v>
      </c>
      <c r="K303" s="145" t="s">
        <v>634</v>
      </c>
      <c r="L303" s="156"/>
      <c r="M303" s="134" t="s">
        <v>428</v>
      </c>
      <c r="N303" s="224">
        <v>410.01</v>
      </c>
      <c r="O303" s="117" t="b">
        <f t="shared" si="2"/>
        <v>1</v>
      </c>
      <c r="P303" s="117" t="b">
        <v>1</v>
      </c>
      <c r="Q303" s="117" t="s">
        <v>368</v>
      </c>
    </row>
    <row r="304" hidden="1">
      <c r="A304" s="108"/>
      <c r="B304" s="220"/>
      <c r="C304" s="134" t="s">
        <v>290</v>
      </c>
      <c r="D304" s="220" t="str">
        <f>vlookup(M304,'Página10'!A:B,2,false)</f>
        <v>INOV00001</v>
      </c>
      <c r="E304" s="134" t="s">
        <v>146</v>
      </c>
      <c r="F304" s="221">
        <v>44931.0</v>
      </c>
      <c r="G304" s="222">
        <v>0.08333333333333333</v>
      </c>
      <c r="H304" s="134" t="s">
        <v>411</v>
      </c>
      <c r="I304" s="223" t="s">
        <v>411</v>
      </c>
      <c r="J304" s="223" t="b">
        <f t="shared" si="1"/>
        <v>1</v>
      </c>
      <c r="K304" s="145" t="s">
        <v>635</v>
      </c>
      <c r="L304" s="156"/>
      <c r="M304" s="134" t="s">
        <v>416</v>
      </c>
      <c r="N304" s="224">
        <v>164.0</v>
      </c>
      <c r="O304" s="117" t="b">
        <f t="shared" si="2"/>
        <v>1</v>
      </c>
      <c r="P304" s="117" t="b">
        <v>1</v>
      </c>
      <c r="Q304" s="117" t="s">
        <v>368</v>
      </c>
    </row>
    <row r="305" hidden="1">
      <c r="A305" s="108"/>
      <c r="B305" s="220"/>
      <c r="C305" s="134" t="s">
        <v>53</v>
      </c>
      <c r="D305" s="220" t="str">
        <f>vlookup(M305,'Página10'!A:B,2,false)</f>
        <v>INOV00014</v>
      </c>
      <c r="E305" s="134" t="s">
        <v>146</v>
      </c>
      <c r="F305" s="221">
        <v>44932.0</v>
      </c>
      <c r="G305" s="222">
        <v>0.16666666666666666</v>
      </c>
      <c r="H305" s="134" t="s">
        <v>475</v>
      </c>
      <c r="I305" s="223" t="s">
        <v>475</v>
      </c>
      <c r="J305" s="223" t="b">
        <f t="shared" si="1"/>
        <v>1</v>
      </c>
      <c r="K305" s="145" t="s">
        <v>634</v>
      </c>
      <c r="L305" s="156"/>
      <c r="M305" s="134" t="s">
        <v>427</v>
      </c>
      <c r="N305" s="224">
        <v>328.01</v>
      </c>
      <c r="O305" s="117" t="b">
        <f t="shared" si="2"/>
        <v>1</v>
      </c>
      <c r="P305" s="117" t="b">
        <v>1</v>
      </c>
      <c r="Q305" s="117" t="s">
        <v>368</v>
      </c>
    </row>
    <row r="306" hidden="1">
      <c r="A306" s="108"/>
      <c r="B306" s="220"/>
      <c r="C306" s="134" t="s">
        <v>290</v>
      </c>
      <c r="D306" s="220" t="str">
        <f>vlookup(M306,'Página10'!A:B,2,false)</f>
        <v>INOV00001</v>
      </c>
      <c r="E306" s="134" t="s">
        <v>146</v>
      </c>
      <c r="F306" s="221">
        <v>44932.0</v>
      </c>
      <c r="G306" s="222">
        <v>0.10416666666666667</v>
      </c>
      <c r="H306" s="134" t="s">
        <v>411</v>
      </c>
      <c r="I306" s="223" t="s">
        <v>411</v>
      </c>
      <c r="J306" s="223" t="b">
        <f t="shared" si="1"/>
        <v>1</v>
      </c>
      <c r="K306" s="145" t="s">
        <v>636</v>
      </c>
      <c r="L306" s="156"/>
      <c r="M306" s="134" t="s">
        <v>416</v>
      </c>
      <c r="N306" s="224">
        <v>205.0</v>
      </c>
      <c r="O306" s="117" t="b">
        <f t="shared" si="2"/>
        <v>1</v>
      </c>
      <c r="P306" s="117" t="b">
        <v>1</v>
      </c>
      <c r="Q306" s="117" t="s">
        <v>368</v>
      </c>
    </row>
    <row r="307" hidden="1">
      <c r="A307" s="108"/>
      <c r="B307" s="220"/>
      <c r="C307" s="134" t="s">
        <v>54</v>
      </c>
      <c r="D307" s="220" t="str">
        <f>vlookup(M307,'Página10'!A:B,2,false)</f>
        <v>INOV00016</v>
      </c>
      <c r="E307" s="134" t="s">
        <v>146</v>
      </c>
      <c r="F307" s="221">
        <v>44935.0</v>
      </c>
      <c r="G307" s="222">
        <v>0.1875</v>
      </c>
      <c r="H307" s="134" t="s">
        <v>411</v>
      </c>
      <c r="I307" s="223" t="s">
        <v>411</v>
      </c>
      <c r="J307" s="223" t="b">
        <f t="shared" si="1"/>
        <v>1</v>
      </c>
      <c r="K307" s="145" t="s">
        <v>637</v>
      </c>
      <c r="L307" s="156"/>
      <c r="M307" s="134" t="s">
        <v>428</v>
      </c>
      <c r="N307" s="224">
        <v>369.01</v>
      </c>
      <c r="O307" s="117" t="b">
        <f t="shared" si="2"/>
        <v>1</v>
      </c>
      <c r="P307" s="117" t="b">
        <v>1</v>
      </c>
      <c r="Q307" s="117" t="s">
        <v>368</v>
      </c>
    </row>
    <row r="308" hidden="1">
      <c r="A308" s="108"/>
      <c r="B308" s="220"/>
      <c r="C308" s="134" t="s">
        <v>54</v>
      </c>
      <c r="D308" s="220" t="str">
        <f>vlookup(M308,'Página10'!A:B,2,false)</f>
        <v>INOV00016</v>
      </c>
      <c r="E308" s="134" t="s">
        <v>146</v>
      </c>
      <c r="F308" s="221">
        <v>44935.0</v>
      </c>
      <c r="G308" s="222">
        <v>0.041666666666666664</v>
      </c>
      <c r="H308" s="134" t="s">
        <v>411</v>
      </c>
      <c r="I308" s="223" t="s">
        <v>411</v>
      </c>
      <c r="J308" s="223" t="b">
        <f t="shared" si="1"/>
        <v>1</v>
      </c>
      <c r="K308" s="145" t="s">
        <v>638</v>
      </c>
      <c r="L308" s="156"/>
      <c r="M308" s="134" t="s">
        <v>428</v>
      </c>
      <c r="N308" s="224">
        <v>82.0</v>
      </c>
      <c r="O308" s="117" t="b">
        <f t="shared" si="2"/>
        <v>1</v>
      </c>
      <c r="P308" s="117" t="b">
        <v>1</v>
      </c>
      <c r="Q308" s="117" t="s">
        <v>368</v>
      </c>
    </row>
    <row r="309" hidden="1">
      <c r="A309" s="108"/>
      <c r="B309" s="220"/>
      <c r="C309" s="134" t="s">
        <v>53</v>
      </c>
      <c r="D309" s="220" t="str">
        <f>vlookup(M309,'Página10'!A:B,2,false)</f>
        <v>INOV00014</v>
      </c>
      <c r="E309" s="134" t="s">
        <v>146</v>
      </c>
      <c r="F309" s="221">
        <v>44935.0</v>
      </c>
      <c r="G309" s="222">
        <v>0.041666666666666664</v>
      </c>
      <c r="H309" s="134" t="s">
        <v>411</v>
      </c>
      <c r="I309" s="223" t="s">
        <v>411</v>
      </c>
      <c r="J309" s="223" t="b">
        <f t="shared" si="1"/>
        <v>1</v>
      </c>
      <c r="K309" s="145" t="s">
        <v>638</v>
      </c>
      <c r="L309" s="156"/>
      <c r="M309" s="134" t="s">
        <v>427</v>
      </c>
      <c r="N309" s="224">
        <v>82.0</v>
      </c>
      <c r="O309" s="117" t="b">
        <f t="shared" si="2"/>
        <v>1</v>
      </c>
      <c r="P309" s="117" t="b">
        <v>1</v>
      </c>
      <c r="Q309" s="117" t="s">
        <v>368</v>
      </c>
    </row>
    <row r="310" hidden="1">
      <c r="A310" s="108"/>
      <c r="B310" s="220"/>
      <c r="C310" s="134" t="s">
        <v>54</v>
      </c>
      <c r="D310" s="220" t="str">
        <f>vlookup(M310,'Página10'!A:B,2,false)</f>
        <v>INOV00016</v>
      </c>
      <c r="E310" s="134" t="s">
        <v>146</v>
      </c>
      <c r="F310" s="221">
        <v>44936.0</v>
      </c>
      <c r="G310" s="222">
        <v>0.020833333333333332</v>
      </c>
      <c r="H310" s="134" t="s">
        <v>411</v>
      </c>
      <c r="I310" s="223" t="s">
        <v>411</v>
      </c>
      <c r="J310" s="223" t="b">
        <f t="shared" si="1"/>
        <v>1</v>
      </c>
      <c r="K310" s="145" t="s">
        <v>639</v>
      </c>
      <c r="L310" s="156"/>
      <c r="M310" s="134" t="s">
        <v>428</v>
      </c>
      <c r="N310" s="224">
        <v>41.0</v>
      </c>
      <c r="O310" s="117" t="b">
        <f t="shared" si="2"/>
        <v>1</v>
      </c>
      <c r="P310" s="117" t="b">
        <v>1</v>
      </c>
      <c r="Q310" s="117" t="s">
        <v>368</v>
      </c>
    </row>
    <row r="311" hidden="1">
      <c r="A311" s="108"/>
      <c r="B311" s="220"/>
      <c r="C311" s="134" t="s">
        <v>53</v>
      </c>
      <c r="D311" s="220" t="str">
        <f>vlookup(M311,'Página10'!A:B,2,false)</f>
        <v>INOV00014</v>
      </c>
      <c r="E311" s="134" t="s">
        <v>146</v>
      </c>
      <c r="F311" s="221">
        <v>44936.0</v>
      </c>
      <c r="G311" s="222">
        <v>0.020833333333333332</v>
      </c>
      <c r="H311" s="134" t="s">
        <v>411</v>
      </c>
      <c r="I311" s="223" t="s">
        <v>411</v>
      </c>
      <c r="J311" s="223" t="b">
        <f t="shared" si="1"/>
        <v>1</v>
      </c>
      <c r="K311" s="145" t="s">
        <v>639</v>
      </c>
      <c r="L311" s="156"/>
      <c r="M311" s="134" t="s">
        <v>427</v>
      </c>
      <c r="N311" s="224">
        <v>41.0</v>
      </c>
      <c r="O311" s="117" t="b">
        <f t="shared" si="2"/>
        <v>1</v>
      </c>
      <c r="P311" s="117" t="b">
        <v>1</v>
      </c>
      <c r="Q311" s="117" t="s">
        <v>368</v>
      </c>
    </row>
    <row r="312" hidden="1">
      <c r="A312" s="108"/>
      <c r="B312" s="220"/>
      <c r="C312" s="134" t="s">
        <v>55</v>
      </c>
      <c r="D312" s="220" t="str">
        <f>vlookup(M312,'Página10'!A:B,2,false)</f>
        <v>INOV00017</v>
      </c>
      <c r="E312" s="134" t="s">
        <v>146</v>
      </c>
      <c r="F312" s="221">
        <v>44936.0</v>
      </c>
      <c r="G312" s="222">
        <v>0.16666666666666666</v>
      </c>
      <c r="H312" s="134" t="s">
        <v>411</v>
      </c>
      <c r="I312" s="223" t="s">
        <v>411</v>
      </c>
      <c r="J312" s="223" t="b">
        <f t="shared" si="1"/>
        <v>1</v>
      </c>
      <c r="K312" s="145" t="s">
        <v>640</v>
      </c>
      <c r="L312" s="156"/>
      <c r="M312" s="134" t="s">
        <v>429</v>
      </c>
      <c r="N312" s="224">
        <v>328.01</v>
      </c>
      <c r="O312" s="117" t="b">
        <f t="shared" si="2"/>
        <v>1</v>
      </c>
      <c r="P312" s="117" t="b">
        <v>1</v>
      </c>
      <c r="Q312" s="117" t="s">
        <v>368</v>
      </c>
    </row>
    <row r="313" hidden="1">
      <c r="A313" s="108"/>
      <c r="B313" s="220"/>
      <c r="C313" s="134" t="s">
        <v>51</v>
      </c>
      <c r="D313" s="220" t="str">
        <f>vlookup(M313,'Página10'!A:B,2,false)</f>
        <v>INOV00010</v>
      </c>
      <c r="E313" s="134" t="s">
        <v>146</v>
      </c>
      <c r="F313" s="221">
        <v>44952.0</v>
      </c>
      <c r="G313" s="222">
        <v>0.125</v>
      </c>
      <c r="H313" s="134" t="s">
        <v>411</v>
      </c>
      <c r="I313" s="223" t="s">
        <v>411</v>
      </c>
      <c r="J313" s="223" t="b">
        <f t="shared" si="1"/>
        <v>1</v>
      </c>
      <c r="K313" s="145" t="s">
        <v>641</v>
      </c>
      <c r="L313" s="156"/>
      <c r="M313" s="134" t="s">
        <v>423</v>
      </c>
      <c r="N313" s="224">
        <v>246.01</v>
      </c>
      <c r="O313" s="117" t="b">
        <f t="shared" si="2"/>
        <v>1</v>
      </c>
      <c r="P313" s="117" t="b">
        <v>1</v>
      </c>
      <c r="Q313" s="117" t="s">
        <v>368</v>
      </c>
    </row>
    <row r="314" hidden="1">
      <c r="A314" s="108"/>
      <c r="B314" s="220"/>
      <c r="C314" s="134" t="s">
        <v>290</v>
      </c>
      <c r="D314" s="220" t="str">
        <f>vlookup(M314,'Página10'!A:B,2,false)</f>
        <v>INOV00001</v>
      </c>
      <c r="E314" s="134" t="s">
        <v>146</v>
      </c>
      <c r="F314" s="221">
        <v>44952.0</v>
      </c>
      <c r="G314" s="222">
        <v>0.041666666666666664</v>
      </c>
      <c r="H314" s="134" t="s">
        <v>411</v>
      </c>
      <c r="I314" s="223" t="s">
        <v>411</v>
      </c>
      <c r="J314" s="223" t="b">
        <f t="shared" si="1"/>
        <v>1</v>
      </c>
      <c r="K314" s="145" t="s">
        <v>642</v>
      </c>
      <c r="L314" s="156"/>
      <c r="M314" s="134" t="s">
        <v>416</v>
      </c>
      <c r="N314" s="224">
        <v>82.0</v>
      </c>
      <c r="O314" s="117" t="b">
        <f t="shared" si="2"/>
        <v>1</v>
      </c>
      <c r="P314" s="117" t="b">
        <v>1</v>
      </c>
      <c r="Q314" s="117" t="s">
        <v>368</v>
      </c>
    </row>
    <row r="315" hidden="1">
      <c r="A315" s="108"/>
      <c r="B315" s="220"/>
      <c r="C315" s="134" t="s">
        <v>54</v>
      </c>
      <c r="D315" s="220" t="str">
        <f>vlookup(M315,'Página10'!A:B,2,false)</f>
        <v>INOV00016</v>
      </c>
      <c r="E315" s="134" t="s">
        <v>146</v>
      </c>
      <c r="F315" s="221">
        <v>44952.0</v>
      </c>
      <c r="G315" s="222">
        <v>0.020833333333333332</v>
      </c>
      <c r="H315" s="134" t="s">
        <v>411</v>
      </c>
      <c r="I315" s="223" t="s">
        <v>411</v>
      </c>
      <c r="J315" s="223" t="b">
        <f t="shared" si="1"/>
        <v>1</v>
      </c>
      <c r="K315" s="145" t="s">
        <v>643</v>
      </c>
      <c r="L315" s="156"/>
      <c r="M315" s="134" t="s">
        <v>428</v>
      </c>
      <c r="N315" s="224">
        <v>41.0</v>
      </c>
      <c r="O315" s="117" t="b">
        <f t="shared" si="2"/>
        <v>1</v>
      </c>
      <c r="P315" s="117" t="b">
        <v>1</v>
      </c>
      <c r="Q315" s="117" t="s">
        <v>368</v>
      </c>
    </row>
    <row r="316" hidden="1">
      <c r="A316" s="108"/>
      <c r="B316" s="220"/>
      <c r="C316" s="134" t="s">
        <v>290</v>
      </c>
      <c r="D316" s="220" t="str">
        <f>vlookup(M316,'Página10'!A:B,2,false)</f>
        <v>INOV00001</v>
      </c>
      <c r="E316" s="134" t="s">
        <v>146</v>
      </c>
      <c r="F316" s="221">
        <v>44953.0</v>
      </c>
      <c r="G316" s="222">
        <v>0.020833333333333332</v>
      </c>
      <c r="H316" s="134" t="s">
        <v>479</v>
      </c>
      <c r="I316" s="223" t="s">
        <v>411</v>
      </c>
      <c r="J316" s="223" t="b">
        <f t="shared" si="1"/>
        <v>0</v>
      </c>
      <c r="K316" s="145" t="s">
        <v>644</v>
      </c>
      <c r="L316" s="156"/>
      <c r="M316" s="134" t="s">
        <v>416</v>
      </c>
      <c r="N316" s="224">
        <v>0.0</v>
      </c>
      <c r="O316" s="117" t="b">
        <f t="shared" si="2"/>
        <v>0</v>
      </c>
      <c r="P316" s="117" t="b">
        <v>1</v>
      </c>
      <c r="Q316" s="117" t="s">
        <v>368</v>
      </c>
    </row>
    <row r="317" hidden="1">
      <c r="A317" s="108"/>
      <c r="B317" s="220"/>
      <c r="C317" s="134" t="s">
        <v>51</v>
      </c>
      <c r="D317" s="220" t="str">
        <f>vlookup(M317,'Página10'!A:B,2,false)</f>
        <v>INOV00010</v>
      </c>
      <c r="E317" s="134" t="s">
        <v>146</v>
      </c>
      <c r="F317" s="221">
        <v>44953.0</v>
      </c>
      <c r="G317" s="222">
        <v>0.125</v>
      </c>
      <c r="H317" s="134" t="s">
        <v>411</v>
      </c>
      <c r="I317" s="223" t="s">
        <v>411</v>
      </c>
      <c r="J317" s="223" t="b">
        <f t="shared" si="1"/>
        <v>1</v>
      </c>
      <c r="K317" s="145" t="s">
        <v>641</v>
      </c>
      <c r="L317" s="156"/>
      <c r="M317" s="134" t="s">
        <v>423</v>
      </c>
      <c r="N317" s="224">
        <v>246.01</v>
      </c>
      <c r="O317" s="117" t="b">
        <f t="shared" si="2"/>
        <v>1</v>
      </c>
      <c r="P317" s="117" t="b">
        <v>1</v>
      </c>
      <c r="Q317" s="117" t="s">
        <v>368</v>
      </c>
    </row>
    <row r="318" hidden="1">
      <c r="A318" s="108"/>
      <c r="B318" s="220"/>
      <c r="C318" s="134" t="s">
        <v>290</v>
      </c>
      <c r="D318" s="220" t="str">
        <f>vlookup(M318,'Página10'!A:B,2,false)</f>
        <v>INOV00001</v>
      </c>
      <c r="E318" s="134" t="s">
        <v>146</v>
      </c>
      <c r="F318" s="221">
        <v>44953.0</v>
      </c>
      <c r="G318" s="222">
        <v>0.041666666666666664</v>
      </c>
      <c r="H318" s="134" t="s">
        <v>479</v>
      </c>
      <c r="I318" s="223" t="s">
        <v>479</v>
      </c>
      <c r="J318" s="223" t="b">
        <f t="shared" si="1"/>
        <v>1</v>
      </c>
      <c r="K318" s="145" t="s">
        <v>645</v>
      </c>
      <c r="L318" s="156"/>
      <c r="M318" s="134" t="s">
        <v>416</v>
      </c>
      <c r="N318" s="224">
        <v>0.0</v>
      </c>
      <c r="O318" s="117" t="b">
        <f t="shared" si="2"/>
        <v>0</v>
      </c>
      <c r="P318" s="117" t="b">
        <v>1</v>
      </c>
      <c r="Q318" s="117" t="s">
        <v>368</v>
      </c>
    </row>
    <row r="319" hidden="1">
      <c r="A319" s="108"/>
      <c r="B319" s="220"/>
      <c r="C319" s="134" t="s">
        <v>50</v>
      </c>
      <c r="D319" s="220" t="str">
        <f>vlookup(M319,'Página10'!A:B,2,false)</f>
        <v>INOV00006</v>
      </c>
      <c r="E319" s="134" t="s">
        <v>146</v>
      </c>
      <c r="F319" s="221">
        <v>44956.0</v>
      </c>
      <c r="G319" s="222">
        <v>0.0625</v>
      </c>
      <c r="H319" s="134" t="s">
        <v>411</v>
      </c>
      <c r="I319" s="223" t="s">
        <v>411</v>
      </c>
      <c r="J319" s="223" t="b">
        <f t="shared" si="1"/>
        <v>1</v>
      </c>
      <c r="K319" s="145" t="s">
        <v>646</v>
      </c>
      <c r="L319" s="156"/>
      <c r="M319" s="134" t="s">
        <v>422</v>
      </c>
      <c r="N319" s="224">
        <v>123.0</v>
      </c>
      <c r="O319" s="117" t="b">
        <f t="shared" si="2"/>
        <v>1</v>
      </c>
      <c r="P319" s="117" t="b">
        <v>1</v>
      </c>
      <c r="Q319" s="117" t="s">
        <v>368</v>
      </c>
    </row>
    <row r="320" hidden="1">
      <c r="A320" s="108"/>
      <c r="B320" s="220"/>
      <c r="C320" s="134" t="s">
        <v>290</v>
      </c>
      <c r="D320" s="220" t="str">
        <f>vlookup(M320,'Página10'!A:B,2,false)</f>
        <v>INOV00001</v>
      </c>
      <c r="E320" s="134" t="s">
        <v>146</v>
      </c>
      <c r="F320" s="221">
        <v>44957.0</v>
      </c>
      <c r="G320" s="222">
        <v>0.020833333333333332</v>
      </c>
      <c r="H320" s="134" t="s">
        <v>479</v>
      </c>
      <c r="I320" s="223" t="s">
        <v>479</v>
      </c>
      <c r="J320" s="223" t="b">
        <f t="shared" si="1"/>
        <v>1</v>
      </c>
      <c r="K320" s="145" t="s">
        <v>647</v>
      </c>
      <c r="L320" s="156"/>
      <c r="M320" s="134" t="s">
        <v>416</v>
      </c>
      <c r="N320" s="224">
        <v>0.0</v>
      </c>
      <c r="O320" s="117" t="b">
        <f t="shared" si="2"/>
        <v>0</v>
      </c>
      <c r="P320" s="117" t="b">
        <v>1</v>
      </c>
      <c r="Q320" s="117" t="s">
        <v>368</v>
      </c>
    </row>
    <row r="321" hidden="1">
      <c r="A321" s="108"/>
      <c r="B321" s="220"/>
      <c r="C321" s="134" t="s">
        <v>54</v>
      </c>
      <c r="D321" s="220" t="str">
        <f>vlookup(M321,'Página10'!A:B,2,false)</f>
        <v>INOV00016</v>
      </c>
      <c r="E321" s="134" t="s">
        <v>146</v>
      </c>
      <c r="F321" s="221">
        <v>44957.0</v>
      </c>
      <c r="G321" s="222">
        <v>0.125</v>
      </c>
      <c r="H321" s="134" t="s">
        <v>411</v>
      </c>
      <c r="I321" s="223" t="s">
        <v>411</v>
      </c>
      <c r="J321" s="223" t="b">
        <f t="shared" si="1"/>
        <v>1</v>
      </c>
      <c r="K321" s="145" t="s">
        <v>648</v>
      </c>
      <c r="L321" s="156"/>
      <c r="M321" s="134" t="s">
        <v>428</v>
      </c>
      <c r="N321" s="224">
        <v>246.01</v>
      </c>
      <c r="O321" s="117" t="b">
        <f t="shared" si="2"/>
        <v>1</v>
      </c>
      <c r="P321" s="117" t="b">
        <v>1</v>
      </c>
      <c r="Q321" s="117" t="s">
        <v>368</v>
      </c>
    </row>
    <row r="322" hidden="1">
      <c r="A322" s="108"/>
      <c r="B322" s="220"/>
      <c r="C322" s="134" t="s">
        <v>290</v>
      </c>
      <c r="D322" s="220" t="str">
        <f>vlookup(M322,'Página10'!A:B,2,false)</f>
        <v>INOV00001</v>
      </c>
      <c r="E322" s="134" t="s">
        <v>146</v>
      </c>
      <c r="F322" s="221">
        <v>44958.0</v>
      </c>
      <c r="G322" s="222">
        <v>0.14583333333333334</v>
      </c>
      <c r="H322" s="134" t="s">
        <v>411</v>
      </c>
      <c r="I322" s="223" t="s">
        <v>411</v>
      </c>
      <c r="J322" s="223" t="b">
        <f t="shared" si="1"/>
        <v>1</v>
      </c>
      <c r="K322" s="145" t="s">
        <v>649</v>
      </c>
      <c r="L322" s="156"/>
      <c r="M322" s="134" t="s">
        <v>416</v>
      </c>
      <c r="N322" s="224">
        <v>371.42</v>
      </c>
      <c r="O322" s="117" t="b">
        <f t="shared" si="2"/>
        <v>1</v>
      </c>
      <c r="P322" s="117" t="b">
        <v>1</v>
      </c>
      <c r="Q322" s="117" t="s">
        <v>368</v>
      </c>
    </row>
    <row r="323" hidden="1">
      <c r="A323" s="108"/>
      <c r="B323" s="220"/>
      <c r="C323" s="134" t="s">
        <v>51</v>
      </c>
      <c r="D323" s="220" t="str">
        <f>vlookup(M323,'Página10'!A:B,2,false)</f>
        <v>INOV00010</v>
      </c>
      <c r="E323" s="134" t="s">
        <v>146</v>
      </c>
      <c r="F323" s="221">
        <v>44958.0</v>
      </c>
      <c r="G323" s="222">
        <v>0.041666666666666664</v>
      </c>
      <c r="H323" s="134" t="s">
        <v>411</v>
      </c>
      <c r="I323" s="223" t="s">
        <v>411</v>
      </c>
      <c r="J323" s="223" t="b">
        <f t="shared" si="1"/>
        <v>1</v>
      </c>
      <c r="K323" s="145" t="s">
        <v>650</v>
      </c>
      <c r="L323" s="156"/>
      <c r="M323" s="134" t="s">
        <v>423</v>
      </c>
      <c r="N323" s="224">
        <v>106.12</v>
      </c>
      <c r="O323" s="117" t="b">
        <f t="shared" si="2"/>
        <v>1</v>
      </c>
      <c r="P323" s="117" t="b">
        <v>1</v>
      </c>
      <c r="Q323" s="117" t="s">
        <v>368</v>
      </c>
    </row>
    <row r="324" hidden="1">
      <c r="A324" s="108"/>
      <c r="B324" s="220"/>
      <c r="C324" s="134" t="s">
        <v>54</v>
      </c>
      <c r="D324" s="220" t="str">
        <f>vlookup(M324,'Página10'!A:B,2,false)</f>
        <v>INOV00016</v>
      </c>
      <c r="E324" s="134" t="s">
        <v>146</v>
      </c>
      <c r="F324" s="221">
        <v>44959.0</v>
      </c>
      <c r="G324" s="222">
        <v>0.020833333333333332</v>
      </c>
      <c r="H324" s="134" t="s">
        <v>479</v>
      </c>
      <c r="I324" s="223" t="s">
        <v>479</v>
      </c>
      <c r="J324" s="223" t="b">
        <f t="shared" si="1"/>
        <v>1</v>
      </c>
      <c r="K324" s="145" t="s">
        <v>651</v>
      </c>
      <c r="L324" s="156"/>
      <c r="M324" s="134" t="s">
        <v>428</v>
      </c>
      <c r="N324" s="224">
        <v>0.0</v>
      </c>
      <c r="O324" s="117" t="b">
        <f t="shared" si="2"/>
        <v>0</v>
      </c>
      <c r="P324" s="117" t="b">
        <v>1</v>
      </c>
      <c r="Q324" s="117" t="s">
        <v>368</v>
      </c>
    </row>
    <row r="325" hidden="1">
      <c r="A325" s="108"/>
      <c r="B325" s="220"/>
      <c r="C325" s="134" t="s">
        <v>54</v>
      </c>
      <c r="D325" s="220" t="str">
        <f>vlookup(M325,'Página10'!A:B,2,false)</f>
        <v>INOV00016</v>
      </c>
      <c r="E325" s="134" t="s">
        <v>146</v>
      </c>
      <c r="F325" s="221">
        <v>44959.0</v>
      </c>
      <c r="G325" s="222">
        <v>0.041666666666666664</v>
      </c>
      <c r="H325" s="134" t="s">
        <v>475</v>
      </c>
      <c r="I325" s="223" t="s">
        <v>475</v>
      </c>
      <c r="J325" s="223" t="b">
        <f t="shared" si="1"/>
        <v>1</v>
      </c>
      <c r="K325" s="145" t="s">
        <v>652</v>
      </c>
      <c r="L325" s="156"/>
      <c r="M325" s="134" t="s">
        <v>428</v>
      </c>
      <c r="N325" s="224">
        <v>106.12</v>
      </c>
      <c r="O325" s="117" t="b">
        <f t="shared" si="2"/>
        <v>1</v>
      </c>
      <c r="P325" s="117" t="b">
        <v>1</v>
      </c>
      <c r="Q325" s="117" t="s">
        <v>368</v>
      </c>
    </row>
    <row r="326" hidden="1">
      <c r="A326" s="108"/>
      <c r="B326" s="220"/>
      <c r="C326" s="134" t="s">
        <v>290</v>
      </c>
      <c r="D326" s="220" t="str">
        <f>vlookup(M326,'Página10'!A:B,2,false)</f>
        <v>INOV00001</v>
      </c>
      <c r="E326" s="134" t="s">
        <v>146</v>
      </c>
      <c r="F326" s="221">
        <v>44959.0</v>
      </c>
      <c r="G326" s="222">
        <v>0.0625</v>
      </c>
      <c r="H326" s="134" t="s">
        <v>475</v>
      </c>
      <c r="I326" s="223" t="s">
        <v>475</v>
      </c>
      <c r="J326" s="223" t="b">
        <f t="shared" si="1"/>
        <v>1</v>
      </c>
      <c r="K326" s="145" t="s">
        <v>653</v>
      </c>
      <c r="L326" s="156"/>
      <c r="M326" s="134" t="s">
        <v>416</v>
      </c>
      <c r="N326" s="224">
        <v>159.18</v>
      </c>
      <c r="O326" s="117" t="b">
        <f t="shared" si="2"/>
        <v>1</v>
      </c>
      <c r="P326" s="117" t="b">
        <v>1</v>
      </c>
      <c r="Q326" s="117" t="s">
        <v>368</v>
      </c>
    </row>
    <row r="327" hidden="1">
      <c r="A327" s="108"/>
      <c r="B327" s="220"/>
      <c r="C327" s="134" t="s">
        <v>54</v>
      </c>
      <c r="D327" s="220" t="str">
        <f>vlookup(M327,'Página10'!A:B,2,false)</f>
        <v>INOV00016</v>
      </c>
      <c r="E327" s="134" t="s">
        <v>146</v>
      </c>
      <c r="F327" s="221">
        <v>44959.0</v>
      </c>
      <c r="G327" s="222">
        <v>0.041666666666666664</v>
      </c>
      <c r="H327" s="134" t="s">
        <v>411</v>
      </c>
      <c r="I327" s="223" t="s">
        <v>411</v>
      </c>
      <c r="J327" s="223" t="b">
        <f t="shared" si="1"/>
        <v>1</v>
      </c>
      <c r="K327" s="145" t="s">
        <v>654</v>
      </c>
      <c r="L327" s="156"/>
      <c r="M327" s="134" t="s">
        <v>428</v>
      </c>
      <c r="N327" s="224">
        <v>106.12</v>
      </c>
      <c r="O327" s="117" t="b">
        <f t="shared" si="2"/>
        <v>1</v>
      </c>
      <c r="P327" s="117" t="b">
        <v>1</v>
      </c>
      <c r="Q327" s="117" t="s">
        <v>368</v>
      </c>
    </row>
    <row r="328" hidden="1">
      <c r="A328" s="108"/>
      <c r="B328" s="220"/>
      <c r="C328" s="134" t="s">
        <v>290</v>
      </c>
      <c r="D328" s="220" t="str">
        <f>vlookup(M328,'Página10'!A:B,2,false)</f>
        <v>INOV00001</v>
      </c>
      <c r="E328" s="134" t="s">
        <v>146</v>
      </c>
      <c r="F328" s="221">
        <v>44960.0</v>
      </c>
      <c r="G328" s="222">
        <v>0.041666666666666664</v>
      </c>
      <c r="H328" s="134" t="s">
        <v>475</v>
      </c>
      <c r="I328" s="223" t="s">
        <v>475</v>
      </c>
      <c r="J328" s="223" t="b">
        <f t="shared" si="1"/>
        <v>1</v>
      </c>
      <c r="K328" s="145" t="s">
        <v>655</v>
      </c>
      <c r="L328" s="156"/>
      <c r="M328" s="134" t="s">
        <v>416</v>
      </c>
      <c r="N328" s="224">
        <v>106.12</v>
      </c>
      <c r="O328" s="117" t="b">
        <f t="shared" si="2"/>
        <v>1</v>
      </c>
      <c r="P328" s="117" t="b">
        <v>1</v>
      </c>
      <c r="Q328" s="117" t="s">
        <v>368</v>
      </c>
    </row>
    <row r="329" hidden="1">
      <c r="A329" s="108"/>
      <c r="B329" s="220"/>
      <c r="C329" s="134" t="s">
        <v>62</v>
      </c>
      <c r="D329" s="220" t="str">
        <f>vlookup(M329,'Página10'!A:B,2,false)</f>
        <v>INOV00034</v>
      </c>
      <c r="E329" s="134" t="s">
        <v>146</v>
      </c>
      <c r="F329" s="221">
        <v>44960.0</v>
      </c>
      <c r="G329" s="222">
        <v>0.020833333333333332</v>
      </c>
      <c r="H329" s="134" t="s">
        <v>479</v>
      </c>
      <c r="I329" s="223" t="s">
        <v>479</v>
      </c>
      <c r="J329" s="223" t="b">
        <f t="shared" si="1"/>
        <v>1</v>
      </c>
      <c r="K329" s="145" t="s">
        <v>656</v>
      </c>
      <c r="L329" s="156"/>
      <c r="M329" s="134" t="s">
        <v>456</v>
      </c>
      <c r="N329" s="224">
        <v>0.0</v>
      </c>
      <c r="O329" s="117" t="b">
        <f t="shared" si="2"/>
        <v>0</v>
      </c>
      <c r="P329" s="117" t="b">
        <v>1</v>
      </c>
      <c r="Q329" s="117" t="s">
        <v>368</v>
      </c>
    </row>
    <row r="330" hidden="1">
      <c r="A330" s="108"/>
      <c r="B330" s="220"/>
      <c r="C330" s="134" t="s">
        <v>290</v>
      </c>
      <c r="D330" s="220" t="str">
        <f>vlookup(M330,'Página10'!A:B,2,false)</f>
        <v>INOV00001</v>
      </c>
      <c r="E330" s="134" t="s">
        <v>146</v>
      </c>
      <c r="F330" s="221">
        <v>44960.0</v>
      </c>
      <c r="G330" s="222">
        <v>0.0625</v>
      </c>
      <c r="H330" s="134" t="s">
        <v>411</v>
      </c>
      <c r="I330" s="223" t="s">
        <v>411</v>
      </c>
      <c r="J330" s="223" t="b">
        <f t="shared" si="1"/>
        <v>1</v>
      </c>
      <c r="K330" s="145" t="s">
        <v>657</v>
      </c>
      <c r="L330" s="156"/>
      <c r="M330" s="134" t="s">
        <v>416</v>
      </c>
      <c r="N330" s="224">
        <v>159.18</v>
      </c>
      <c r="O330" s="117" t="b">
        <f t="shared" si="2"/>
        <v>1</v>
      </c>
      <c r="P330" s="117" t="b">
        <v>1</v>
      </c>
      <c r="Q330" s="117" t="s">
        <v>368</v>
      </c>
    </row>
    <row r="331" hidden="1">
      <c r="A331" s="108"/>
      <c r="B331" s="220"/>
      <c r="C331" s="134" t="s">
        <v>57</v>
      </c>
      <c r="D331" s="220" t="str">
        <f>vlookup(M331,'Página10'!A:B,2,false)</f>
        <v>INOV00022</v>
      </c>
      <c r="E331" s="134" t="s">
        <v>146</v>
      </c>
      <c r="F331" s="221">
        <v>44960.0</v>
      </c>
      <c r="G331" s="222">
        <v>0.0625</v>
      </c>
      <c r="H331" s="134" t="s">
        <v>411</v>
      </c>
      <c r="I331" s="223" t="s">
        <v>411</v>
      </c>
      <c r="J331" s="223" t="b">
        <f t="shared" si="1"/>
        <v>1</v>
      </c>
      <c r="K331" s="145" t="s">
        <v>658</v>
      </c>
      <c r="L331" s="156"/>
      <c r="M331" s="134" t="s">
        <v>437</v>
      </c>
      <c r="N331" s="224">
        <v>159.18</v>
      </c>
      <c r="O331" s="117" t="b">
        <f t="shared" si="2"/>
        <v>1</v>
      </c>
      <c r="P331" s="117" t="b">
        <v>1</v>
      </c>
      <c r="Q331" s="117" t="s">
        <v>368</v>
      </c>
    </row>
    <row r="332" hidden="1">
      <c r="A332" s="108"/>
      <c r="B332" s="220"/>
      <c r="C332" s="134" t="s">
        <v>52</v>
      </c>
      <c r="D332" s="220" t="str">
        <f>vlookup(M332,'Página10'!A:B,2,false)</f>
        <v>INOV00013</v>
      </c>
      <c r="E332" s="134" t="s">
        <v>146</v>
      </c>
      <c r="F332" s="221">
        <v>44960.0</v>
      </c>
      <c r="G332" s="222">
        <v>0.020833333333333332</v>
      </c>
      <c r="H332" s="134" t="s">
        <v>479</v>
      </c>
      <c r="I332" s="223" t="s">
        <v>479</v>
      </c>
      <c r="J332" s="223" t="b">
        <f t="shared" si="1"/>
        <v>1</v>
      </c>
      <c r="K332" s="145" t="s">
        <v>659</v>
      </c>
      <c r="L332" s="156"/>
      <c r="M332" s="134" t="s">
        <v>426</v>
      </c>
      <c r="N332" s="224">
        <v>0.0</v>
      </c>
      <c r="O332" s="117" t="b">
        <f t="shared" si="2"/>
        <v>0</v>
      </c>
      <c r="P332" s="117" t="b">
        <v>1</v>
      </c>
      <c r="Q332" s="117" t="s">
        <v>368</v>
      </c>
    </row>
    <row r="333" hidden="1">
      <c r="A333" s="108"/>
      <c r="B333" s="220"/>
      <c r="C333" s="134" t="s">
        <v>54</v>
      </c>
      <c r="D333" s="220" t="str">
        <f>vlookup(M333,'Página10'!A:B,2,false)</f>
        <v>INOV00016</v>
      </c>
      <c r="E333" s="134" t="s">
        <v>146</v>
      </c>
      <c r="F333" s="221">
        <v>44960.0</v>
      </c>
      <c r="G333" s="222">
        <v>0.020833333333333332</v>
      </c>
      <c r="H333" s="134" t="s">
        <v>479</v>
      </c>
      <c r="I333" s="223" t="s">
        <v>479</v>
      </c>
      <c r="J333" s="223" t="b">
        <f t="shared" si="1"/>
        <v>1</v>
      </c>
      <c r="K333" s="145" t="s">
        <v>659</v>
      </c>
      <c r="L333" s="156"/>
      <c r="M333" s="134" t="s">
        <v>428</v>
      </c>
      <c r="N333" s="224">
        <v>0.0</v>
      </c>
      <c r="O333" s="117" t="b">
        <f t="shared" si="2"/>
        <v>0</v>
      </c>
      <c r="P333" s="117" t="b">
        <v>1</v>
      </c>
      <c r="Q333" s="117" t="s">
        <v>368</v>
      </c>
    </row>
    <row r="334" hidden="1">
      <c r="A334" s="108"/>
      <c r="B334" s="220"/>
      <c r="C334" s="134" t="s">
        <v>290</v>
      </c>
      <c r="D334" s="220" t="str">
        <f>vlookup(M334,'Página10'!A:B,2,false)</f>
        <v>INOV00001</v>
      </c>
      <c r="E334" s="134" t="s">
        <v>146</v>
      </c>
      <c r="F334" s="221">
        <v>44963.0</v>
      </c>
      <c r="G334" s="222">
        <v>0.08333333333333333</v>
      </c>
      <c r="H334" s="134" t="s">
        <v>411</v>
      </c>
      <c r="I334" s="223" t="s">
        <v>411</v>
      </c>
      <c r="J334" s="223" t="b">
        <f t="shared" si="1"/>
        <v>1</v>
      </c>
      <c r="K334" s="145" t="s">
        <v>660</v>
      </c>
      <c r="L334" s="156"/>
      <c r="M334" s="134" t="s">
        <v>416</v>
      </c>
      <c r="N334" s="224">
        <v>212.24</v>
      </c>
      <c r="O334" s="117" t="b">
        <f t="shared" si="2"/>
        <v>1</v>
      </c>
      <c r="P334" s="117" t="b">
        <v>1</v>
      </c>
      <c r="Q334" s="117" t="s">
        <v>368</v>
      </c>
    </row>
    <row r="335" hidden="1">
      <c r="A335" s="108"/>
      <c r="B335" s="220"/>
      <c r="C335" s="134" t="s">
        <v>290</v>
      </c>
      <c r="D335" s="220" t="str">
        <f>vlookup(M335,'Página10'!A:B,2,false)</f>
        <v>INOV00001</v>
      </c>
      <c r="E335" s="134" t="s">
        <v>146</v>
      </c>
      <c r="F335" s="221">
        <v>44963.0</v>
      </c>
      <c r="G335" s="222">
        <v>0.08333333333333333</v>
      </c>
      <c r="H335" s="134" t="s">
        <v>411</v>
      </c>
      <c r="I335" s="223" t="s">
        <v>411</v>
      </c>
      <c r="J335" s="223" t="b">
        <f t="shared" si="1"/>
        <v>1</v>
      </c>
      <c r="K335" s="145" t="s">
        <v>661</v>
      </c>
      <c r="L335" s="156"/>
      <c r="M335" s="134" t="s">
        <v>416</v>
      </c>
      <c r="N335" s="224">
        <v>212.24</v>
      </c>
      <c r="O335" s="117" t="b">
        <f t="shared" si="2"/>
        <v>1</v>
      </c>
      <c r="P335" s="117" t="b">
        <v>1</v>
      </c>
      <c r="Q335" s="117" t="s">
        <v>368</v>
      </c>
    </row>
    <row r="336" hidden="1">
      <c r="A336" s="108"/>
      <c r="B336" s="220"/>
      <c r="C336" s="134" t="s">
        <v>55</v>
      </c>
      <c r="D336" s="220" t="str">
        <f>vlookup(M336,'Página10'!A:B,2,false)</f>
        <v>INOV00017</v>
      </c>
      <c r="E336" s="134" t="s">
        <v>146</v>
      </c>
      <c r="F336" s="221">
        <v>44964.0</v>
      </c>
      <c r="G336" s="222">
        <v>0.020833333333333332</v>
      </c>
      <c r="H336" s="134" t="s">
        <v>411</v>
      </c>
      <c r="I336" s="223" t="s">
        <v>411</v>
      </c>
      <c r="J336" s="223" t="b">
        <f t="shared" si="1"/>
        <v>1</v>
      </c>
      <c r="K336" s="145" t="s">
        <v>662</v>
      </c>
      <c r="L336" s="156"/>
      <c r="M336" s="134" t="s">
        <v>429</v>
      </c>
      <c r="N336" s="224">
        <v>53.06</v>
      </c>
      <c r="O336" s="117" t="b">
        <f t="shared" si="2"/>
        <v>1</v>
      </c>
      <c r="P336" s="117" t="b">
        <v>1</v>
      </c>
      <c r="Q336" s="117" t="s">
        <v>368</v>
      </c>
    </row>
    <row r="337" hidden="1">
      <c r="A337" s="108"/>
      <c r="B337" s="220"/>
      <c r="C337" s="134" t="s">
        <v>290</v>
      </c>
      <c r="D337" s="220" t="str">
        <f>vlookup(M337,'Página10'!A:B,2,false)</f>
        <v>INOV00001</v>
      </c>
      <c r="E337" s="134" t="s">
        <v>146</v>
      </c>
      <c r="F337" s="221">
        <v>44964.0</v>
      </c>
      <c r="G337" s="222">
        <v>0.041666666666666664</v>
      </c>
      <c r="H337" s="134" t="s">
        <v>475</v>
      </c>
      <c r="I337" s="223" t="s">
        <v>475</v>
      </c>
      <c r="J337" s="223" t="b">
        <f t="shared" si="1"/>
        <v>1</v>
      </c>
      <c r="K337" s="145" t="s">
        <v>663</v>
      </c>
      <c r="L337" s="156"/>
      <c r="M337" s="134" t="s">
        <v>416</v>
      </c>
      <c r="N337" s="224">
        <v>106.12</v>
      </c>
      <c r="O337" s="117" t="b">
        <f t="shared" si="2"/>
        <v>1</v>
      </c>
      <c r="P337" s="117" t="b">
        <v>1</v>
      </c>
      <c r="Q337" s="117" t="s">
        <v>368</v>
      </c>
    </row>
    <row r="338" hidden="1">
      <c r="A338" s="108"/>
      <c r="B338" s="220"/>
      <c r="C338" s="134" t="s">
        <v>55</v>
      </c>
      <c r="D338" s="220" t="str">
        <f>vlookup(M338,'Página10'!A:B,2,false)</f>
        <v>INOV00017</v>
      </c>
      <c r="E338" s="134" t="s">
        <v>146</v>
      </c>
      <c r="F338" s="221">
        <v>44964.0</v>
      </c>
      <c r="G338" s="222">
        <v>0.10416666666666667</v>
      </c>
      <c r="H338" s="134" t="s">
        <v>411</v>
      </c>
      <c r="I338" s="223" t="s">
        <v>411</v>
      </c>
      <c r="J338" s="223" t="b">
        <f t="shared" si="1"/>
        <v>1</v>
      </c>
      <c r="K338" s="145" t="s">
        <v>664</v>
      </c>
      <c r="L338" s="156"/>
      <c r="M338" s="134" t="s">
        <v>429</v>
      </c>
      <c r="N338" s="224">
        <v>265.3</v>
      </c>
      <c r="O338" s="117" t="b">
        <f t="shared" si="2"/>
        <v>1</v>
      </c>
      <c r="P338" s="117" t="b">
        <v>1</v>
      </c>
      <c r="Q338" s="117" t="s">
        <v>368</v>
      </c>
    </row>
    <row r="339" hidden="1">
      <c r="A339" s="108"/>
      <c r="B339" s="220"/>
      <c r="C339" s="134" t="s">
        <v>54</v>
      </c>
      <c r="D339" s="220" t="str">
        <f>vlookup(M339,'Página10'!A:B,2,false)</f>
        <v>INOV00016</v>
      </c>
      <c r="E339" s="134" t="s">
        <v>146</v>
      </c>
      <c r="F339" s="221">
        <v>44964.0</v>
      </c>
      <c r="G339" s="222">
        <v>0.020833333333333332</v>
      </c>
      <c r="H339" s="134" t="s">
        <v>479</v>
      </c>
      <c r="I339" s="223" t="s">
        <v>411</v>
      </c>
      <c r="J339" s="223" t="b">
        <f t="shared" si="1"/>
        <v>0</v>
      </c>
      <c r="K339" s="145" t="s">
        <v>665</v>
      </c>
      <c r="L339" s="156"/>
      <c r="M339" s="134" t="s">
        <v>428</v>
      </c>
      <c r="N339" s="224">
        <v>0.0</v>
      </c>
      <c r="O339" s="117" t="b">
        <f t="shared" si="2"/>
        <v>0</v>
      </c>
      <c r="P339" s="117" t="b">
        <v>1</v>
      </c>
      <c r="Q339" s="117" t="s">
        <v>368</v>
      </c>
    </row>
    <row r="340" hidden="1">
      <c r="A340" s="108"/>
      <c r="B340" s="220"/>
      <c r="C340" s="134" t="s">
        <v>55</v>
      </c>
      <c r="D340" s="220" t="str">
        <f>vlookup(M340,'Página10'!A:B,2,false)</f>
        <v>INOV00017</v>
      </c>
      <c r="E340" s="134" t="s">
        <v>146</v>
      </c>
      <c r="F340" s="221">
        <v>44965.0</v>
      </c>
      <c r="G340" s="222">
        <v>0.20833333333333334</v>
      </c>
      <c r="H340" s="134" t="s">
        <v>475</v>
      </c>
      <c r="I340" s="223" t="s">
        <v>475</v>
      </c>
      <c r="J340" s="223" t="b">
        <f t="shared" si="1"/>
        <v>1</v>
      </c>
      <c r="K340" s="145" t="s">
        <v>666</v>
      </c>
      <c r="L340" s="156"/>
      <c r="M340" s="134" t="s">
        <v>429</v>
      </c>
      <c r="N340" s="224">
        <v>530.6</v>
      </c>
      <c r="O340" s="117" t="b">
        <f t="shared" si="2"/>
        <v>1</v>
      </c>
      <c r="P340" s="117" t="b">
        <v>1</v>
      </c>
      <c r="Q340" s="117" t="s">
        <v>368</v>
      </c>
    </row>
    <row r="341" hidden="1">
      <c r="A341" s="108"/>
      <c r="B341" s="220"/>
      <c r="C341" s="134" t="s">
        <v>290</v>
      </c>
      <c r="D341" s="220" t="str">
        <f>vlookup(M341,'Página10'!A:B,2,false)</f>
        <v>INOV00001</v>
      </c>
      <c r="E341" s="134" t="s">
        <v>146</v>
      </c>
      <c r="F341" s="221">
        <v>44965.0</v>
      </c>
      <c r="G341" s="222">
        <v>0.0625</v>
      </c>
      <c r="H341" s="134" t="s">
        <v>411</v>
      </c>
      <c r="I341" s="223" t="s">
        <v>411</v>
      </c>
      <c r="J341" s="223" t="b">
        <f t="shared" si="1"/>
        <v>1</v>
      </c>
      <c r="K341" s="145" t="s">
        <v>667</v>
      </c>
      <c r="L341" s="156"/>
      <c r="M341" s="134" t="s">
        <v>416</v>
      </c>
      <c r="N341" s="224">
        <v>159.18</v>
      </c>
      <c r="O341" s="117" t="b">
        <f t="shared" si="2"/>
        <v>1</v>
      </c>
      <c r="P341" s="117" t="b">
        <v>1</v>
      </c>
      <c r="Q341" s="117" t="s">
        <v>368</v>
      </c>
    </row>
    <row r="342" hidden="1">
      <c r="A342" s="108"/>
      <c r="B342" s="220"/>
      <c r="C342" s="134" t="s">
        <v>54</v>
      </c>
      <c r="D342" s="220" t="str">
        <f>vlookup(M342,'Página10'!A:B,2,false)</f>
        <v>INOV00016</v>
      </c>
      <c r="E342" s="134" t="s">
        <v>146</v>
      </c>
      <c r="F342" s="221">
        <v>44965.0</v>
      </c>
      <c r="G342" s="222">
        <v>0.0625</v>
      </c>
      <c r="H342" s="134" t="s">
        <v>411</v>
      </c>
      <c r="I342" s="223" t="s">
        <v>411</v>
      </c>
      <c r="J342" s="223" t="b">
        <f t="shared" si="1"/>
        <v>1</v>
      </c>
      <c r="K342" s="145" t="s">
        <v>668</v>
      </c>
      <c r="L342" s="156"/>
      <c r="M342" s="134" t="s">
        <v>428</v>
      </c>
      <c r="N342" s="224">
        <v>159.18</v>
      </c>
      <c r="O342" s="117" t="b">
        <f t="shared" si="2"/>
        <v>1</v>
      </c>
      <c r="P342" s="117" t="b">
        <v>1</v>
      </c>
      <c r="Q342" s="117" t="s">
        <v>368</v>
      </c>
    </row>
    <row r="343" hidden="1">
      <c r="A343" s="108"/>
      <c r="B343" s="220"/>
      <c r="C343" s="134" t="s">
        <v>290</v>
      </c>
      <c r="D343" s="220" t="str">
        <f>vlookup(M343,'Página10'!A:B,2,false)</f>
        <v>INOV00001</v>
      </c>
      <c r="E343" s="134" t="s">
        <v>146</v>
      </c>
      <c r="F343" s="221">
        <v>44966.0</v>
      </c>
      <c r="G343" s="222">
        <v>0.0625</v>
      </c>
      <c r="H343" s="134" t="s">
        <v>411</v>
      </c>
      <c r="I343" s="223" t="s">
        <v>411</v>
      </c>
      <c r="J343" s="223" t="b">
        <f t="shared" si="1"/>
        <v>1</v>
      </c>
      <c r="K343" s="145" t="s">
        <v>669</v>
      </c>
      <c r="L343" s="156"/>
      <c r="M343" s="134" t="s">
        <v>416</v>
      </c>
      <c r="N343" s="224">
        <v>159.18</v>
      </c>
      <c r="O343" s="117" t="b">
        <f t="shared" si="2"/>
        <v>1</v>
      </c>
      <c r="P343" s="117" t="b">
        <v>1</v>
      </c>
      <c r="Q343" s="117" t="s">
        <v>368</v>
      </c>
    </row>
    <row r="344" hidden="1">
      <c r="A344" s="108"/>
      <c r="B344" s="220"/>
      <c r="C344" s="134" t="s">
        <v>290</v>
      </c>
      <c r="D344" s="220" t="str">
        <f>vlookup(M344,'Página10'!A:B,2,false)</f>
        <v>INOV00001</v>
      </c>
      <c r="E344" s="134" t="s">
        <v>146</v>
      </c>
      <c r="F344" s="221">
        <v>44966.0</v>
      </c>
      <c r="G344" s="222">
        <v>0.13541666666666666</v>
      </c>
      <c r="H344" s="134" t="s">
        <v>411</v>
      </c>
      <c r="I344" s="223" t="s">
        <v>411</v>
      </c>
      <c r="J344" s="223" t="b">
        <f t="shared" si="1"/>
        <v>1</v>
      </c>
      <c r="K344" s="145" t="s">
        <v>670</v>
      </c>
      <c r="L344" s="156"/>
      <c r="M344" s="134" t="s">
        <v>416</v>
      </c>
      <c r="N344" s="224">
        <v>344.89</v>
      </c>
      <c r="O344" s="117" t="b">
        <f t="shared" si="2"/>
        <v>1</v>
      </c>
      <c r="P344" s="117" t="b">
        <v>1</v>
      </c>
      <c r="Q344" s="117" t="s">
        <v>368</v>
      </c>
    </row>
    <row r="345" hidden="1">
      <c r="A345" s="108"/>
      <c r="B345" s="220"/>
      <c r="C345" s="134" t="s">
        <v>290</v>
      </c>
      <c r="D345" s="220" t="str">
        <f>vlookup(M345,'Página10'!A:B,2,false)</f>
        <v>INOV00001</v>
      </c>
      <c r="E345" s="134" t="s">
        <v>146</v>
      </c>
      <c r="F345" s="221">
        <v>44966.0</v>
      </c>
      <c r="G345" s="222">
        <v>0.020833333333333332</v>
      </c>
      <c r="H345" s="134" t="s">
        <v>411</v>
      </c>
      <c r="I345" s="223" t="s">
        <v>411</v>
      </c>
      <c r="J345" s="223" t="b">
        <f t="shared" si="1"/>
        <v>1</v>
      </c>
      <c r="K345" s="145" t="s">
        <v>671</v>
      </c>
      <c r="L345" s="156"/>
      <c r="M345" s="134" t="s">
        <v>416</v>
      </c>
      <c r="N345" s="224">
        <v>53.06</v>
      </c>
      <c r="O345" s="117" t="b">
        <f t="shared" si="2"/>
        <v>1</v>
      </c>
      <c r="P345" s="117" t="b">
        <v>1</v>
      </c>
      <c r="Q345" s="117" t="s">
        <v>368</v>
      </c>
    </row>
    <row r="346" hidden="1">
      <c r="A346" s="108"/>
      <c r="B346" s="220"/>
      <c r="C346" s="134" t="s">
        <v>54</v>
      </c>
      <c r="D346" s="220" t="str">
        <f>vlookup(M346,'Página10'!A:B,2,false)</f>
        <v>INOV00016</v>
      </c>
      <c r="E346" s="134" t="s">
        <v>146</v>
      </c>
      <c r="F346" s="221">
        <v>44966.0</v>
      </c>
      <c r="G346" s="222">
        <v>0.013888888888888888</v>
      </c>
      <c r="H346" s="134" t="s">
        <v>411</v>
      </c>
      <c r="I346" s="223" t="s">
        <v>411</v>
      </c>
      <c r="J346" s="223" t="b">
        <f t="shared" si="1"/>
        <v>1</v>
      </c>
      <c r="K346" s="145" t="s">
        <v>672</v>
      </c>
      <c r="L346" s="156"/>
      <c r="M346" s="134" t="s">
        <v>428</v>
      </c>
      <c r="N346" s="224">
        <v>35.37</v>
      </c>
      <c r="O346" s="117" t="b">
        <f t="shared" si="2"/>
        <v>1</v>
      </c>
      <c r="P346" s="117" t="b">
        <v>1</v>
      </c>
      <c r="Q346" s="117" t="s">
        <v>368</v>
      </c>
    </row>
    <row r="347" hidden="1">
      <c r="A347" s="108"/>
      <c r="B347" s="220"/>
      <c r="C347" s="134" t="s">
        <v>290</v>
      </c>
      <c r="D347" s="220" t="str">
        <f>vlookup(M347,'Página10'!A:B,2,false)</f>
        <v>INOV00001</v>
      </c>
      <c r="E347" s="134" t="s">
        <v>146</v>
      </c>
      <c r="F347" s="221">
        <v>44966.0</v>
      </c>
      <c r="G347" s="222">
        <v>0.08333333333333333</v>
      </c>
      <c r="H347" s="134" t="s">
        <v>411</v>
      </c>
      <c r="I347" s="223" t="s">
        <v>411</v>
      </c>
      <c r="J347" s="223" t="b">
        <f t="shared" si="1"/>
        <v>1</v>
      </c>
      <c r="K347" s="145" t="s">
        <v>673</v>
      </c>
      <c r="L347" s="156"/>
      <c r="M347" s="134" t="s">
        <v>416</v>
      </c>
      <c r="N347" s="224">
        <v>212.24</v>
      </c>
      <c r="O347" s="117" t="b">
        <f t="shared" si="2"/>
        <v>1</v>
      </c>
      <c r="P347" s="117" t="b">
        <v>1</v>
      </c>
      <c r="Q347" s="117" t="s">
        <v>368</v>
      </c>
    </row>
    <row r="348" hidden="1">
      <c r="A348" s="108"/>
      <c r="B348" s="220"/>
      <c r="C348" s="134" t="s">
        <v>290</v>
      </c>
      <c r="D348" s="220" t="str">
        <f>vlookup(M348,'Página10'!A:B,2,false)</f>
        <v>INOV00001</v>
      </c>
      <c r="E348" s="134" t="s">
        <v>146</v>
      </c>
      <c r="F348" s="221">
        <v>44967.0</v>
      </c>
      <c r="G348" s="222">
        <v>0.041666666666666664</v>
      </c>
      <c r="H348" s="134" t="s">
        <v>411</v>
      </c>
      <c r="I348" s="223" t="s">
        <v>411</v>
      </c>
      <c r="J348" s="223" t="b">
        <f t="shared" si="1"/>
        <v>1</v>
      </c>
      <c r="K348" s="145" t="s">
        <v>674</v>
      </c>
      <c r="L348" s="156"/>
      <c r="M348" s="134" t="s">
        <v>416</v>
      </c>
      <c r="N348" s="224">
        <v>106.12</v>
      </c>
      <c r="O348" s="117" t="b">
        <f t="shared" si="2"/>
        <v>1</v>
      </c>
      <c r="P348" s="117" t="b">
        <v>1</v>
      </c>
      <c r="Q348" s="117" t="s">
        <v>368</v>
      </c>
    </row>
    <row r="349" hidden="1">
      <c r="A349" s="108"/>
      <c r="B349" s="220"/>
      <c r="C349" s="134" t="s">
        <v>290</v>
      </c>
      <c r="D349" s="220" t="str">
        <f>vlookup(M349,'Página10'!A:B,2,false)</f>
        <v>INOV00001</v>
      </c>
      <c r="E349" s="134" t="s">
        <v>146</v>
      </c>
      <c r="F349" s="221">
        <v>44967.0</v>
      </c>
      <c r="G349" s="222">
        <v>0.08333333333333333</v>
      </c>
      <c r="H349" s="134" t="s">
        <v>411</v>
      </c>
      <c r="I349" s="223" t="s">
        <v>411</v>
      </c>
      <c r="J349" s="223" t="b">
        <f t="shared" si="1"/>
        <v>1</v>
      </c>
      <c r="K349" s="145" t="s">
        <v>675</v>
      </c>
      <c r="L349" s="156"/>
      <c r="M349" s="134" t="s">
        <v>416</v>
      </c>
      <c r="N349" s="224">
        <v>212.24</v>
      </c>
      <c r="O349" s="117" t="b">
        <f t="shared" si="2"/>
        <v>1</v>
      </c>
      <c r="P349" s="117" t="b">
        <v>1</v>
      </c>
      <c r="Q349" s="117" t="s">
        <v>368</v>
      </c>
    </row>
    <row r="350" hidden="1">
      <c r="A350" s="108"/>
      <c r="B350" s="220"/>
      <c r="C350" s="134" t="s">
        <v>55</v>
      </c>
      <c r="D350" s="220" t="str">
        <f>vlookup(M350,'Página10'!A:B,2,false)</f>
        <v>INOV00017</v>
      </c>
      <c r="E350" s="134" t="s">
        <v>146</v>
      </c>
      <c r="F350" s="221">
        <v>44967.0</v>
      </c>
      <c r="G350" s="222">
        <v>0.125</v>
      </c>
      <c r="H350" s="134" t="s">
        <v>411</v>
      </c>
      <c r="I350" s="223" t="s">
        <v>411</v>
      </c>
      <c r="J350" s="223" t="b">
        <f t="shared" si="1"/>
        <v>1</v>
      </c>
      <c r="K350" s="145" t="s">
        <v>676</v>
      </c>
      <c r="L350" s="156"/>
      <c r="M350" s="134" t="s">
        <v>429</v>
      </c>
      <c r="N350" s="224">
        <v>318.36</v>
      </c>
      <c r="O350" s="117" t="b">
        <f t="shared" si="2"/>
        <v>1</v>
      </c>
      <c r="P350" s="117" t="b">
        <v>1</v>
      </c>
      <c r="Q350" s="117" t="s">
        <v>368</v>
      </c>
    </row>
    <row r="351" hidden="1">
      <c r="A351" s="108"/>
      <c r="B351" s="220"/>
      <c r="C351" s="134" t="s">
        <v>52</v>
      </c>
      <c r="D351" s="220" t="str">
        <f>vlookup(M351,'Página10'!A:B,2,false)</f>
        <v>INOV00013</v>
      </c>
      <c r="E351" s="134" t="s">
        <v>146</v>
      </c>
      <c r="F351" s="221">
        <v>44970.0</v>
      </c>
      <c r="G351" s="222">
        <v>0.041666666666666664</v>
      </c>
      <c r="H351" s="134" t="s">
        <v>411</v>
      </c>
      <c r="I351" s="223" t="s">
        <v>411</v>
      </c>
      <c r="J351" s="223" t="b">
        <f t="shared" si="1"/>
        <v>1</v>
      </c>
      <c r="K351" s="145" t="s">
        <v>677</v>
      </c>
      <c r="L351" s="156"/>
      <c r="M351" s="134" t="s">
        <v>426</v>
      </c>
      <c r="N351" s="224">
        <v>106.12</v>
      </c>
      <c r="O351" s="117" t="b">
        <f t="shared" si="2"/>
        <v>1</v>
      </c>
      <c r="P351" s="117" t="b">
        <v>1</v>
      </c>
      <c r="Q351" s="117" t="s">
        <v>368</v>
      </c>
    </row>
    <row r="352" hidden="1">
      <c r="A352" s="108"/>
      <c r="B352" s="220"/>
      <c r="C352" s="134" t="s">
        <v>290</v>
      </c>
      <c r="D352" s="220" t="str">
        <f>vlookup(M352,'Página10'!A:B,2,false)</f>
        <v>INOV00001</v>
      </c>
      <c r="E352" s="134" t="s">
        <v>146</v>
      </c>
      <c r="F352" s="221">
        <v>44970.0</v>
      </c>
      <c r="G352" s="222">
        <v>0.10416666666666667</v>
      </c>
      <c r="H352" s="134" t="s">
        <v>411</v>
      </c>
      <c r="I352" s="223" t="s">
        <v>411</v>
      </c>
      <c r="J352" s="223" t="b">
        <f t="shared" si="1"/>
        <v>1</v>
      </c>
      <c r="K352" s="145" t="s">
        <v>678</v>
      </c>
      <c r="L352" s="156"/>
      <c r="M352" s="134" t="s">
        <v>416</v>
      </c>
      <c r="N352" s="224">
        <v>265.3</v>
      </c>
      <c r="O352" s="117" t="b">
        <f t="shared" si="2"/>
        <v>1</v>
      </c>
      <c r="P352" s="117" t="b">
        <v>1</v>
      </c>
      <c r="Q352" s="117" t="s">
        <v>368</v>
      </c>
    </row>
    <row r="353" hidden="1">
      <c r="A353" s="108"/>
      <c r="B353" s="220"/>
      <c r="C353" s="134" t="s">
        <v>55</v>
      </c>
      <c r="D353" s="220" t="str">
        <f>vlookup(M353,'Página10'!A:B,2,false)</f>
        <v>INOV00017</v>
      </c>
      <c r="E353" s="134" t="s">
        <v>146</v>
      </c>
      <c r="F353" s="221">
        <v>44970.0</v>
      </c>
      <c r="G353" s="222">
        <v>0.09027777777777778</v>
      </c>
      <c r="H353" s="134" t="s">
        <v>411</v>
      </c>
      <c r="I353" s="223" t="s">
        <v>411</v>
      </c>
      <c r="J353" s="223" t="b">
        <f t="shared" si="1"/>
        <v>1</v>
      </c>
      <c r="K353" s="145" t="s">
        <v>676</v>
      </c>
      <c r="L353" s="156"/>
      <c r="M353" s="134" t="s">
        <v>429</v>
      </c>
      <c r="N353" s="224">
        <v>229.93</v>
      </c>
      <c r="O353" s="117" t="b">
        <f t="shared" si="2"/>
        <v>1</v>
      </c>
      <c r="P353" s="117" t="b">
        <v>1</v>
      </c>
      <c r="Q353" s="117" t="s">
        <v>368</v>
      </c>
    </row>
    <row r="354" hidden="1">
      <c r="A354" s="108"/>
      <c r="B354" s="220"/>
      <c r="C354" s="134" t="s">
        <v>54</v>
      </c>
      <c r="D354" s="220" t="str">
        <f>vlookup(M354,'Página10'!A:B,2,false)</f>
        <v>INOV00016</v>
      </c>
      <c r="E354" s="134" t="s">
        <v>146</v>
      </c>
      <c r="F354" s="221">
        <v>44971.0</v>
      </c>
      <c r="G354" s="222">
        <v>0.03125</v>
      </c>
      <c r="H354" s="134" t="s">
        <v>411</v>
      </c>
      <c r="I354" s="223" t="s">
        <v>411</v>
      </c>
      <c r="J354" s="223" t="b">
        <f t="shared" si="1"/>
        <v>1</v>
      </c>
      <c r="K354" s="145" t="s">
        <v>679</v>
      </c>
      <c r="L354" s="156"/>
      <c r="M354" s="134" t="s">
        <v>428</v>
      </c>
      <c r="N354" s="224">
        <v>79.59</v>
      </c>
      <c r="O354" s="117" t="b">
        <f t="shared" si="2"/>
        <v>1</v>
      </c>
      <c r="P354" s="117" t="b">
        <v>1</v>
      </c>
      <c r="Q354" s="117" t="s">
        <v>368</v>
      </c>
    </row>
    <row r="355" hidden="1">
      <c r="A355" s="108"/>
      <c r="B355" s="220"/>
      <c r="C355" s="134" t="s">
        <v>290</v>
      </c>
      <c r="D355" s="220" t="str">
        <f>vlookup(M355,'Página10'!A:B,2,false)</f>
        <v>INOV00001</v>
      </c>
      <c r="E355" s="134" t="s">
        <v>146</v>
      </c>
      <c r="F355" s="221">
        <v>44971.0</v>
      </c>
      <c r="G355" s="222">
        <v>0.16666666666666666</v>
      </c>
      <c r="H355" s="134" t="s">
        <v>411</v>
      </c>
      <c r="I355" s="223" t="s">
        <v>411</v>
      </c>
      <c r="J355" s="223" t="b">
        <f t="shared" si="1"/>
        <v>1</v>
      </c>
      <c r="K355" s="145" t="s">
        <v>673</v>
      </c>
      <c r="L355" s="156"/>
      <c r="M355" s="134" t="s">
        <v>416</v>
      </c>
      <c r="N355" s="224">
        <v>424.48</v>
      </c>
      <c r="O355" s="117" t="b">
        <f t="shared" si="2"/>
        <v>1</v>
      </c>
      <c r="P355" s="117" t="b">
        <v>1</v>
      </c>
      <c r="Q355" s="117" t="s">
        <v>368</v>
      </c>
    </row>
    <row r="356" hidden="1">
      <c r="A356" s="108"/>
      <c r="B356" s="220"/>
      <c r="C356" s="134" t="s">
        <v>290</v>
      </c>
      <c r="D356" s="220" t="str">
        <f>vlookup(M356,'Página10'!A:B,2,false)</f>
        <v>INOV00001</v>
      </c>
      <c r="E356" s="134" t="s">
        <v>146</v>
      </c>
      <c r="F356" s="221">
        <v>44971.0</v>
      </c>
      <c r="G356" s="222">
        <v>0.020833333333333332</v>
      </c>
      <c r="H356" s="134" t="s">
        <v>411</v>
      </c>
      <c r="I356" s="223" t="s">
        <v>411</v>
      </c>
      <c r="J356" s="223" t="b">
        <f t="shared" si="1"/>
        <v>1</v>
      </c>
      <c r="K356" s="145" t="s">
        <v>680</v>
      </c>
      <c r="L356" s="156"/>
      <c r="M356" s="134" t="s">
        <v>416</v>
      </c>
      <c r="N356" s="224">
        <v>53.06</v>
      </c>
      <c r="O356" s="117" t="b">
        <f t="shared" si="2"/>
        <v>1</v>
      </c>
      <c r="P356" s="117" t="b">
        <v>1</v>
      </c>
      <c r="Q356" s="117" t="s">
        <v>368</v>
      </c>
    </row>
    <row r="357" hidden="1">
      <c r="A357" s="108"/>
      <c r="B357" s="220"/>
      <c r="C357" s="134" t="s">
        <v>52</v>
      </c>
      <c r="D357" s="220" t="str">
        <f>vlookup(M357,'Página10'!A:B,2,false)</f>
        <v>INOV00013</v>
      </c>
      <c r="E357" s="134" t="s">
        <v>146</v>
      </c>
      <c r="F357" s="221">
        <v>44971.0</v>
      </c>
      <c r="G357" s="222">
        <v>0.013888888888888888</v>
      </c>
      <c r="H357" s="134" t="s">
        <v>411</v>
      </c>
      <c r="I357" s="223" t="s">
        <v>411</v>
      </c>
      <c r="J357" s="223" t="b">
        <f t="shared" si="1"/>
        <v>1</v>
      </c>
      <c r="K357" s="145" t="s">
        <v>681</v>
      </c>
      <c r="L357" s="156"/>
      <c r="M357" s="134" t="s">
        <v>426</v>
      </c>
      <c r="N357" s="224">
        <v>35.37</v>
      </c>
      <c r="O357" s="117" t="b">
        <f t="shared" si="2"/>
        <v>1</v>
      </c>
      <c r="P357" s="117" t="b">
        <v>1</v>
      </c>
      <c r="Q357" s="117" t="s">
        <v>368</v>
      </c>
    </row>
    <row r="358" hidden="1">
      <c r="A358" s="108"/>
      <c r="B358" s="220"/>
      <c r="C358" s="134" t="s">
        <v>54</v>
      </c>
      <c r="D358" s="220" t="str">
        <f>vlookup(M358,'Página10'!A:B,2,false)</f>
        <v>INOV00016</v>
      </c>
      <c r="E358" s="134" t="s">
        <v>146</v>
      </c>
      <c r="F358" s="221">
        <v>44971.0</v>
      </c>
      <c r="G358" s="222">
        <v>0.013888888888888888</v>
      </c>
      <c r="H358" s="134" t="s">
        <v>411</v>
      </c>
      <c r="I358" s="223" t="s">
        <v>411</v>
      </c>
      <c r="J358" s="223" t="b">
        <f t="shared" si="1"/>
        <v>1</v>
      </c>
      <c r="K358" s="145" t="s">
        <v>682</v>
      </c>
      <c r="L358" s="156"/>
      <c r="M358" s="134" t="s">
        <v>428</v>
      </c>
      <c r="N358" s="224">
        <v>35.37</v>
      </c>
      <c r="O358" s="117" t="b">
        <f t="shared" si="2"/>
        <v>1</v>
      </c>
      <c r="P358" s="117" t="b">
        <v>1</v>
      </c>
      <c r="Q358" s="117" t="s">
        <v>368</v>
      </c>
    </row>
    <row r="359" hidden="1">
      <c r="A359" s="108"/>
      <c r="B359" s="220"/>
      <c r="C359" s="134" t="s">
        <v>290</v>
      </c>
      <c r="D359" s="220" t="str">
        <f>vlookup(M359,'Página10'!A:B,2,false)</f>
        <v>INOV00001</v>
      </c>
      <c r="E359" s="134" t="s">
        <v>146</v>
      </c>
      <c r="F359" s="221">
        <v>44971.0</v>
      </c>
      <c r="G359" s="222">
        <v>0.013888888888888888</v>
      </c>
      <c r="H359" s="134" t="s">
        <v>479</v>
      </c>
      <c r="I359" s="223" t="s">
        <v>479</v>
      </c>
      <c r="J359" s="223" t="b">
        <f t="shared" si="1"/>
        <v>1</v>
      </c>
      <c r="K359" s="145" t="s">
        <v>683</v>
      </c>
      <c r="L359" s="156"/>
      <c r="M359" s="134" t="s">
        <v>416</v>
      </c>
      <c r="N359" s="224">
        <v>0.0</v>
      </c>
      <c r="O359" s="117" t="b">
        <f t="shared" si="2"/>
        <v>0</v>
      </c>
      <c r="P359" s="117" t="b">
        <v>1</v>
      </c>
      <c r="Q359" s="117" t="s">
        <v>368</v>
      </c>
    </row>
    <row r="360" hidden="1">
      <c r="A360" s="108"/>
      <c r="B360" s="220"/>
      <c r="C360" s="134" t="s">
        <v>54</v>
      </c>
      <c r="D360" s="220" t="str">
        <f>vlookup(M360,'Página10'!A:B,2,false)</f>
        <v>INOV00016</v>
      </c>
      <c r="E360" s="134" t="s">
        <v>146</v>
      </c>
      <c r="F360" s="221">
        <v>44971.0</v>
      </c>
      <c r="G360" s="222">
        <v>0.013888888888888888</v>
      </c>
      <c r="H360" s="134" t="s">
        <v>479</v>
      </c>
      <c r="I360" s="223" t="s">
        <v>479</v>
      </c>
      <c r="J360" s="223" t="b">
        <f t="shared" si="1"/>
        <v>1</v>
      </c>
      <c r="K360" s="145" t="s">
        <v>683</v>
      </c>
      <c r="L360" s="156"/>
      <c r="M360" s="134" t="s">
        <v>428</v>
      </c>
      <c r="N360" s="224">
        <v>0.0</v>
      </c>
      <c r="O360" s="117" t="b">
        <f t="shared" si="2"/>
        <v>0</v>
      </c>
      <c r="P360" s="117" t="b">
        <v>1</v>
      </c>
      <c r="Q360" s="117" t="s">
        <v>368</v>
      </c>
    </row>
    <row r="361" hidden="1">
      <c r="A361" s="108"/>
      <c r="B361" s="220"/>
      <c r="C361" s="134" t="s">
        <v>290</v>
      </c>
      <c r="D361" s="220" t="str">
        <f>vlookup(M361,'Página10'!A:B,2,false)</f>
        <v>INOV00001</v>
      </c>
      <c r="E361" s="134" t="s">
        <v>146</v>
      </c>
      <c r="F361" s="221">
        <v>44972.0</v>
      </c>
      <c r="G361" s="222">
        <v>0.08333333333333333</v>
      </c>
      <c r="H361" s="134" t="s">
        <v>475</v>
      </c>
      <c r="I361" s="223" t="s">
        <v>475</v>
      </c>
      <c r="J361" s="223" t="b">
        <f t="shared" si="1"/>
        <v>1</v>
      </c>
      <c r="K361" s="145" t="s">
        <v>684</v>
      </c>
      <c r="L361" s="156"/>
      <c r="M361" s="134" t="s">
        <v>416</v>
      </c>
      <c r="N361" s="224">
        <v>212.24</v>
      </c>
      <c r="O361" s="117" t="b">
        <f t="shared" si="2"/>
        <v>1</v>
      </c>
      <c r="P361" s="117" t="b">
        <v>1</v>
      </c>
      <c r="Q361" s="117" t="s">
        <v>368</v>
      </c>
    </row>
    <row r="362" hidden="1">
      <c r="A362" s="108"/>
      <c r="B362" s="220"/>
      <c r="C362" s="134" t="s">
        <v>52</v>
      </c>
      <c r="D362" s="220" t="str">
        <f>vlookup(M362,'Página10'!A:B,2,false)</f>
        <v>INOV00013</v>
      </c>
      <c r="E362" s="134" t="s">
        <v>146</v>
      </c>
      <c r="F362" s="221">
        <v>44972.0</v>
      </c>
      <c r="G362" s="222">
        <v>0.020833333333333332</v>
      </c>
      <c r="H362" s="134" t="s">
        <v>411</v>
      </c>
      <c r="I362" s="223" t="s">
        <v>411</v>
      </c>
      <c r="J362" s="223" t="b">
        <f t="shared" si="1"/>
        <v>1</v>
      </c>
      <c r="K362" s="145" t="s">
        <v>685</v>
      </c>
      <c r="L362" s="156"/>
      <c r="M362" s="134" t="s">
        <v>426</v>
      </c>
      <c r="N362" s="224">
        <v>53.06</v>
      </c>
      <c r="O362" s="117" t="b">
        <f t="shared" si="2"/>
        <v>1</v>
      </c>
      <c r="P362" s="117" t="b">
        <v>1</v>
      </c>
      <c r="Q362" s="117" t="s">
        <v>368</v>
      </c>
    </row>
    <row r="363" hidden="1">
      <c r="A363" s="108"/>
      <c r="B363" s="220"/>
      <c r="C363" s="134" t="s">
        <v>51</v>
      </c>
      <c r="D363" s="220" t="str">
        <f>vlookup(M363,'Página10'!A:B,2,false)</f>
        <v>INOV00010</v>
      </c>
      <c r="E363" s="134" t="s">
        <v>146</v>
      </c>
      <c r="F363" s="221">
        <v>44972.0</v>
      </c>
      <c r="G363" s="222">
        <v>0.041666666666666664</v>
      </c>
      <c r="H363" s="134" t="s">
        <v>411</v>
      </c>
      <c r="I363" s="223" t="s">
        <v>411</v>
      </c>
      <c r="J363" s="223" t="b">
        <f t="shared" si="1"/>
        <v>1</v>
      </c>
      <c r="K363" s="145" t="s">
        <v>686</v>
      </c>
      <c r="L363" s="156"/>
      <c r="M363" s="134" t="s">
        <v>423</v>
      </c>
      <c r="N363" s="224">
        <v>106.12</v>
      </c>
      <c r="O363" s="117" t="b">
        <f t="shared" si="2"/>
        <v>1</v>
      </c>
      <c r="P363" s="117" t="b">
        <v>1</v>
      </c>
      <c r="Q363" s="117" t="s">
        <v>368</v>
      </c>
    </row>
    <row r="364" hidden="1">
      <c r="A364" s="108"/>
      <c r="B364" s="220"/>
      <c r="C364" s="134" t="s">
        <v>62</v>
      </c>
      <c r="D364" s="220" t="str">
        <f>vlookup(M364,'Página10'!A:B,2,false)</f>
        <v>INOV00034</v>
      </c>
      <c r="E364" s="134" t="s">
        <v>146</v>
      </c>
      <c r="F364" s="221">
        <v>44972.0</v>
      </c>
      <c r="G364" s="222">
        <v>0.0625</v>
      </c>
      <c r="H364" s="134" t="s">
        <v>411</v>
      </c>
      <c r="I364" s="223" t="s">
        <v>411</v>
      </c>
      <c r="J364" s="223" t="b">
        <f t="shared" si="1"/>
        <v>1</v>
      </c>
      <c r="K364" s="145" t="s">
        <v>687</v>
      </c>
      <c r="L364" s="156"/>
      <c r="M364" s="134" t="s">
        <v>456</v>
      </c>
      <c r="N364" s="224">
        <v>0.0</v>
      </c>
      <c r="O364" s="117" t="b">
        <f t="shared" si="2"/>
        <v>1</v>
      </c>
      <c r="P364" s="117" t="b">
        <v>1</v>
      </c>
      <c r="Q364" s="117" t="s">
        <v>368</v>
      </c>
    </row>
    <row r="365" hidden="1">
      <c r="A365" s="108"/>
      <c r="B365" s="220"/>
      <c r="C365" s="134" t="s">
        <v>290</v>
      </c>
      <c r="D365" s="220" t="str">
        <f>vlookup(M365,'Página10'!A:B,2,false)</f>
        <v>INOV00001</v>
      </c>
      <c r="E365" s="134" t="s">
        <v>146</v>
      </c>
      <c r="F365" s="221">
        <v>44973.0</v>
      </c>
      <c r="G365" s="222">
        <v>0.10416666666666667</v>
      </c>
      <c r="H365" s="134" t="s">
        <v>475</v>
      </c>
      <c r="I365" s="223" t="s">
        <v>475</v>
      </c>
      <c r="J365" s="223" t="b">
        <f t="shared" si="1"/>
        <v>1</v>
      </c>
      <c r="K365" s="145" t="s">
        <v>684</v>
      </c>
      <c r="L365" s="156"/>
      <c r="M365" s="134" t="s">
        <v>416</v>
      </c>
      <c r="N365" s="224">
        <v>265.3</v>
      </c>
      <c r="O365" s="117" t="b">
        <f t="shared" si="2"/>
        <v>1</v>
      </c>
      <c r="P365" s="117" t="b">
        <v>1</v>
      </c>
      <c r="Q365" s="117" t="s">
        <v>368</v>
      </c>
    </row>
    <row r="366" hidden="1">
      <c r="A366" s="108"/>
      <c r="B366" s="220"/>
      <c r="C366" s="134" t="s">
        <v>57</v>
      </c>
      <c r="D366" s="220" t="str">
        <f>vlookup(M366,'Página10'!A:B,2,false)</f>
        <v>INOV00022</v>
      </c>
      <c r="E366" s="134" t="s">
        <v>146</v>
      </c>
      <c r="F366" s="221">
        <v>44973.0</v>
      </c>
      <c r="G366" s="222">
        <v>0.08333333333333333</v>
      </c>
      <c r="H366" s="134" t="s">
        <v>411</v>
      </c>
      <c r="I366" s="223" t="s">
        <v>411</v>
      </c>
      <c r="J366" s="223" t="b">
        <f t="shared" si="1"/>
        <v>1</v>
      </c>
      <c r="K366" s="145" t="s">
        <v>688</v>
      </c>
      <c r="L366" s="156"/>
      <c r="M366" s="134" t="s">
        <v>437</v>
      </c>
      <c r="N366" s="224">
        <v>212.24</v>
      </c>
      <c r="O366" s="117" t="b">
        <f t="shared" si="2"/>
        <v>1</v>
      </c>
      <c r="P366" s="117" t="b">
        <v>1</v>
      </c>
      <c r="Q366" s="117" t="s">
        <v>368</v>
      </c>
    </row>
    <row r="367" hidden="1">
      <c r="A367" s="108"/>
      <c r="B367" s="220"/>
      <c r="C367" s="134" t="s">
        <v>52</v>
      </c>
      <c r="D367" s="220" t="str">
        <f>vlookup(M367,'Página10'!A:B,2,false)</f>
        <v>INOV00013</v>
      </c>
      <c r="E367" s="134" t="s">
        <v>146</v>
      </c>
      <c r="F367" s="221">
        <v>44973.0</v>
      </c>
      <c r="G367" s="222">
        <v>0.020833333333333332</v>
      </c>
      <c r="H367" s="134" t="s">
        <v>479</v>
      </c>
      <c r="I367" s="223" t="s">
        <v>479</v>
      </c>
      <c r="J367" s="223" t="b">
        <f t="shared" si="1"/>
        <v>1</v>
      </c>
      <c r="K367" s="145" t="s">
        <v>651</v>
      </c>
      <c r="L367" s="156"/>
      <c r="M367" s="134" t="s">
        <v>426</v>
      </c>
      <c r="N367" s="224">
        <v>0.0</v>
      </c>
      <c r="O367" s="117" t="b">
        <f t="shared" si="2"/>
        <v>0</v>
      </c>
      <c r="P367" s="117" t="b">
        <v>1</v>
      </c>
      <c r="Q367" s="117" t="s">
        <v>368</v>
      </c>
    </row>
    <row r="368" hidden="1">
      <c r="A368" s="108"/>
      <c r="B368" s="220"/>
      <c r="C368" s="134" t="s">
        <v>55</v>
      </c>
      <c r="D368" s="220" t="str">
        <f>vlookup(M368,'Página10'!A:B,2,false)</f>
        <v>INOV00017</v>
      </c>
      <c r="E368" s="134" t="s">
        <v>146</v>
      </c>
      <c r="F368" s="221">
        <v>44974.0</v>
      </c>
      <c r="G368" s="222">
        <v>0.0625</v>
      </c>
      <c r="H368" s="134" t="s">
        <v>411</v>
      </c>
      <c r="I368" s="223" t="s">
        <v>411</v>
      </c>
      <c r="J368" s="223" t="b">
        <f t="shared" si="1"/>
        <v>1</v>
      </c>
      <c r="K368" s="145" t="s">
        <v>689</v>
      </c>
      <c r="L368" s="156"/>
      <c r="M368" s="134" t="s">
        <v>429</v>
      </c>
      <c r="N368" s="224">
        <v>159.18</v>
      </c>
      <c r="O368" s="117" t="b">
        <f t="shared" si="2"/>
        <v>1</v>
      </c>
      <c r="P368" s="117" t="b">
        <v>1</v>
      </c>
      <c r="Q368" s="117" t="s">
        <v>368</v>
      </c>
    </row>
    <row r="369" hidden="1">
      <c r="A369" s="108"/>
      <c r="B369" s="220"/>
      <c r="C369" s="134" t="s">
        <v>54</v>
      </c>
      <c r="D369" s="220" t="str">
        <f>vlookup(M369,'Página10'!A:B,2,false)</f>
        <v>INOV00016</v>
      </c>
      <c r="E369" s="134" t="s">
        <v>146</v>
      </c>
      <c r="F369" s="221">
        <v>44974.0</v>
      </c>
      <c r="G369" s="222">
        <v>0.020833333333333332</v>
      </c>
      <c r="H369" s="134" t="s">
        <v>475</v>
      </c>
      <c r="I369" s="223" t="s">
        <v>475</v>
      </c>
      <c r="J369" s="223" t="b">
        <f t="shared" si="1"/>
        <v>1</v>
      </c>
      <c r="K369" s="145" t="s">
        <v>690</v>
      </c>
      <c r="L369" s="156"/>
      <c r="M369" s="134" t="s">
        <v>428</v>
      </c>
      <c r="N369" s="224">
        <v>53.06</v>
      </c>
      <c r="O369" s="117" t="b">
        <f t="shared" si="2"/>
        <v>1</v>
      </c>
      <c r="P369" s="117" t="b">
        <v>1</v>
      </c>
      <c r="Q369" s="117" t="s">
        <v>368</v>
      </c>
    </row>
    <row r="370" hidden="1">
      <c r="A370" s="108"/>
      <c r="B370" s="220"/>
      <c r="C370" s="134" t="s">
        <v>51</v>
      </c>
      <c r="D370" s="220" t="str">
        <f>vlookup(M370,'Página10'!A:B,2,false)</f>
        <v>INOV00010</v>
      </c>
      <c r="E370" s="134" t="s">
        <v>146</v>
      </c>
      <c r="F370" s="221">
        <v>44974.0</v>
      </c>
      <c r="G370" s="222">
        <v>0.020833333333333332</v>
      </c>
      <c r="H370" s="134" t="s">
        <v>475</v>
      </c>
      <c r="I370" s="223" t="s">
        <v>475</v>
      </c>
      <c r="J370" s="223" t="b">
        <f t="shared" si="1"/>
        <v>1</v>
      </c>
      <c r="K370" s="145" t="s">
        <v>691</v>
      </c>
      <c r="L370" s="156"/>
      <c r="M370" s="134" t="s">
        <v>423</v>
      </c>
      <c r="N370" s="224">
        <v>53.06</v>
      </c>
      <c r="O370" s="117" t="b">
        <f t="shared" si="2"/>
        <v>1</v>
      </c>
      <c r="P370" s="117" t="b">
        <v>1</v>
      </c>
      <c r="Q370" s="117" t="s">
        <v>368</v>
      </c>
    </row>
    <row r="371" hidden="1">
      <c r="A371" s="108"/>
      <c r="B371" s="220"/>
      <c r="C371" s="134" t="s">
        <v>290</v>
      </c>
      <c r="D371" s="220" t="str">
        <f>vlookup(M371,'Página10'!A:B,2,false)</f>
        <v>INOV00001</v>
      </c>
      <c r="E371" s="134" t="s">
        <v>146</v>
      </c>
      <c r="F371" s="221">
        <v>44974.0</v>
      </c>
      <c r="G371" s="222">
        <v>0.125</v>
      </c>
      <c r="H371" s="134" t="s">
        <v>475</v>
      </c>
      <c r="I371" s="223" t="s">
        <v>475</v>
      </c>
      <c r="J371" s="223" t="b">
        <f t="shared" si="1"/>
        <v>1</v>
      </c>
      <c r="K371" s="145" t="s">
        <v>692</v>
      </c>
      <c r="L371" s="156"/>
      <c r="M371" s="134" t="s">
        <v>416</v>
      </c>
      <c r="N371" s="224">
        <v>318.36</v>
      </c>
      <c r="O371" s="117" t="b">
        <f t="shared" si="2"/>
        <v>1</v>
      </c>
      <c r="P371" s="117" t="b">
        <v>1</v>
      </c>
      <c r="Q371" s="117" t="s">
        <v>368</v>
      </c>
    </row>
    <row r="372" hidden="1">
      <c r="A372" s="108"/>
      <c r="B372" s="220"/>
      <c r="C372" s="134" t="s">
        <v>290</v>
      </c>
      <c r="D372" s="220" t="str">
        <f>vlookup(M372,'Página10'!A:B,2,false)</f>
        <v>INOV00001</v>
      </c>
      <c r="E372" s="134" t="s">
        <v>146</v>
      </c>
      <c r="F372" s="221">
        <v>44979.0</v>
      </c>
      <c r="G372" s="222">
        <v>0.041666666666666664</v>
      </c>
      <c r="H372" s="134" t="s">
        <v>411</v>
      </c>
      <c r="I372" s="223" t="s">
        <v>411</v>
      </c>
      <c r="J372" s="223" t="b">
        <f t="shared" si="1"/>
        <v>1</v>
      </c>
      <c r="K372" s="145" t="s">
        <v>673</v>
      </c>
      <c r="L372" s="156"/>
      <c r="M372" s="134" t="s">
        <v>416</v>
      </c>
      <c r="N372" s="224">
        <v>106.12</v>
      </c>
      <c r="O372" s="117" t="b">
        <f t="shared" si="2"/>
        <v>1</v>
      </c>
      <c r="P372" s="117" t="b">
        <v>1</v>
      </c>
      <c r="Q372" s="117" t="s">
        <v>368</v>
      </c>
    </row>
    <row r="373" hidden="1">
      <c r="A373" s="108"/>
      <c r="B373" s="220"/>
      <c r="C373" s="134" t="s">
        <v>55</v>
      </c>
      <c r="D373" s="220" t="str">
        <f>vlookup(M373,'Página10'!A:B,2,false)</f>
        <v>INOV00017</v>
      </c>
      <c r="E373" s="134" t="s">
        <v>146</v>
      </c>
      <c r="F373" s="221">
        <v>44980.0</v>
      </c>
      <c r="G373" s="222">
        <v>0.0625</v>
      </c>
      <c r="H373" s="134" t="s">
        <v>475</v>
      </c>
      <c r="I373" s="223" t="s">
        <v>475</v>
      </c>
      <c r="J373" s="223" t="b">
        <f t="shared" si="1"/>
        <v>1</v>
      </c>
      <c r="K373" s="145" t="s">
        <v>693</v>
      </c>
      <c r="L373" s="156"/>
      <c r="M373" s="134" t="s">
        <v>429</v>
      </c>
      <c r="N373" s="224">
        <v>159.18</v>
      </c>
      <c r="O373" s="117" t="b">
        <f t="shared" si="2"/>
        <v>1</v>
      </c>
      <c r="P373" s="117" t="b">
        <v>1</v>
      </c>
      <c r="Q373" s="117" t="s">
        <v>368</v>
      </c>
    </row>
    <row r="374" hidden="1">
      <c r="A374" s="108"/>
      <c r="B374" s="220"/>
      <c r="C374" s="134" t="s">
        <v>49</v>
      </c>
      <c r="D374" s="220" t="str">
        <f>vlookup(M374,'Página10'!A:B,2,false)</f>
        <v>INOV00004</v>
      </c>
      <c r="E374" s="134" t="s">
        <v>146</v>
      </c>
      <c r="F374" s="221">
        <v>44980.0</v>
      </c>
      <c r="G374" s="222">
        <v>0.07291666666666667</v>
      </c>
      <c r="H374" s="134" t="s">
        <v>475</v>
      </c>
      <c r="I374" s="223" t="s">
        <v>475</v>
      </c>
      <c r="J374" s="223" t="b">
        <f t="shared" si="1"/>
        <v>1</v>
      </c>
      <c r="K374" s="145" t="s">
        <v>694</v>
      </c>
      <c r="L374" s="156"/>
      <c r="M374" s="134" t="s">
        <v>421</v>
      </c>
      <c r="N374" s="224">
        <v>185.71</v>
      </c>
      <c r="O374" s="117" t="b">
        <f t="shared" si="2"/>
        <v>1</v>
      </c>
      <c r="P374" s="117" t="b">
        <v>1</v>
      </c>
      <c r="Q374" s="117" t="s">
        <v>368</v>
      </c>
    </row>
    <row r="375" hidden="1">
      <c r="A375" s="108"/>
      <c r="B375" s="220"/>
      <c r="C375" s="134" t="s">
        <v>49</v>
      </c>
      <c r="D375" s="220" t="str">
        <f>vlookup(M375,'Página10'!A:B,2,false)</f>
        <v>INOV00004</v>
      </c>
      <c r="E375" s="134" t="s">
        <v>146</v>
      </c>
      <c r="F375" s="221">
        <v>44980.0</v>
      </c>
      <c r="G375" s="222">
        <v>0.041666666666666664</v>
      </c>
      <c r="H375" s="134" t="s">
        <v>475</v>
      </c>
      <c r="I375" s="223" t="s">
        <v>475</v>
      </c>
      <c r="J375" s="223" t="b">
        <f t="shared" si="1"/>
        <v>1</v>
      </c>
      <c r="K375" s="145" t="s">
        <v>695</v>
      </c>
      <c r="L375" s="156"/>
      <c r="M375" s="134" t="s">
        <v>421</v>
      </c>
      <c r="N375" s="224">
        <v>106.12</v>
      </c>
      <c r="O375" s="117" t="b">
        <f t="shared" si="2"/>
        <v>1</v>
      </c>
      <c r="P375" s="117" t="b">
        <v>1</v>
      </c>
      <c r="Q375" s="117" t="s">
        <v>368</v>
      </c>
    </row>
    <row r="376" hidden="1">
      <c r="A376" s="108"/>
      <c r="B376" s="220"/>
      <c r="C376" s="134" t="s">
        <v>49</v>
      </c>
      <c r="D376" s="220" t="str">
        <f>vlookup(M376,'Página10'!A:B,2,false)</f>
        <v>INOV00004</v>
      </c>
      <c r="E376" s="134" t="s">
        <v>146</v>
      </c>
      <c r="F376" s="221">
        <v>44980.0</v>
      </c>
      <c r="G376" s="222">
        <v>0.041666666666666664</v>
      </c>
      <c r="H376" s="134" t="s">
        <v>475</v>
      </c>
      <c r="I376" s="223" t="s">
        <v>475</v>
      </c>
      <c r="J376" s="223" t="b">
        <f t="shared" si="1"/>
        <v>1</v>
      </c>
      <c r="K376" s="145" t="s">
        <v>696</v>
      </c>
      <c r="L376" s="156"/>
      <c r="M376" s="134" t="s">
        <v>421</v>
      </c>
      <c r="N376" s="224">
        <v>106.12</v>
      </c>
      <c r="O376" s="117" t="b">
        <f t="shared" si="2"/>
        <v>1</v>
      </c>
      <c r="P376" s="117" t="b">
        <v>1</v>
      </c>
      <c r="Q376" s="117" t="s">
        <v>368</v>
      </c>
    </row>
    <row r="377" hidden="1">
      <c r="A377" s="108"/>
      <c r="B377" s="220"/>
      <c r="C377" s="134" t="s">
        <v>49</v>
      </c>
      <c r="D377" s="220" t="str">
        <f>vlookup(M377,'Página10'!A:B,2,false)</f>
        <v>INOV00004</v>
      </c>
      <c r="E377" s="134" t="s">
        <v>146</v>
      </c>
      <c r="F377" s="221">
        <v>44980.0</v>
      </c>
      <c r="G377" s="222">
        <v>0.041666666666666664</v>
      </c>
      <c r="H377" s="134" t="s">
        <v>475</v>
      </c>
      <c r="I377" s="223" t="s">
        <v>475</v>
      </c>
      <c r="J377" s="223" t="b">
        <f t="shared" si="1"/>
        <v>1</v>
      </c>
      <c r="K377" s="145" t="s">
        <v>697</v>
      </c>
      <c r="L377" s="156"/>
      <c r="M377" s="134" t="s">
        <v>421</v>
      </c>
      <c r="N377" s="224">
        <v>106.12</v>
      </c>
      <c r="O377" s="117" t="b">
        <f t="shared" si="2"/>
        <v>1</v>
      </c>
      <c r="P377" s="117" t="b">
        <v>1</v>
      </c>
      <c r="Q377" s="117" t="s">
        <v>368</v>
      </c>
    </row>
    <row r="378" hidden="1">
      <c r="A378" s="108"/>
      <c r="B378" s="220"/>
      <c r="C378" s="134" t="s">
        <v>55</v>
      </c>
      <c r="D378" s="220" t="str">
        <f>vlookup(M378,'Página10'!A:B,2,false)</f>
        <v>INOV00017</v>
      </c>
      <c r="E378" s="134" t="s">
        <v>146</v>
      </c>
      <c r="F378" s="221">
        <v>44981.0</v>
      </c>
      <c r="G378" s="222">
        <v>0.020833333333333332</v>
      </c>
      <c r="H378" s="134" t="s">
        <v>479</v>
      </c>
      <c r="I378" s="223" t="s">
        <v>411</v>
      </c>
      <c r="J378" s="223" t="b">
        <f t="shared" si="1"/>
        <v>0</v>
      </c>
      <c r="K378" s="145" t="s">
        <v>698</v>
      </c>
      <c r="L378" s="156"/>
      <c r="M378" s="134" t="s">
        <v>429</v>
      </c>
      <c r="N378" s="224">
        <v>0.0</v>
      </c>
      <c r="O378" s="117" t="b">
        <f t="shared" si="2"/>
        <v>0</v>
      </c>
      <c r="P378" s="117" t="b">
        <v>1</v>
      </c>
      <c r="Q378" s="117" t="s">
        <v>368</v>
      </c>
    </row>
    <row r="379" hidden="1">
      <c r="A379" s="108"/>
      <c r="B379" s="220"/>
      <c r="C379" s="134" t="s">
        <v>290</v>
      </c>
      <c r="D379" s="220" t="str">
        <f>vlookup(M379,'Página10'!A:B,2,false)</f>
        <v>INOV00001</v>
      </c>
      <c r="E379" s="134" t="s">
        <v>146</v>
      </c>
      <c r="F379" s="221">
        <v>44981.0</v>
      </c>
      <c r="G379" s="222">
        <v>0.16666666666666666</v>
      </c>
      <c r="H379" s="134" t="s">
        <v>411</v>
      </c>
      <c r="I379" s="223" t="s">
        <v>411</v>
      </c>
      <c r="J379" s="223" t="b">
        <f t="shared" si="1"/>
        <v>1</v>
      </c>
      <c r="K379" s="145" t="s">
        <v>699</v>
      </c>
      <c r="L379" s="156"/>
      <c r="M379" s="134" t="s">
        <v>416</v>
      </c>
      <c r="N379" s="224">
        <v>424.48</v>
      </c>
      <c r="O379" s="117" t="b">
        <f t="shared" si="2"/>
        <v>1</v>
      </c>
      <c r="P379" s="117" t="b">
        <v>1</v>
      </c>
      <c r="Q379" s="117" t="s">
        <v>368</v>
      </c>
    </row>
    <row r="380" hidden="1">
      <c r="A380" s="108"/>
      <c r="B380" s="220"/>
      <c r="C380" s="134" t="s">
        <v>52</v>
      </c>
      <c r="D380" s="220" t="str">
        <f>vlookup(M380,'Página10'!A:B,2,false)</f>
        <v>INOV00013</v>
      </c>
      <c r="E380" s="134" t="s">
        <v>146</v>
      </c>
      <c r="F380" s="221">
        <v>44981.0</v>
      </c>
      <c r="G380" s="222">
        <v>0.041666666666666664</v>
      </c>
      <c r="H380" s="134" t="s">
        <v>411</v>
      </c>
      <c r="I380" s="223" t="s">
        <v>411</v>
      </c>
      <c r="J380" s="223" t="b">
        <f t="shared" si="1"/>
        <v>1</v>
      </c>
      <c r="K380" s="145" t="s">
        <v>700</v>
      </c>
      <c r="L380" s="156"/>
      <c r="M380" s="134" t="s">
        <v>426</v>
      </c>
      <c r="N380" s="224">
        <v>106.12</v>
      </c>
      <c r="O380" s="117" t="b">
        <f t="shared" si="2"/>
        <v>1</v>
      </c>
      <c r="P380" s="117" t="b">
        <v>1</v>
      </c>
      <c r="Q380" s="117" t="s">
        <v>368</v>
      </c>
    </row>
    <row r="381" hidden="1">
      <c r="A381" s="108"/>
      <c r="B381" s="220"/>
      <c r="C381" s="134" t="s">
        <v>290</v>
      </c>
      <c r="D381" s="220" t="str">
        <f>vlookup(M381,'Página10'!A:B,2,false)</f>
        <v>INOV00001</v>
      </c>
      <c r="E381" s="134" t="s">
        <v>146</v>
      </c>
      <c r="F381" s="221">
        <v>44981.0</v>
      </c>
      <c r="G381" s="222">
        <v>0.125</v>
      </c>
      <c r="H381" s="134" t="s">
        <v>411</v>
      </c>
      <c r="I381" s="223" t="s">
        <v>411</v>
      </c>
      <c r="J381" s="223" t="b">
        <f t="shared" si="1"/>
        <v>1</v>
      </c>
      <c r="K381" s="145" t="s">
        <v>701</v>
      </c>
      <c r="L381" s="156"/>
      <c r="M381" s="134" t="s">
        <v>416</v>
      </c>
      <c r="N381" s="224">
        <v>318.36</v>
      </c>
      <c r="O381" s="117" t="b">
        <f t="shared" si="2"/>
        <v>1</v>
      </c>
      <c r="P381" s="117" t="b">
        <v>1</v>
      </c>
      <c r="Q381" s="117" t="s">
        <v>368</v>
      </c>
    </row>
    <row r="382" hidden="1">
      <c r="A382" s="108"/>
      <c r="B382" s="220"/>
      <c r="C382" s="134" t="s">
        <v>55</v>
      </c>
      <c r="D382" s="220" t="str">
        <f>vlookup(M382,'Página10'!A:B,2,false)</f>
        <v>INOV00017</v>
      </c>
      <c r="E382" s="134" t="s">
        <v>146</v>
      </c>
      <c r="F382" s="221">
        <v>44984.0</v>
      </c>
      <c r="G382" s="222">
        <v>0.05555555555555555</v>
      </c>
      <c r="H382" s="134" t="s">
        <v>411</v>
      </c>
      <c r="I382" s="223" t="s">
        <v>411</v>
      </c>
      <c r="J382" s="223" t="b">
        <f t="shared" si="1"/>
        <v>1</v>
      </c>
      <c r="K382" s="145" t="s">
        <v>702</v>
      </c>
      <c r="L382" s="156"/>
      <c r="M382" s="134" t="s">
        <v>429</v>
      </c>
      <c r="N382" s="224">
        <v>141.49</v>
      </c>
      <c r="O382" s="117" t="b">
        <f t="shared" si="2"/>
        <v>1</v>
      </c>
      <c r="P382" s="117" t="b">
        <v>1</v>
      </c>
      <c r="Q382" s="117" t="s">
        <v>368</v>
      </c>
    </row>
    <row r="383" hidden="1">
      <c r="A383" s="108"/>
      <c r="B383" s="220"/>
      <c r="C383" s="134" t="s">
        <v>290</v>
      </c>
      <c r="D383" s="220" t="str">
        <f>vlookup(M383,'Página10'!A:B,2,false)</f>
        <v>INOV00001</v>
      </c>
      <c r="E383" s="134" t="s">
        <v>146</v>
      </c>
      <c r="F383" s="221">
        <v>44984.0</v>
      </c>
      <c r="G383" s="222">
        <v>0.08333333333333333</v>
      </c>
      <c r="H383" s="134" t="s">
        <v>411</v>
      </c>
      <c r="I383" s="223" t="s">
        <v>411</v>
      </c>
      <c r="J383" s="223" t="b">
        <f t="shared" si="1"/>
        <v>1</v>
      </c>
      <c r="K383" s="145" t="s">
        <v>703</v>
      </c>
      <c r="L383" s="156"/>
      <c r="M383" s="134" t="s">
        <v>416</v>
      </c>
      <c r="N383" s="224">
        <v>212.24</v>
      </c>
      <c r="O383" s="117" t="b">
        <f t="shared" si="2"/>
        <v>1</v>
      </c>
      <c r="P383" s="117" t="b">
        <v>1</v>
      </c>
      <c r="Q383" s="117" t="s">
        <v>368</v>
      </c>
    </row>
    <row r="384" hidden="1">
      <c r="A384" s="108"/>
      <c r="B384" s="220"/>
      <c r="C384" s="134" t="s">
        <v>290</v>
      </c>
      <c r="D384" s="220" t="str">
        <f>vlookup(M384,'Página10'!A:B,2,false)</f>
        <v>INOV00001</v>
      </c>
      <c r="E384" s="134" t="s">
        <v>146</v>
      </c>
      <c r="F384" s="221">
        <v>44984.0</v>
      </c>
      <c r="G384" s="222">
        <v>0.125</v>
      </c>
      <c r="H384" s="134" t="s">
        <v>475</v>
      </c>
      <c r="I384" s="223" t="s">
        <v>475</v>
      </c>
      <c r="J384" s="223" t="b">
        <f t="shared" si="1"/>
        <v>1</v>
      </c>
      <c r="K384" s="145" t="s">
        <v>701</v>
      </c>
      <c r="L384" s="156"/>
      <c r="M384" s="134" t="s">
        <v>416</v>
      </c>
      <c r="N384" s="224">
        <v>318.36</v>
      </c>
      <c r="O384" s="117" t="b">
        <f t="shared" si="2"/>
        <v>1</v>
      </c>
      <c r="P384" s="117" t="b">
        <v>1</v>
      </c>
      <c r="Q384" s="117" t="s">
        <v>368</v>
      </c>
    </row>
    <row r="385" hidden="1">
      <c r="A385" s="108"/>
      <c r="B385" s="220"/>
      <c r="C385" s="134" t="s">
        <v>290</v>
      </c>
      <c r="D385" s="220" t="str">
        <f>vlookup(M385,'Página10'!A:B,2,false)</f>
        <v>INOV00001</v>
      </c>
      <c r="E385" s="134" t="s">
        <v>146</v>
      </c>
      <c r="F385" s="221">
        <v>44985.0</v>
      </c>
      <c r="G385" s="222">
        <v>0.041666666666666664</v>
      </c>
      <c r="H385" s="134" t="s">
        <v>475</v>
      </c>
      <c r="I385" s="223" t="s">
        <v>475</v>
      </c>
      <c r="J385" s="223" t="b">
        <f t="shared" si="1"/>
        <v>1</v>
      </c>
      <c r="K385" s="145" t="s">
        <v>704</v>
      </c>
      <c r="L385" s="156"/>
      <c r="M385" s="134" t="s">
        <v>416</v>
      </c>
      <c r="N385" s="224">
        <v>106.12</v>
      </c>
      <c r="O385" s="117" t="b">
        <f t="shared" si="2"/>
        <v>1</v>
      </c>
      <c r="P385" s="117" t="b">
        <v>1</v>
      </c>
      <c r="Q385" s="117" t="s">
        <v>368</v>
      </c>
    </row>
    <row r="386" hidden="1">
      <c r="A386" s="108"/>
      <c r="B386" s="220"/>
      <c r="C386" s="134" t="s">
        <v>54</v>
      </c>
      <c r="D386" s="220" t="str">
        <f>vlookup(M386,'Página10'!A:B,2,false)</f>
        <v>INOV00016</v>
      </c>
      <c r="E386" s="134" t="s">
        <v>146</v>
      </c>
      <c r="F386" s="221">
        <v>44985.0</v>
      </c>
      <c r="G386" s="222">
        <v>0.041666666666666664</v>
      </c>
      <c r="H386" s="134" t="s">
        <v>411</v>
      </c>
      <c r="I386" s="223" t="s">
        <v>411</v>
      </c>
      <c r="J386" s="223" t="b">
        <f t="shared" si="1"/>
        <v>1</v>
      </c>
      <c r="K386" s="145" t="s">
        <v>705</v>
      </c>
      <c r="L386" s="156"/>
      <c r="M386" s="134" t="s">
        <v>428</v>
      </c>
      <c r="N386" s="224">
        <v>106.12</v>
      </c>
      <c r="O386" s="117" t="b">
        <f t="shared" si="2"/>
        <v>1</v>
      </c>
      <c r="P386" s="117" t="b">
        <v>1</v>
      </c>
      <c r="Q386" s="117" t="s">
        <v>368</v>
      </c>
    </row>
    <row r="387" hidden="1">
      <c r="A387" s="108"/>
      <c r="B387" s="220"/>
      <c r="C387" s="134" t="s">
        <v>290</v>
      </c>
      <c r="D387" s="220" t="str">
        <f>vlookup(M387,'Página10'!A:B,2,false)</f>
        <v>INOV00001</v>
      </c>
      <c r="E387" s="134" t="s">
        <v>146</v>
      </c>
      <c r="F387" s="221">
        <v>44985.0</v>
      </c>
      <c r="G387" s="222">
        <v>0.041666666666666664</v>
      </c>
      <c r="H387" s="134" t="s">
        <v>411</v>
      </c>
      <c r="I387" s="223" t="s">
        <v>411</v>
      </c>
      <c r="J387" s="223" t="b">
        <f t="shared" si="1"/>
        <v>1</v>
      </c>
      <c r="K387" s="145" t="s">
        <v>704</v>
      </c>
      <c r="L387" s="156"/>
      <c r="M387" s="134" t="s">
        <v>416</v>
      </c>
      <c r="N387" s="224">
        <v>106.12</v>
      </c>
      <c r="O387" s="117" t="b">
        <f t="shared" si="2"/>
        <v>1</v>
      </c>
      <c r="P387" s="117" t="b">
        <v>1</v>
      </c>
      <c r="Q387" s="117" t="s">
        <v>368</v>
      </c>
    </row>
    <row r="388" hidden="1">
      <c r="A388" s="108"/>
      <c r="B388" s="220"/>
      <c r="C388" s="134" t="s">
        <v>290</v>
      </c>
      <c r="D388" s="220" t="str">
        <f>vlookup(M388,'Página10'!A:B,2,false)</f>
        <v>INOV00001</v>
      </c>
      <c r="E388" s="134" t="s">
        <v>146</v>
      </c>
      <c r="F388" s="221">
        <v>44985.0</v>
      </c>
      <c r="G388" s="222">
        <v>0.10416666666666667</v>
      </c>
      <c r="H388" s="134" t="s">
        <v>411</v>
      </c>
      <c r="I388" s="223" t="s">
        <v>411</v>
      </c>
      <c r="J388" s="223" t="b">
        <f t="shared" si="1"/>
        <v>1</v>
      </c>
      <c r="K388" s="145" t="s">
        <v>706</v>
      </c>
      <c r="L388" s="156"/>
      <c r="M388" s="134" t="s">
        <v>416</v>
      </c>
      <c r="N388" s="224">
        <v>265.3</v>
      </c>
      <c r="O388" s="117" t="b">
        <f t="shared" si="2"/>
        <v>1</v>
      </c>
      <c r="P388" s="117" t="b">
        <v>1</v>
      </c>
      <c r="Q388" s="117" t="s">
        <v>368</v>
      </c>
    </row>
    <row r="389" hidden="1">
      <c r="A389" s="108"/>
      <c r="B389" s="220"/>
      <c r="C389" s="134" t="s">
        <v>290</v>
      </c>
      <c r="D389" s="220" t="str">
        <f>vlookup(M389,'Página10'!A:B,2,false)</f>
        <v>INOV00001</v>
      </c>
      <c r="E389" s="134" t="s">
        <v>146</v>
      </c>
      <c r="F389" s="221">
        <v>44985.0</v>
      </c>
      <c r="G389" s="222">
        <v>0.125</v>
      </c>
      <c r="H389" s="134" t="s">
        <v>411</v>
      </c>
      <c r="I389" s="223" t="s">
        <v>411</v>
      </c>
      <c r="J389" s="223" t="b">
        <f t="shared" si="1"/>
        <v>1</v>
      </c>
      <c r="K389" s="145" t="s">
        <v>707</v>
      </c>
      <c r="L389" s="156"/>
      <c r="M389" s="134" t="s">
        <v>416</v>
      </c>
      <c r="N389" s="224">
        <v>318.36</v>
      </c>
      <c r="O389" s="117" t="b">
        <f t="shared" si="2"/>
        <v>1</v>
      </c>
      <c r="P389" s="117" t="b">
        <v>1</v>
      </c>
      <c r="Q389" s="117" t="s">
        <v>368</v>
      </c>
    </row>
    <row r="390" hidden="1">
      <c r="A390" s="108"/>
      <c r="B390" s="220"/>
      <c r="C390" s="134" t="s">
        <v>290</v>
      </c>
      <c r="D390" s="220" t="str">
        <f>vlookup(M390,'Página10'!A:B,2,false)</f>
        <v>INOV00001</v>
      </c>
      <c r="E390" s="134" t="s">
        <v>116</v>
      </c>
      <c r="F390" s="221">
        <v>44931.0</v>
      </c>
      <c r="G390" s="222">
        <v>0.041666666666666664</v>
      </c>
      <c r="H390" s="134" t="s">
        <v>475</v>
      </c>
      <c r="I390" s="223" t="s">
        <v>475</v>
      </c>
      <c r="J390" s="223" t="b">
        <f t="shared" si="1"/>
        <v>1</v>
      </c>
      <c r="K390" s="145" t="s">
        <v>708</v>
      </c>
      <c r="L390" s="156"/>
      <c r="M390" s="134" t="s">
        <v>416</v>
      </c>
      <c r="N390" s="224">
        <v>178.57</v>
      </c>
      <c r="O390" s="117" t="b">
        <f t="shared" si="2"/>
        <v>1</v>
      </c>
      <c r="P390" s="117" t="b">
        <v>1</v>
      </c>
      <c r="Q390" s="117" t="s">
        <v>368</v>
      </c>
    </row>
    <row r="391" hidden="1">
      <c r="A391" s="108"/>
      <c r="B391" s="220"/>
      <c r="C391" s="134" t="s">
        <v>290</v>
      </c>
      <c r="D391" s="220" t="str">
        <f>vlookup(M391,'Página10'!A:B,2,false)</f>
        <v>INOV00001</v>
      </c>
      <c r="E391" s="134" t="s">
        <v>116</v>
      </c>
      <c r="F391" s="221">
        <v>44932.0</v>
      </c>
      <c r="G391" s="222">
        <v>0.0625</v>
      </c>
      <c r="H391" s="134" t="s">
        <v>475</v>
      </c>
      <c r="I391" s="223" t="s">
        <v>475</v>
      </c>
      <c r="J391" s="223" t="b">
        <f t="shared" si="1"/>
        <v>1</v>
      </c>
      <c r="K391" s="145" t="s">
        <v>709</v>
      </c>
      <c r="L391" s="156"/>
      <c r="M391" s="134" t="s">
        <v>416</v>
      </c>
      <c r="N391" s="224">
        <v>267.85</v>
      </c>
      <c r="O391" s="117" t="b">
        <f t="shared" si="2"/>
        <v>1</v>
      </c>
      <c r="P391" s="117" t="b">
        <v>1</v>
      </c>
      <c r="Q391" s="117" t="s">
        <v>368</v>
      </c>
    </row>
    <row r="392" hidden="1">
      <c r="A392" s="108"/>
      <c r="B392" s="220"/>
      <c r="C392" s="134" t="s">
        <v>290</v>
      </c>
      <c r="D392" s="220" t="str">
        <f>vlookup(M392,'Página10'!A:B,2,false)</f>
        <v>INOV00001</v>
      </c>
      <c r="E392" s="134" t="s">
        <v>116</v>
      </c>
      <c r="F392" s="221">
        <v>44932.0</v>
      </c>
      <c r="G392" s="222">
        <v>0.041666666666666664</v>
      </c>
      <c r="H392" s="134" t="s">
        <v>411</v>
      </c>
      <c r="I392" s="223" t="s">
        <v>411</v>
      </c>
      <c r="J392" s="223" t="b">
        <f t="shared" si="1"/>
        <v>1</v>
      </c>
      <c r="K392" s="145" t="s">
        <v>708</v>
      </c>
      <c r="L392" s="156"/>
      <c r="M392" s="134" t="s">
        <v>416</v>
      </c>
      <c r="N392" s="224">
        <v>178.57</v>
      </c>
      <c r="O392" s="117" t="b">
        <f t="shared" si="2"/>
        <v>1</v>
      </c>
      <c r="P392" s="117" t="b">
        <v>1</v>
      </c>
      <c r="Q392" s="117" t="s">
        <v>368</v>
      </c>
    </row>
    <row r="393" hidden="1">
      <c r="A393" s="108"/>
      <c r="B393" s="220"/>
      <c r="C393" s="134" t="s">
        <v>52</v>
      </c>
      <c r="D393" s="220" t="str">
        <f>vlookup(M393,'Página10'!A:B,2,false)</f>
        <v>INOV00013</v>
      </c>
      <c r="E393" s="134" t="s">
        <v>116</v>
      </c>
      <c r="F393" s="221">
        <v>44935.0</v>
      </c>
      <c r="G393" s="222">
        <v>0.041666666666666664</v>
      </c>
      <c r="H393" s="134" t="s">
        <v>411</v>
      </c>
      <c r="I393" s="223" t="s">
        <v>411</v>
      </c>
      <c r="J393" s="223" t="b">
        <f t="shared" si="1"/>
        <v>1</v>
      </c>
      <c r="K393" s="145" t="s">
        <v>710</v>
      </c>
      <c r="L393" s="156"/>
      <c r="M393" s="134" t="s">
        <v>426</v>
      </c>
      <c r="N393" s="224">
        <v>178.57</v>
      </c>
      <c r="O393" s="117" t="b">
        <f t="shared" si="2"/>
        <v>1</v>
      </c>
      <c r="P393" s="117" t="b">
        <v>1</v>
      </c>
      <c r="Q393" s="117" t="s">
        <v>368</v>
      </c>
    </row>
    <row r="394" hidden="1">
      <c r="A394" s="108"/>
      <c r="B394" s="220"/>
      <c r="C394" s="134" t="s">
        <v>50</v>
      </c>
      <c r="D394" s="220" t="str">
        <f>vlookup(M394,'Página10'!A:B,2,false)</f>
        <v>INOV00006</v>
      </c>
      <c r="E394" s="134" t="s">
        <v>116</v>
      </c>
      <c r="F394" s="221">
        <v>44939.0</v>
      </c>
      <c r="G394" s="222">
        <v>0.041666666666666664</v>
      </c>
      <c r="H394" s="134" t="s">
        <v>475</v>
      </c>
      <c r="I394" s="223" t="s">
        <v>475</v>
      </c>
      <c r="J394" s="223" t="b">
        <f t="shared" si="1"/>
        <v>1</v>
      </c>
      <c r="K394" s="145" t="s">
        <v>711</v>
      </c>
      <c r="L394" s="156"/>
      <c r="M394" s="134" t="s">
        <v>422</v>
      </c>
      <c r="N394" s="224">
        <v>178.57</v>
      </c>
      <c r="O394" s="117" t="b">
        <f t="shared" si="2"/>
        <v>1</v>
      </c>
      <c r="P394" s="117" t="b">
        <v>1</v>
      </c>
      <c r="Q394" s="117" t="s">
        <v>368</v>
      </c>
    </row>
    <row r="395" hidden="1">
      <c r="A395" s="108"/>
      <c r="B395" s="220"/>
      <c r="C395" s="134" t="s">
        <v>53</v>
      </c>
      <c r="D395" s="220" t="str">
        <f>vlookup(M395,'Página10'!A:B,2,false)</f>
        <v>INOV00014</v>
      </c>
      <c r="E395" s="134" t="s">
        <v>116</v>
      </c>
      <c r="F395" s="221">
        <v>44942.0</v>
      </c>
      <c r="G395" s="222">
        <v>0.041666666666666664</v>
      </c>
      <c r="H395" s="134" t="s">
        <v>411</v>
      </c>
      <c r="I395" s="223" t="s">
        <v>411</v>
      </c>
      <c r="J395" s="223" t="b">
        <f t="shared" si="1"/>
        <v>1</v>
      </c>
      <c r="K395" s="145" t="s">
        <v>712</v>
      </c>
      <c r="L395" s="156"/>
      <c r="M395" s="134" t="s">
        <v>427</v>
      </c>
      <c r="N395" s="224">
        <v>178.57</v>
      </c>
      <c r="O395" s="117" t="b">
        <f t="shared" si="2"/>
        <v>1</v>
      </c>
      <c r="P395" s="117" t="b">
        <v>1</v>
      </c>
      <c r="Q395" s="117" t="s">
        <v>368</v>
      </c>
    </row>
    <row r="396" hidden="1">
      <c r="A396" s="108"/>
      <c r="B396" s="220"/>
      <c r="C396" s="134" t="s">
        <v>290</v>
      </c>
      <c r="D396" s="220" t="str">
        <f>vlookup(M396,'Página10'!A:B,2,false)</f>
        <v>INOV00001</v>
      </c>
      <c r="E396" s="134" t="s">
        <v>116</v>
      </c>
      <c r="F396" s="221">
        <v>44943.0</v>
      </c>
      <c r="G396" s="222">
        <v>0.041666666666666664</v>
      </c>
      <c r="H396" s="134" t="s">
        <v>474</v>
      </c>
      <c r="I396" s="223" t="s">
        <v>474</v>
      </c>
      <c r="J396" s="223" t="b">
        <f t="shared" si="1"/>
        <v>1</v>
      </c>
      <c r="K396" s="145" t="s">
        <v>713</v>
      </c>
      <c r="L396" s="156"/>
      <c r="M396" s="134" t="s">
        <v>416</v>
      </c>
      <c r="N396" s="224">
        <v>178.57</v>
      </c>
      <c r="O396" s="117" t="b">
        <f t="shared" si="2"/>
        <v>1</v>
      </c>
      <c r="P396" s="117" t="b">
        <v>1</v>
      </c>
      <c r="Q396" s="117" t="s">
        <v>368</v>
      </c>
    </row>
    <row r="397" hidden="1">
      <c r="A397" s="108"/>
      <c r="B397" s="220"/>
      <c r="C397" s="134" t="s">
        <v>290</v>
      </c>
      <c r="D397" s="220" t="str">
        <f>vlookup(M397,'Página10'!A:B,2,false)</f>
        <v>INOV00001</v>
      </c>
      <c r="E397" s="134" t="s">
        <v>116</v>
      </c>
      <c r="F397" s="221">
        <v>44943.0</v>
      </c>
      <c r="G397" s="222">
        <v>0.020833333333333332</v>
      </c>
      <c r="H397" s="134" t="s">
        <v>411</v>
      </c>
      <c r="I397" s="223" t="s">
        <v>411</v>
      </c>
      <c r="J397" s="223" t="b">
        <f t="shared" si="1"/>
        <v>1</v>
      </c>
      <c r="K397" s="145" t="s">
        <v>714</v>
      </c>
      <c r="L397" s="156"/>
      <c r="M397" s="134" t="s">
        <v>416</v>
      </c>
      <c r="N397" s="224">
        <v>89.28</v>
      </c>
      <c r="O397" s="117" t="b">
        <f t="shared" si="2"/>
        <v>1</v>
      </c>
      <c r="P397" s="117" t="b">
        <v>1</v>
      </c>
      <c r="Q397" s="117" t="s">
        <v>368</v>
      </c>
    </row>
    <row r="398" hidden="1">
      <c r="A398" s="108"/>
      <c r="B398" s="220"/>
      <c r="C398" s="134" t="s">
        <v>54</v>
      </c>
      <c r="D398" s="220" t="str">
        <f>vlookup(M398,'Página10'!A:B,2,false)</f>
        <v>INOV00016</v>
      </c>
      <c r="E398" s="134" t="s">
        <v>116</v>
      </c>
      <c r="F398" s="221">
        <v>44944.0</v>
      </c>
      <c r="G398" s="222">
        <v>0.041666666666666664</v>
      </c>
      <c r="H398" s="134" t="s">
        <v>474</v>
      </c>
      <c r="I398" s="223" t="s">
        <v>474</v>
      </c>
      <c r="J398" s="223" t="b">
        <f t="shared" si="1"/>
        <v>1</v>
      </c>
      <c r="K398" s="145" t="s">
        <v>715</v>
      </c>
      <c r="L398" s="156"/>
      <c r="M398" s="134" t="s">
        <v>428</v>
      </c>
      <c r="N398" s="224">
        <v>178.57</v>
      </c>
      <c r="O398" s="117" t="b">
        <f t="shared" si="2"/>
        <v>1</v>
      </c>
      <c r="P398" s="117" t="b">
        <v>1</v>
      </c>
      <c r="Q398" s="117" t="s">
        <v>368</v>
      </c>
    </row>
    <row r="399" hidden="1">
      <c r="A399" s="108"/>
      <c r="B399" s="220"/>
      <c r="C399" s="134" t="s">
        <v>441</v>
      </c>
      <c r="D399" s="220" t="str">
        <f>vlookup(M399,'Página10'!A:B,2,false)</f>
        <v>INOV00025</v>
      </c>
      <c r="E399" s="134" t="s">
        <v>116</v>
      </c>
      <c r="F399" s="221">
        <v>44944.0</v>
      </c>
      <c r="G399" s="222">
        <v>0.020833333333333332</v>
      </c>
      <c r="H399" s="134" t="s">
        <v>479</v>
      </c>
      <c r="I399" s="223" t="s">
        <v>479</v>
      </c>
      <c r="J399" s="223" t="b">
        <f t="shared" si="1"/>
        <v>1</v>
      </c>
      <c r="K399" s="145" t="s">
        <v>716</v>
      </c>
      <c r="L399" s="156"/>
      <c r="M399" s="134" t="s">
        <v>440</v>
      </c>
      <c r="N399" s="224">
        <v>0.0</v>
      </c>
      <c r="O399" s="117" t="b">
        <f t="shared" si="2"/>
        <v>0</v>
      </c>
      <c r="P399" s="117" t="b">
        <v>0</v>
      </c>
      <c r="Q399" s="117" t="s">
        <v>368</v>
      </c>
    </row>
    <row r="400" hidden="1">
      <c r="A400" s="108"/>
      <c r="B400" s="220"/>
      <c r="C400" s="134" t="s">
        <v>55</v>
      </c>
      <c r="D400" s="220" t="str">
        <f>vlookup(M400,'Página10'!A:B,2,false)</f>
        <v>INOV00017</v>
      </c>
      <c r="E400" s="134" t="s">
        <v>116</v>
      </c>
      <c r="F400" s="221">
        <v>44946.0</v>
      </c>
      <c r="G400" s="222">
        <v>0.041666666666666664</v>
      </c>
      <c r="H400" s="134" t="s">
        <v>475</v>
      </c>
      <c r="I400" s="223" t="s">
        <v>475</v>
      </c>
      <c r="J400" s="223" t="b">
        <f t="shared" si="1"/>
        <v>1</v>
      </c>
      <c r="K400" s="145" t="s">
        <v>717</v>
      </c>
      <c r="L400" s="156"/>
      <c r="M400" s="134" t="s">
        <v>429</v>
      </c>
      <c r="N400" s="224">
        <v>178.57</v>
      </c>
      <c r="O400" s="117" t="b">
        <f t="shared" si="2"/>
        <v>1</v>
      </c>
      <c r="P400" s="117" t="b">
        <v>1</v>
      </c>
      <c r="Q400" s="117" t="s">
        <v>368</v>
      </c>
    </row>
    <row r="401" hidden="1">
      <c r="A401" s="108"/>
      <c r="B401" s="220"/>
      <c r="C401" s="134" t="s">
        <v>425</v>
      </c>
      <c r="D401" s="220" t="str">
        <f>vlookup(M401,'Página10'!A:B,2,false)</f>
        <v>INOV00012</v>
      </c>
      <c r="E401" s="134" t="s">
        <v>116</v>
      </c>
      <c r="F401" s="221">
        <v>44950.0</v>
      </c>
      <c r="G401" s="222">
        <v>0.041666666666666664</v>
      </c>
      <c r="H401" s="134" t="s">
        <v>475</v>
      </c>
      <c r="I401" s="223" t="s">
        <v>475</v>
      </c>
      <c r="J401" s="223" t="b">
        <f t="shared" si="1"/>
        <v>1</v>
      </c>
      <c r="K401" s="145" t="s">
        <v>718</v>
      </c>
      <c r="L401" s="156"/>
      <c r="M401" s="134" t="s">
        <v>424</v>
      </c>
      <c r="N401" s="224">
        <v>0.0</v>
      </c>
      <c r="O401" s="117" t="b">
        <f t="shared" si="2"/>
        <v>1</v>
      </c>
      <c r="P401" s="117" t="b">
        <v>0</v>
      </c>
      <c r="Q401" s="117" t="s">
        <v>368</v>
      </c>
    </row>
    <row r="402" hidden="1">
      <c r="A402" s="108"/>
      <c r="B402" s="220"/>
      <c r="C402" s="134" t="s">
        <v>441</v>
      </c>
      <c r="D402" s="220" t="str">
        <f>vlookup(M402,'Página10'!A:B,2,false)</f>
        <v>INOV00025</v>
      </c>
      <c r="E402" s="134" t="s">
        <v>116</v>
      </c>
      <c r="F402" s="221">
        <v>44950.0</v>
      </c>
      <c r="G402" s="222">
        <v>0.020833333333333332</v>
      </c>
      <c r="H402" s="134" t="s">
        <v>479</v>
      </c>
      <c r="I402" s="223" t="s">
        <v>479</v>
      </c>
      <c r="J402" s="223" t="b">
        <f t="shared" si="1"/>
        <v>1</v>
      </c>
      <c r="K402" s="145" t="s">
        <v>716</v>
      </c>
      <c r="L402" s="156"/>
      <c r="M402" s="134" t="s">
        <v>440</v>
      </c>
      <c r="N402" s="224">
        <v>0.0</v>
      </c>
      <c r="O402" s="117" t="b">
        <f t="shared" si="2"/>
        <v>0</v>
      </c>
      <c r="P402" s="117" t="b">
        <v>0</v>
      </c>
      <c r="Q402" s="117" t="s">
        <v>368</v>
      </c>
    </row>
    <row r="403" hidden="1">
      <c r="A403" s="108"/>
      <c r="B403" s="220"/>
      <c r="C403" s="134" t="s">
        <v>49</v>
      </c>
      <c r="D403" s="220" t="str">
        <f>vlookup(M403,'Página10'!A:B,2,false)</f>
        <v>INOV00004</v>
      </c>
      <c r="E403" s="134" t="s">
        <v>116</v>
      </c>
      <c r="F403" s="221">
        <v>44951.0</v>
      </c>
      <c r="G403" s="222">
        <v>0.041666666666666664</v>
      </c>
      <c r="H403" s="134" t="s">
        <v>411</v>
      </c>
      <c r="I403" s="223" t="s">
        <v>411</v>
      </c>
      <c r="J403" s="223" t="b">
        <f t="shared" si="1"/>
        <v>1</v>
      </c>
      <c r="K403" s="145" t="s">
        <v>719</v>
      </c>
      <c r="L403" s="156"/>
      <c r="M403" s="134" t="s">
        <v>421</v>
      </c>
      <c r="N403" s="224">
        <v>178.57</v>
      </c>
      <c r="O403" s="117" t="b">
        <f t="shared" si="2"/>
        <v>1</v>
      </c>
      <c r="P403" s="117" t="b">
        <v>1</v>
      </c>
      <c r="Q403" s="117" t="s">
        <v>368</v>
      </c>
    </row>
    <row r="404" hidden="1">
      <c r="A404" s="108"/>
      <c r="B404" s="220"/>
      <c r="C404" s="134" t="s">
        <v>49</v>
      </c>
      <c r="D404" s="220" t="str">
        <f>vlookup(M404,'Página10'!A:B,2,false)</f>
        <v>INOV00004</v>
      </c>
      <c r="E404" s="134" t="s">
        <v>116</v>
      </c>
      <c r="F404" s="221">
        <v>44952.0</v>
      </c>
      <c r="G404" s="222">
        <v>0.041666666666666664</v>
      </c>
      <c r="H404" s="134" t="s">
        <v>411</v>
      </c>
      <c r="I404" s="223" t="s">
        <v>411</v>
      </c>
      <c r="J404" s="223" t="b">
        <f t="shared" si="1"/>
        <v>1</v>
      </c>
      <c r="K404" s="145" t="s">
        <v>720</v>
      </c>
      <c r="L404" s="156"/>
      <c r="M404" s="134" t="s">
        <v>421</v>
      </c>
      <c r="N404" s="224">
        <v>178.57</v>
      </c>
      <c r="O404" s="117" t="b">
        <f t="shared" si="2"/>
        <v>1</v>
      </c>
      <c r="P404" s="117" t="b">
        <v>1</v>
      </c>
      <c r="Q404" s="117" t="s">
        <v>368</v>
      </c>
    </row>
    <row r="405" hidden="1">
      <c r="A405" s="108"/>
      <c r="B405" s="220"/>
      <c r="C405" s="134" t="s">
        <v>50</v>
      </c>
      <c r="D405" s="220" t="str">
        <f>vlookup(M405,'Página10'!A:B,2,false)</f>
        <v>INOV00006</v>
      </c>
      <c r="E405" s="134" t="s">
        <v>116</v>
      </c>
      <c r="F405" s="221">
        <v>44953.0</v>
      </c>
      <c r="G405" s="222">
        <v>0.041666666666666664</v>
      </c>
      <c r="H405" s="134" t="s">
        <v>475</v>
      </c>
      <c r="I405" s="223" t="s">
        <v>475</v>
      </c>
      <c r="J405" s="223" t="b">
        <f t="shared" si="1"/>
        <v>1</v>
      </c>
      <c r="K405" s="145" t="s">
        <v>721</v>
      </c>
      <c r="L405" s="156"/>
      <c r="M405" s="134" t="s">
        <v>422</v>
      </c>
      <c r="N405" s="224">
        <v>178.57</v>
      </c>
      <c r="O405" s="117" t="b">
        <f t="shared" si="2"/>
        <v>1</v>
      </c>
      <c r="P405" s="117" t="b">
        <v>1</v>
      </c>
      <c r="Q405" s="117" t="s">
        <v>368</v>
      </c>
    </row>
    <row r="406" hidden="1">
      <c r="A406" s="108"/>
      <c r="B406" s="220"/>
      <c r="C406" s="134" t="s">
        <v>290</v>
      </c>
      <c r="D406" s="220" t="str">
        <f>vlookup(M406,'Página10'!A:B,2,false)</f>
        <v>INOV00001</v>
      </c>
      <c r="E406" s="134" t="s">
        <v>116</v>
      </c>
      <c r="F406" s="221">
        <v>44953.0</v>
      </c>
      <c r="G406" s="222">
        <v>0.041666666666666664</v>
      </c>
      <c r="H406" s="134" t="s">
        <v>474</v>
      </c>
      <c r="I406" s="223" t="s">
        <v>474</v>
      </c>
      <c r="J406" s="223" t="b">
        <f t="shared" si="1"/>
        <v>1</v>
      </c>
      <c r="K406" s="145" t="s">
        <v>722</v>
      </c>
      <c r="L406" s="156"/>
      <c r="M406" s="134" t="s">
        <v>416</v>
      </c>
      <c r="N406" s="224">
        <v>178.57</v>
      </c>
      <c r="O406" s="117" t="b">
        <f t="shared" si="2"/>
        <v>1</v>
      </c>
      <c r="P406" s="117" t="b">
        <v>1</v>
      </c>
      <c r="Q406" s="117" t="s">
        <v>368</v>
      </c>
    </row>
    <row r="407" hidden="1">
      <c r="A407" s="108"/>
      <c r="B407" s="220"/>
      <c r="C407" s="134" t="s">
        <v>290</v>
      </c>
      <c r="D407" s="220" t="str">
        <f>vlookup(M407,'Página10'!A:B,2,false)</f>
        <v>INOV00001</v>
      </c>
      <c r="E407" s="134" t="s">
        <v>116</v>
      </c>
      <c r="F407" s="221">
        <v>44956.0</v>
      </c>
      <c r="G407" s="222">
        <v>0.041666666666666664</v>
      </c>
      <c r="H407" s="134" t="s">
        <v>479</v>
      </c>
      <c r="I407" s="223" t="s">
        <v>479</v>
      </c>
      <c r="J407" s="223" t="b">
        <f t="shared" si="1"/>
        <v>1</v>
      </c>
      <c r="K407" s="145" t="s">
        <v>723</v>
      </c>
      <c r="L407" s="156"/>
      <c r="M407" s="134" t="s">
        <v>416</v>
      </c>
      <c r="N407" s="224">
        <v>0.0</v>
      </c>
      <c r="O407" s="117" t="b">
        <f t="shared" si="2"/>
        <v>0</v>
      </c>
      <c r="P407" s="117" t="b">
        <v>1</v>
      </c>
      <c r="Q407" s="117" t="s">
        <v>368</v>
      </c>
    </row>
    <row r="408" hidden="1">
      <c r="A408" s="108"/>
      <c r="B408" s="220"/>
      <c r="C408" s="134" t="s">
        <v>441</v>
      </c>
      <c r="D408" s="220" t="str">
        <f>vlookup(M408,'Página10'!A:B,2,false)</f>
        <v>INOV00025</v>
      </c>
      <c r="E408" s="134" t="s">
        <v>116</v>
      </c>
      <c r="F408" s="221">
        <v>44957.0</v>
      </c>
      <c r="G408" s="222">
        <v>0.020833333333333332</v>
      </c>
      <c r="H408" s="134" t="s">
        <v>479</v>
      </c>
      <c r="I408" s="223" t="s">
        <v>479</v>
      </c>
      <c r="J408" s="223" t="b">
        <f t="shared" si="1"/>
        <v>1</v>
      </c>
      <c r="K408" s="145" t="s">
        <v>716</v>
      </c>
      <c r="L408" s="156"/>
      <c r="M408" s="134" t="s">
        <v>440</v>
      </c>
      <c r="N408" s="224">
        <v>0.0</v>
      </c>
      <c r="O408" s="117" t="b">
        <f t="shared" si="2"/>
        <v>0</v>
      </c>
      <c r="P408" s="117" t="b">
        <v>0</v>
      </c>
      <c r="Q408" s="117" t="s">
        <v>368</v>
      </c>
    </row>
    <row r="409" hidden="1">
      <c r="A409" s="108"/>
      <c r="B409" s="220"/>
      <c r="C409" s="134" t="s">
        <v>49</v>
      </c>
      <c r="D409" s="220" t="str">
        <f>vlookup(M409,'Página10'!A:B,2,false)</f>
        <v>INOV00004</v>
      </c>
      <c r="E409" s="134" t="s">
        <v>116</v>
      </c>
      <c r="F409" s="221">
        <v>44957.0</v>
      </c>
      <c r="G409" s="222">
        <v>0.020833333333333332</v>
      </c>
      <c r="H409" s="134" t="s">
        <v>475</v>
      </c>
      <c r="I409" s="223" t="s">
        <v>475</v>
      </c>
      <c r="J409" s="223" t="b">
        <f t="shared" si="1"/>
        <v>1</v>
      </c>
      <c r="K409" s="145" t="s">
        <v>724</v>
      </c>
      <c r="L409" s="156"/>
      <c r="M409" s="134" t="s">
        <v>421</v>
      </c>
      <c r="N409" s="224">
        <v>89.28</v>
      </c>
      <c r="O409" s="117" t="b">
        <f t="shared" si="2"/>
        <v>1</v>
      </c>
      <c r="P409" s="117" t="b">
        <v>1</v>
      </c>
      <c r="Q409" s="117" t="s">
        <v>368</v>
      </c>
    </row>
    <row r="410" hidden="1">
      <c r="A410" s="108"/>
      <c r="B410" s="220"/>
      <c r="C410" s="134" t="s">
        <v>51</v>
      </c>
      <c r="D410" s="220" t="str">
        <f>vlookup(M410,'Página10'!A:B,2,false)</f>
        <v>INOV00010</v>
      </c>
      <c r="E410" s="134" t="s">
        <v>116</v>
      </c>
      <c r="F410" s="221">
        <v>44958.0</v>
      </c>
      <c r="G410" s="222">
        <v>0.041666666666666664</v>
      </c>
      <c r="H410" s="134" t="s">
        <v>475</v>
      </c>
      <c r="I410" s="223" t="s">
        <v>475</v>
      </c>
      <c r="J410" s="223" t="b">
        <f t="shared" si="1"/>
        <v>1</v>
      </c>
      <c r="K410" s="145" t="s">
        <v>725</v>
      </c>
      <c r="L410" s="156"/>
      <c r="M410" s="134" t="s">
        <v>423</v>
      </c>
      <c r="N410" s="224">
        <v>231.08</v>
      </c>
      <c r="O410" s="117" t="b">
        <f t="shared" si="2"/>
        <v>1</v>
      </c>
      <c r="P410" s="117" t="b">
        <v>1</v>
      </c>
      <c r="Q410" s="117" t="s">
        <v>368</v>
      </c>
    </row>
    <row r="411" hidden="1">
      <c r="A411" s="108"/>
      <c r="B411" s="220"/>
      <c r="C411" s="134" t="s">
        <v>54</v>
      </c>
      <c r="D411" s="220" t="str">
        <f>vlookup(M411,'Página10'!A:B,2,false)</f>
        <v>INOV00016</v>
      </c>
      <c r="E411" s="134" t="s">
        <v>116</v>
      </c>
      <c r="F411" s="221">
        <v>44959.0</v>
      </c>
      <c r="G411" s="222">
        <v>0.041666666666666664</v>
      </c>
      <c r="H411" s="134" t="s">
        <v>411</v>
      </c>
      <c r="I411" s="223" t="s">
        <v>411</v>
      </c>
      <c r="J411" s="223" t="b">
        <f t="shared" si="1"/>
        <v>1</v>
      </c>
      <c r="K411" s="145" t="s">
        <v>726</v>
      </c>
      <c r="L411" s="156"/>
      <c r="M411" s="134" t="s">
        <v>428</v>
      </c>
      <c r="N411" s="224">
        <v>231.08</v>
      </c>
      <c r="O411" s="117" t="b">
        <f t="shared" si="2"/>
        <v>1</v>
      </c>
      <c r="P411" s="117" t="b">
        <v>1</v>
      </c>
      <c r="Q411" s="117" t="s">
        <v>368</v>
      </c>
    </row>
    <row r="412" hidden="1">
      <c r="A412" s="108"/>
      <c r="B412" s="220"/>
      <c r="C412" s="134" t="s">
        <v>441</v>
      </c>
      <c r="D412" s="220" t="str">
        <f>vlookup(M412,'Página10'!A:B,2,false)</f>
        <v>INOV00025</v>
      </c>
      <c r="E412" s="134" t="s">
        <v>116</v>
      </c>
      <c r="F412" s="221">
        <v>44963.0</v>
      </c>
      <c r="G412" s="222">
        <v>0.041666666666666664</v>
      </c>
      <c r="H412" s="134" t="s">
        <v>411</v>
      </c>
      <c r="I412" s="223" t="s">
        <v>411</v>
      </c>
      <c r="J412" s="223" t="b">
        <f t="shared" si="1"/>
        <v>1</v>
      </c>
      <c r="K412" s="145" t="s">
        <v>727</v>
      </c>
      <c r="L412" s="156"/>
      <c r="M412" s="134" t="s">
        <v>440</v>
      </c>
      <c r="N412" s="224">
        <v>0.0</v>
      </c>
      <c r="O412" s="117" t="b">
        <f t="shared" si="2"/>
        <v>1</v>
      </c>
      <c r="P412" s="117" t="b">
        <v>0</v>
      </c>
      <c r="Q412" s="117" t="s">
        <v>368</v>
      </c>
    </row>
    <row r="413" hidden="1">
      <c r="A413" s="108"/>
      <c r="B413" s="220"/>
      <c r="C413" s="134" t="s">
        <v>433</v>
      </c>
      <c r="D413" s="220" t="str">
        <f>vlookup(M413,'Página10'!A:B,2,false)</f>
        <v>INOV00019</v>
      </c>
      <c r="E413" s="134" t="s">
        <v>116</v>
      </c>
      <c r="F413" s="221">
        <v>44963.0</v>
      </c>
      <c r="G413" s="222">
        <v>0.08333333333333333</v>
      </c>
      <c r="H413" s="134" t="s">
        <v>479</v>
      </c>
      <c r="I413" s="223" t="s">
        <v>479</v>
      </c>
      <c r="J413" s="223" t="b">
        <f t="shared" si="1"/>
        <v>1</v>
      </c>
      <c r="K413" s="145" t="s">
        <v>728</v>
      </c>
      <c r="L413" s="156"/>
      <c r="M413" s="134" t="s">
        <v>432</v>
      </c>
      <c r="N413" s="224">
        <v>0.0</v>
      </c>
      <c r="O413" s="117" t="b">
        <f t="shared" si="2"/>
        <v>0</v>
      </c>
      <c r="P413" s="117" t="b">
        <v>0</v>
      </c>
      <c r="Q413" s="117" t="s">
        <v>368</v>
      </c>
    </row>
    <row r="414" hidden="1">
      <c r="A414" s="108"/>
      <c r="B414" s="220"/>
      <c r="C414" s="134" t="s">
        <v>51</v>
      </c>
      <c r="D414" s="220" t="str">
        <f>vlookup(M414,'Página10'!A:B,2,false)</f>
        <v>INOV00010</v>
      </c>
      <c r="E414" s="134" t="s">
        <v>116</v>
      </c>
      <c r="F414" s="221">
        <v>44963.0</v>
      </c>
      <c r="G414" s="222">
        <v>0.041666666666666664</v>
      </c>
      <c r="H414" s="134" t="s">
        <v>411</v>
      </c>
      <c r="I414" s="223" t="s">
        <v>411</v>
      </c>
      <c r="J414" s="223" t="b">
        <f t="shared" si="1"/>
        <v>1</v>
      </c>
      <c r="K414" s="145" t="s">
        <v>729</v>
      </c>
      <c r="L414" s="156"/>
      <c r="M414" s="134" t="s">
        <v>423</v>
      </c>
      <c r="N414" s="224">
        <v>231.08</v>
      </c>
      <c r="O414" s="117" t="b">
        <f t="shared" si="2"/>
        <v>1</v>
      </c>
      <c r="P414" s="117" t="b">
        <v>1</v>
      </c>
      <c r="Q414" s="117" t="s">
        <v>368</v>
      </c>
    </row>
    <row r="415" hidden="1">
      <c r="A415" s="108"/>
      <c r="B415" s="220"/>
      <c r="C415" s="134" t="s">
        <v>453</v>
      </c>
      <c r="D415" s="220" t="str">
        <f>vlookup(M415,'Página10'!A:B,2,false)</f>
        <v>INOV00032</v>
      </c>
      <c r="E415" s="134" t="s">
        <v>116</v>
      </c>
      <c r="F415" s="221">
        <v>44964.0</v>
      </c>
      <c r="G415" s="222">
        <v>0.2916666666666667</v>
      </c>
      <c r="H415" s="134" t="s">
        <v>411</v>
      </c>
      <c r="I415" s="223" t="s">
        <v>411</v>
      </c>
      <c r="J415" s="223" t="b">
        <f t="shared" si="1"/>
        <v>1</v>
      </c>
      <c r="K415" s="145" t="s">
        <v>730</v>
      </c>
      <c r="L415" s="156"/>
      <c r="M415" s="134" t="s">
        <v>452</v>
      </c>
      <c r="N415" s="224">
        <v>0.0</v>
      </c>
      <c r="O415" s="117" t="b">
        <f t="shared" si="2"/>
        <v>1</v>
      </c>
      <c r="P415" s="117" t="b">
        <v>0</v>
      </c>
      <c r="Q415" s="117" t="s">
        <v>368</v>
      </c>
    </row>
    <row r="416" hidden="1">
      <c r="A416" s="108"/>
      <c r="B416" s="220"/>
      <c r="C416" s="134" t="s">
        <v>68</v>
      </c>
      <c r="D416" s="220" t="str">
        <f>vlookup(M416,'Página10'!A:B,2,false)</f>
        <v>INOV00040</v>
      </c>
      <c r="E416" s="134" t="s">
        <v>116</v>
      </c>
      <c r="F416" s="221">
        <v>44965.0</v>
      </c>
      <c r="G416" s="222">
        <v>0.20833333333333334</v>
      </c>
      <c r="H416" s="134" t="s">
        <v>475</v>
      </c>
      <c r="I416" s="223" t="s">
        <v>475</v>
      </c>
      <c r="J416" s="223" t="b">
        <f t="shared" si="1"/>
        <v>1</v>
      </c>
      <c r="K416" s="145" t="s">
        <v>731</v>
      </c>
      <c r="L416" s="156"/>
      <c r="M416" s="220" t="s">
        <v>462</v>
      </c>
      <c r="N416" s="224">
        <v>0.0</v>
      </c>
      <c r="O416" s="117" t="b">
        <f t="shared" si="2"/>
        <v>1</v>
      </c>
      <c r="P416" s="117" t="b">
        <v>0</v>
      </c>
      <c r="Q416" s="117" t="s">
        <v>368</v>
      </c>
    </row>
    <row r="417" hidden="1">
      <c r="A417" s="108"/>
      <c r="B417" s="220"/>
      <c r="C417" s="134" t="s">
        <v>55</v>
      </c>
      <c r="D417" s="220" t="str">
        <f>vlookup(M417,'Página10'!A:B,2,false)</f>
        <v>INOV00017</v>
      </c>
      <c r="E417" s="134" t="s">
        <v>116</v>
      </c>
      <c r="F417" s="221">
        <v>44967.0</v>
      </c>
      <c r="G417" s="222">
        <v>0.020833333333333332</v>
      </c>
      <c r="H417" s="134" t="s">
        <v>411</v>
      </c>
      <c r="I417" s="223" t="s">
        <v>411</v>
      </c>
      <c r="J417" s="223" t="b">
        <f t="shared" si="1"/>
        <v>1</v>
      </c>
      <c r="K417" s="145" t="s">
        <v>732</v>
      </c>
      <c r="L417" s="156"/>
      <c r="M417" s="134" t="s">
        <v>429</v>
      </c>
      <c r="N417" s="224">
        <v>115.54</v>
      </c>
      <c r="O417" s="117" t="b">
        <f t="shared" si="2"/>
        <v>1</v>
      </c>
      <c r="P417" s="117" t="b">
        <v>1</v>
      </c>
      <c r="Q417" s="117" t="s">
        <v>368</v>
      </c>
    </row>
    <row r="418" hidden="1">
      <c r="A418" s="108"/>
      <c r="B418" s="220"/>
      <c r="C418" s="134" t="s">
        <v>441</v>
      </c>
      <c r="D418" s="220" t="str">
        <f>vlookup(M418,'Página10'!A:B,2,false)</f>
        <v>INOV00025</v>
      </c>
      <c r="E418" s="134" t="s">
        <v>116</v>
      </c>
      <c r="F418" s="221">
        <v>44970.0</v>
      </c>
      <c r="G418" s="222">
        <v>0.020833333333333332</v>
      </c>
      <c r="H418" s="134" t="s">
        <v>479</v>
      </c>
      <c r="I418" s="223" t="s">
        <v>479</v>
      </c>
      <c r="J418" s="223" t="b">
        <f t="shared" si="1"/>
        <v>1</v>
      </c>
      <c r="K418" s="145" t="s">
        <v>716</v>
      </c>
      <c r="L418" s="156"/>
      <c r="M418" s="134" t="s">
        <v>440</v>
      </c>
      <c r="N418" s="224">
        <v>0.0</v>
      </c>
      <c r="O418" s="117" t="b">
        <f t="shared" si="2"/>
        <v>0</v>
      </c>
      <c r="P418" s="117" t="b">
        <v>0</v>
      </c>
      <c r="Q418" s="117" t="s">
        <v>368</v>
      </c>
    </row>
    <row r="419" hidden="1">
      <c r="A419" s="108"/>
      <c r="B419" s="220"/>
      <c r="C419" s="134" t="s">
        <v>425</v>
      </c>
      <c r="D419" s="220" t="str">
        <f>vlookup(M419,'Página10'!A:B,2,false)</f>
        <v>INOV00012</v>
      </c>
      <c r="E419" s="134" t="s">
        <v>116</v>
      </c>
      <c r="F419" s="221">
        <v>44972.0</v>
      </c>
      <c r="G419" s="222">
        <v>0.041666666666666664</v>
      </c>
      <c r="H419" s="134" t="s">
        <v>474</v>
      </c>
      <c r="I419" s="223" t="s">
        <v>474</v>
      </c>
      <c r="J419" s="223" t="b">
        <f t="shared" si="1"/>
        <v>1</v>
      </c>
      <c r="K419" s="145" t="s">
        <v>733</v>
      </c>
      <c r="L419" s="156"/>
      <c r="M419" s="134" t="s">
        <v>424</v>
      </c>
      <c r="N419" s="224">
        <v>0.0</v>
      </c>
      <c r="O419" s="117" t="b">
        <f t="shared" si="2"/>
        <v>1</v>
      </c>
      <c r="P419" s="117" t="b">
        <v>0</v>
      </c>
      <c r="Q419" s="117" t="s">
        <v>368</v>
      </c>
    </row>
    <row r="420" hidden="1">
      <c r="A420" s="108"/>
      <c r="B420" s="220"/>
      <c r="C420" s="134" t="s">
        <v>68</v>
      </c>
      <c r="D420" s="220" t="str">
        <f>vlookup(M420,'Página10'!A:B,2,false)</f>
        <v>INOV00040</v>
      </c>
      <c r="E420" s="134" t="s">
        <v>116</v>
      </c>
      <c r="F420" s="221">
        <v>44973.0</v>
      </c>
      <c r="G420" s="222">
        <v>0.041666666666666664</v>
      </c>
      <c r="H420" s="134" t="s">
        <v>411</v>
      </c>
      <c r="I420" s="223" t="s">
        <v>411</v>
      </c>
      <c r="J420" s="223" t="b">
        <f t="shared" si="1"/>
        <v>1</v>
      </c>
      <c r="K420" s="145" t="s">
        <v>734</v>
      </c>
      <c r="L420" s="156"/>
      <c r="M420" s="220" t="s">
        <v>462</v>
      </c>
      <c r="N420" s="224">
        <v>0.0</v>
      </c>
      <c r="O420" s="117" t="b">
        <f t="shared" si="2"/>
        <v>1</v>
      </c>
      <c r="P420" s="117" t="b">
        <v>0</v>
      </c>
      <c r="Q420" s="117" t="s">
        <v>368</v>
      </c>
    </row>
    <row r="421" hidden="1">
      <c r="A421" s="108"/>
      <c r="B421" s="220"/>
      <c r="C421" s="134" t="s">
        <v>49</v>
      </c>
      <c r="D421" s="220" t="str">
        <f>vlookup(M421,'Página10'!A:B,2,false)</f>
        <v>INOV00004</v>
      </c>
      <c r="E421" s="134" t="s">
        <v>116</v>
      </c>
      <c r="F421" s="221">
        <v>44974.0</v>
      </c>
      <c r="G421" s="222">
        <v>0.08333333333333333</v>
      </c>
      <c r="H421" s="134" t="s">
        <v>475</v>
      </c>
      <c r="I421" s="223" t="s">
        <v>475</v>
      </c>
      <c r="J421" s="223" t="b">
        <f t="shared" si="1"/>
        <v>1</v>
      </c>
      <c r="K421" s="145" t="s">
        <v>735</v>
      </c>
      <c r="L421" s="156"/>
      <c r="M421" s="134" t="s">
        <v>421</v>
      </c>
      <c r="N421" s="224">
        <v>462.17</v>
      </c>
      <c r="O421" s="117" t="b">
        <f t="shared" si="2"/>
        <v>1</v>
      </c>
      <c r="P421" s="117" t="b">
        <v>1</v>
      </c>
      <c r="Q421" s="117" t="s">
        <v>368</v>
      </c>
    </row>
    <row r="422" hidden="1">
      <c r="A422" s="108"/>
      <c r="B422" s="220"/>
      <c r="C422" s="134" t="s">
        <v>290</v>
      </c>
      <c r="D422" s="220" t="str">
        <f>vlookup(M422,'Página10'!A:B,2,false)</f>
        <v>INOV00001</v>
      </c>
      <c r="E422" s="134" t="s">
        <v>116</v>
      </c>
      <c r="F422" s="221">
        <v>44984.0</v>
      </c>
      <c r="G422" s="222">
        <v>0.041666666666666664</v>
      </c>
      <c r="H422" s="134" t="s">
        <v>411</v>
      </c>
      <c r="I422" s="223" t="s">
        <v>411</v>
      </c>
      <c r="J422" s="223" t="b">
        <f t="shared" si="1"/>
        <v>1</v>
      </c>
      <c r="K422" s="145" t="s">
        <v>736</v>
      </c>
      <c r="L422" s="156"/>
      <c r="M422" s="134" t="s">
        <v>416</v>
      </c>
      <c r="N422" s="224">
        <v>231.08</v>
      </c>
      <c r="O422" s="117" t="b">
        <f t="shared" si="2"/>
        <v>1</v>
      </c>
      <c r="P422" s="117" t="b">
        <v>1</v>
      </c>
      <c r="Q422" s="117" t="s">
        <v>368</v>
      </c>
    </row>
    <row r="423" hidden="1">
      <c r="A423" s="108"/>
      <c r="B423" s="220"/>
      <c r="C423" s="134" t="s">
        <v>453</v>
      </c>
      <c r="D423" s="220" t="str">
        <f>vlookup(M423,'Página10'!A:B,2,false)</f>
        <v>INOV00032</v>
      </c>
      <c r="E423" s="134" t="s">
        <v>116</v>
      </c>
      <c r="F423" s="221">
        <v>44984.0</v>
      </c>
      <c r="G423" s="222">
        <v>0.041666666666666664</v>
      </c>
      <c r="H423" s="134" t="s">
        <v>411</v>
      </c>
      <c r="I423" s="223" t="s">
        <v>411</v>
      </c>
      <c r="J423" s="223" t="b">
        <f t="shared" si="1"/>
        <v>1</v>
      </c>
      <c r="K423" s="145" t="s">
        <v>737</v>
      </c>
      <c r="L423" s="156"/>
      <c r="M423" s="134" t="s">
        <v>452</v>
      </c>
      <c r="N423" s="224">
        <v>0.0</v>
      </c>
      <c r="O423" s="117" t="b">
        <f t="shared" si="2"/>
        <v>1</v>
      </c>
      <c r="P423" s="117" t="b">
        <v>0</v>
      </c>
      <c r="Q423" s="117" t="s">
        <v>368</v>
      </c>
    </row>
    <row r="424" hidden="1">
      <c r="A424" s="108"/>
      <c r="B424" s="220"/>
      <c r="C424" s="134" t="s">
        <v>54</v>
      </c>
      <c r="D424" s="220" t="str">
        <f>vlookup(M424,'Página10'!A:B,2,false)</f>
        <v>INOV00016</v>
      </c>
      <c r="E424" s="134" t="s">
        <v>116</v>
      </c>
      <c r="F424" s="221">
        <v>44985.0</v>
      </c>
      <c r="G424" s="222">
        <v>0.041666666666666664</v>
      </c>
      <c r="H424" s="134" t="s">
        <v>474</v>
      </c>
      <c r="I424" s="223" t="s">
        <v>474</v>
      </c>
      <c r="J424" s="223" t="b">
        <f t="shared" si="1"/>
        <v>1</v>
      </c>
      <c r="K424" s="145" t="s">
        <v>738</v>
      </c>
      <c r="L424" s="156"/>
      <c r="M424" s="134" t="s">
        <v>428</v>
      </c>
      <c r="N424" s="224">
        <v>231.08</v>
      </c>
      <c r="O424" s="117" t="b">
        <f t="shared" si="2"/>
        <v>1</v>
      </c>
      <c r="P424" s="117" t="b">
        <v>1</v>
      </c>
      <c r="Q424" s="117" t="s">
        <v>368</v>
      </c>
    </row>
    <row r="425" hidden="1">
      <c r="A425" s="108"/>
      <c r="B425" s="220"/>
      <c r="C425" s="134" t="s">
        <v>441</v>
      </c>
      <c r="D425" s="220" t="str">
        <f>vlookup(M425,'Página10'!A:B,2,false)</f>
        <v>INOV00025</v>
      </c>
      <c r="E425" s="134" t="s">
        <v>116</v>
      </c>
      <c r="F425" s="221">
        <v>44985.0</v>
      </c>
      <c r="G425" s="222">
        <v>0.041666666666666664</v>
      </c>
      <c r="H425" s="134" t="s">
        <v>479</v>
      </c>
      <c r="I425" s="223" t="s">
        <v>479</v>
      </c>
      <c r="J425" s="223" t="b">
        <f t="shared" si="1"/>
        <v>1</v>
      </c>
      <c r="K425" s="145" t="s">
        <v>716</v>
      </c>
      <c r="L425" s="156"/>
      <c r="M425" s="134" t="s">
        <v>440</v>
      </c>
      <c r="N425" s="224">
        <v>0.0</v>
      </c>
      <c r="O425" s="117" t="b">
        <f t="shared" si="2"/>
        <v>0</v>
      </c>
      <c r="P425" s="117" t="b">
        <v>0</v>
      </c>
      <c r="Q425" s="117" t="s">
        <v>368</v>
      </c>
    </row>
    <row r="426" hidden="1">
      <c r="A426" s="108"/>
      <c r="B426" s="220"/>
      <c r="C426" s="134" t="s">
        <v>50</v>
      </c>
      <c r="D426" s="220" t="str">
        <f>vlookup(M426,'Página10'!A:B,2,false)</f>
        <v>INOV00006</v>
      </c>
      <c r="E426" s="134" t="s">
        <v>116</v>
      </c>
      <c r="F426" s="221">
        <v>44987.0</v>
      </c>
      <c r="G426" s="222">
        <v>0.041666666666666664</v>
      </c>
      <c r="H426" s="134" t="s">
        <v>411</v>
      </c>
      <c r="I426" s="223" t="s">
        <v>411</v>
      </c>
      <c r="J426" s="223" t="b">
        <f t="shared" si="1"/>
        <v>1</v>
      </c>
      <c r="K426" s="145" t="s">
        <v>739</v>
      </c>
      <c r="L426" s="156"/>
      <c r="M426" s="134" t="s">
        <v>422</v>
      </c>
      <c r="N426" s="224">
        <v>170.8</v>
      </c>
      <c r="O426" s="117" t="b">
        <f t="shared" si="2"/>
        <v>1</v>
      </c>
      <c r="P426" s="117" t="b">
        <v>1</v>
      </c>
      <c r="Q426" s="117" t="s">
        <v>368</v>
      </c>
    </row>
    <row r="427" hidden="1">
      <c r="A427" s="108"/>
      <c r="B427" s="220"/>
      <c r="C427" s="134" t="s">
        <v>290</v>
      </c>
      <c r="D427" s="220" t="str">
        <f>vlookup(M427,'Página10'!A:B,2,false)</f>
        <v>INOV00001</v>
      </c>
      <c r="E427" s="134" t="s">
        <v>116</v>
      </c>
      <c r="F427" s="221">
        <v>44987.0</v>
      </c>
      <c r="G427" s="222">
        <v>0.041666666666666664</v>
      </c>
      <c r="H427" s="134" t="s">
        <v>411</v>
      </c>
      <c r="I427" s="223" t="s">
        <v>411</v>
      </c>
      <c r="J427" s="223" t="b">
        <f t="shared" si="1"/>
        <v>1</v>
      </c>
      <c r="K427" s="145" t="s">
        <v>740</v>
      </c>
      <c r="L427" s="156"/>
      <c r="M427" s="134" t="s">
        <v>416</v>
      </c>
      <c r="N427" s="224">
        <v>170.8</v>
      </c>
      <c r="O427" s="117" t="b">
        <f t="shared" si="2"/>
        <v>1</v>
      </c>
      <c r="P427" s="117" t="b">
        <v>1</v>
      </c>
      <c r="Q427" s="117" t="s">
        <v>368</v>
      </c>
    </row>
    <row r="428" hidden="1">
      <c r="A428" s="108"/>
      <c r="B428" s="220"/>
      <c r="C428" s="134" t="s">
        <v>54</v>
      </c>
      <c r="D428" s="220" t="str">
        <f>vlookup(M428,'Página10'!A:B,2,false)</f>
        <v>INOV00016</v>
      </c>
      <c r="E428" s="134" t="s">
        <v>116</v>
      </c>
      <c r="F428" s="221">
        <v>44991.0</v>
      </c>
      <c r="G428" s="222">
        <v>0.041666666666666664</v>
      </c>
      <c r="H428" s="134" t="s">
        <v>479</v>
      </c>
      <c r="I428" s="223" t="s">
        <v>479</v>
      </c>
      <c r="J428" s="223" t="b">
        <f t="shared" si="1"/>
        <v>1</v>
      </c>
      <c r="K428" s="145" t="s">
        <v>728</v>
      </c>
      <c r="L428" s="156"/>
      <c r="M428" s="134" t="s">
        <v>428</v>
      </c>
      <c r="N428" s="224">
        <v>0.0</v>
      </c>
      <c r="O428" s="117" t="b">
        <f t="shared" si="2"/>
        <v>0</v>
      </c>
      <c r="P428" s="117" t="b">
        <v>1</v>
      </c>
      <c r="Q428" s="117" t="s">
        <v>368</v>
      </c>
    </row>
    <row r="429" hidden="1">
      <c r="A429" s="108"/>
      <c r="B429" s="220"/>
      <c r="C429" s="134" t="s">
        <v>290</v>
      </c>
      <c r="D429" s="220" t="str">
        <f>vlookup(M429,'Página10'!A:B,2,false)</f>
        <v>INOV00001</v>
      </c>
      <c r="E429" s="134" t="s">
        <v>116</v>
      </c>
      <c r="F429" s="221">
        <v>44991.0</v>
      </c>
      <c r="G429" s="222">
        <v>0.041666666666666664</v>
      </c>
      <c r="H429" s="134" t="s">
        <v>411</v>
      </c>
      <c r="I429" s="223" t="s">
        <v>411</v>
      </c>
      <c r="J429" s="223" t="b">
        <f t="shared" si="1"/>
        <v>1</v>
      </c>
      <c r="K429" s="145" t="s">
        <v>741</v>
      </c>
      <c r="L429" s="156"/>
      <c r="M429" s="134" t="s">
        <v>416</v>
      </c>
      <c r="N429" s="224">
        <v>170.8</v>
      </c>
      <c r="O429" s="117" t="b">
        <f t="shared" si="2"/>
        <v>1</v>
      </c>
      <c r="P429" s="117" t="b">
        <v>1</v>
      </c>
      <c r="Q429" s="117" t="s">
        <v>368</v>
      </c>
    </row>
    <row r="430" hidden="1">
      <c r="A430" s="108"/>
      <c r="B430" s="220"/>
      <c r="C430" s="134" t="s">
        <v>446</v>
      </c>
      <c r="D430" s="220" t="str">
        <f>vlookup(M430,'Página10'!A:B,2,false)</f>
        <v>INOV00028</v>
      </c>
      <c r="E430" s="134" t="s">
        <v>116</v>
      </c>
      <c r="F430" s="221">
        <v>44992.0</v>
      </c>
      <c r="G430" s="222">
        <v>0.041666666666666664</v>
      </c>
      <c r="H430" s="134" t="s">
        <v>475</v>
      </c>
      <c r="I430" s="223" t="s">
        <v>475</v>
      </c>
      <c r="J430" s="223" t="b">
        <f t="shared" si="1"/>
        <v>1</v>
      </c>
      <c r="K430" s="145" t="s">
        <v>742</v>
      </c>
      <c r="L430" s="156"/>
      <c r="M430" s="134" t="s">
        <v>445</v>
      </c>
      <c r="N430" s="224">
        <v>0.0</v>
      </c>
      <c r="O430" s="117" t="b">
        <f t="shared" si="2"/>
        <v>1</v>
      </c>
      <c r="P430" s="117" t="b">
        <v>0</v>
      </c>
      <c r="Q430" s="117" t="s">
        <v>368</v>
      </c>
    </row>
    <row r="431" hidden="1">
      <c r="A431" s="108"/>
      <c r="B431" s="220"/>
      <c r="C431" s="134" t="s">
        <v>56</v>
      </c>
      <c r="D431" s="220" t="str">
        <f>vlookup(M431,'Página10'!A:B,2,false)</f>
        <v>INOV00021</v>
      </c>
      <c r="E431" s="134" t="s">
        <v>116</v>
      </c>
      <c r="F431" s="221">
        <v>44993.0</v>
      </c>
      <c r="G431" s="222">
        <v>0.041666666666666664</v>
      </c>
      <c r="H431" s="134" t="s">
        <v>474</v>
      </c>
      <c r="I431" s="223" t="s">
        <v>474</v>
      </c>
      <c r="J431" s="223" t="b">
        <f t="shared" si="1"/>
        <v>1</v>
      </c>
      <c r="K431" s="145" t="s">
        <v>743</v>
      </c>
      <c r="L431" s="156"/>
      <c r="M431" s="134" t="s">
        <v>436</v>
      </c>
      <c r="N431" s="224">
        <v>170.8</v>
      </c>
      <c r="O431" s="117" t="b">
        <f t="shared" si="2"/>
        <v>1</v>
      </c>
      <c r="P431" s="117" t="b">
        <v>1</v>
      </c>
      <c r="Q431" s="117" t="s">
        <v>368</v>
      </c>
    </row>
    <row r="432" hidden="1">
      <c r="A432" s="108"/>
      <c r="B432" s="220"/>
      <c r="C432" s="134" t="s">
        <v>54</v>
      </c>
      <c r="D432" s="220" t="str">
        <f>vlookup(M432,'Página10'!A:B,2,false)</f>
        <v>INOV00016</v>
      </c>
      <c r="E432" s="134" t="s">
        <v>116</v>
      </c>
      <c r="F432" s="221">
        <v>44994.0</v>
      </c>
      <c r="G432" s="222">
        <v>0.125</v>
      </c>
      <c r="H432" s="134" t="s">
        <v>479</v>
      </c>
      <c r="I432" s="223" t="s">
        <v>479</v>
      </c>
      <c r="J432" s="223" t="b">
        <f t="shared" si="1"/>
        <v>1</v>
      </c>
      <c r="K432" s="145" t="s">
        <v>744</v>
      </c>
      <c r="L432" s="156"/>
      <c r="M432" s="134" t="s">
        <v>428</v>
      </c>
      <c r="N432" s="224">
        <v>0.0</v>
      </c>
      <c r="O432" s="117" t="b">
        <f t="shared" si="2"/>
        <v>0</v>
      </c>
      <c r="P432" s="117" t="b">
        <v>1</v>
      </c>
      <c r="Q432" s="117" t="s">
        <v>368</v>
      </c>
    </row>
    <row r="433" hidden="1">
      <c r="A433" s="108"/>
      <c r="B433" s="220"/>
      <c r="C433" s="134" t="s">
        <v>53</v>
      </c>
      <c r="D433" s="220" t="str">
        <f>vlookup(M433,'Página10'!A:B,2,false)</f>
        <v>INOV00014</v>
      </c>
      <c r="E433" s="134" t="s">
        <v>116</v>
      </c>
      <c r="F433" s="221">
        <v>44994.0</v>
      </c>
      <c r="G433" s="222">
        <v>0.041666666666666664</v>
      </c>
      <c r="H433" s="134" t="s">
        <v>475</v>
      </c>
      <c r="I433" s="223" t="s">
        <v>475</v>
      </c>
      <c r="J433" s="223" t="b">
        <f t="shared" si="1"/>
        <v>1</v>
      </c>
      <c r="K433" s="145" t="s">
        <v>745</v>
      </c>
      <c r="L433" s="156"/>
      <c r="M433" s="134" t="s">
        <v>427</v>
      </c>
      <c r="N433" s="224">
        <v>170.8</v>
      </c>
      <c r="O433" s="117" t="b">
        <f t="shared" si="2"/>
        <v>1</v>
      </c>
      <c r="P433" s="117" t="b">
        <v>1</v>
      </c>
      <c r="Q433" s="117" t="s">
        <v>368</v>
      </c>
    </row>
    <row r="434" hidden="1">
      <c r="A434" s="108"/>
      <c r="B434" s="220"/>
      <c r="C434" s="134" t="s">
        <v>56</v>
      </c>
      <c r="D434" s="220" t="str">
        <f>vlookup(M434,'Página10'!A:B,2,false)</f>
        <v>INOV00021</v>
      </c>
      <c r="E434" s="134" t="s">
        <v>116</v>
      </c>
      <c r="F434" s="221">
        <v>44995.0</v>
      </c>
      <c r="G434" s="222">
        <v>0.041666666666666664</v>
      </c>
      <c r="H434" s="134" t="s">
        <v>474</v>
      </c>
      <c r="I434" s="223" t="s">
        <v>474</v>
      </c>
      <c r="J434" s="223" t="b">
        <f t="shared" si="1"/>
        <v>1</v>
      </c>
      <c r="K434" s="145" t="s">
        <v>746</v>
      </c>
      <c r="L434" s="156"/>
      <c r="M434" s="134" t="s">
        <v>436</v>
      </c>
      <c r="N434" s="224">
        <v>170.8</v>
      </c>
      <c r="O434" s="117" t="b">
        <f t="shared" si="2"/>
        <v>1</v>
      </c>
      <c r="P434" s="117" t="b">
        <v>1</v>
      </c>
      <c r="Q434" s="117" t="s">
        <v>368</v>
      </c>
    </row>
    <row r="435" hidden="1">
      <c r="A435" s="108"/>
      <c r="B435" s="220"/>
      <c r="C435" s="134" t="s">
        <v>52</v>
      </c>
      <c r="D435" s="220" t="str">
        <f>vlookup(M435,'Página10'!A:B,2,false)</f>
        <v>INOV00013</v>
      </c>
      <c r="E435" s="134" t="s">
        <v>116</v>
      </c>
      <c r="F435" s="221">
        <v>44995.0</v>
      </c>
      <c r="G435" s="222">
        <v>0.041666666666666664</v>
      </c>
      <c r="H435" s="134" t="s">
        <v>475</v>
      </c>
      <c r="I435" s="223" t="s">
        <v>475</v>
      </c>
      <c r="J435" s="223" t="b">
        <f t="shared" si="1"/>
        <v>1</v>
      </c>
      <c r="K435" s="145" t="s">
        <v>747</v>
      </c>
      <c r="L435" s="156"/>
      <c r="M435" s="134" t="s">
        <v>426</v>
      </c>
      <c r="N435" s="224">
        <v>170.8</v>
      </c>
      <c r="O435" s="117" t="b">
        <f t="shared" si="2"/>
        <v>1</v>
      </c>
      <c r="P435" s="117" t="b">
        <v>1</v>
      </c>
      <c r="Q435" s="117" t="s">
        <v>368</v>
      </c>
    </row>
    <row r="436" hidden="1">
      <c r="A436" s="108"/>
      <c r="B436" s="220"/>
      <c r="C436" s="134" t="s">
        <v>425</v>
      </c>
      <c r="D436" s="220" t="str">
        <f>vlookup(M436,'Página10'!A:B,2,false)</f>
        <v>INOV00012</v>
      </c>
      <c r="E436" s="134" t="s">
        <v>116</v>
      </c>
      <c r="F436" s="221">
        <v>44998.0</v>
      </c>
      <c r="G436" s="222">
        <v>0.041666666666666664</v>
      </c>
      <c r="H436" s="134" t="s">
        <v>411</v>
      </c>
      <c r="I436" s="223" t="s">
        <v>411</v>
      </c>
      <c r="J436" s="223" t="b">
        <f t="shared" si="1"/>
        <v>1</v>
      </c>
      <c r="K436" s="145" t="s">
        <v>748</v>
      </c>
      <c r="L436" s="156"/>
      <c r="M436" s="134" t="s">
        <v>424</v>
      </c>
      <c r="N436" s="224">
        <v>0.0</v>
      </c>
      <c r="O436" s="117" t="b">
        <f t="shared" si="2"/>
        <v>1</v>
      </c>
      <c r="P436" s="117" t="b">
        <v>0</v>
      </c>
      <c r="Q436" s="117" t="s">
        <v>368</v>
      </c>
    </row>
    <row r="437" hidden="1">
      <c r="A437" s="108"/>
      <c r="B437" s="220"/>
      <c r="C437" s="134" t="s">
        <v>431</v>
      </c>
      <c r="D437" s="220" t="str">
        <f>vlookup(M437,'Página10'!A:B,2,false)</f>
        <v>INOV00018</v>
      </c>
      <c r="E437" s="134" t="s">
        <v>116</v>
      </c>
      <c r="F437" s="221">
        <v>44998.0</v>
      </c>
      <c r="G437" s="222">
        <v>0.041666666666666664</v>
      </c>
      <c r="H437" s="134" t="s">
        <v>475</v>
      </c>
      <c r="I437" s="223" t="s">
        <v>475</v>
      </c>
      <c r="J437" s="223" t="b">
        <f t="shared" si="1"/>
        <v>1</v>
      </c>
      <c r="K437" s="145" t="s">
        <v>749</v>
      </c>
      <c r="L437" s="156"/>
      <c r="M437" s="134" t="s">
        <v>430</v>
      </c>
      <c r="N437" s="224">
        <v>0.0</v>
      </c>
      <c r="O437" s="117" t="b">
        <f t="shared" si="2"/>
        <v>1</v>
      </c>
      <c r="P437" s="117" t="b">
        <v>0</v>
      </c>
      <c r="Q437" s="117" t="s">
        <v>368</v>
      </c>
    </row>
    <row r="438" hidden="1">
      <c r="A438" s="108"/>
      <c r="B438" s="220"/>
      <c r="C438" s="134" t="s">
        <v>425</v>
      </c>
      <c r="D438" s="220" t="str">
        <f>vlookup(M438,'Página10'!A:B,2,false)</f>
        <v>INOV00012</v>
      </c>
      <c r="E438" s="134" t="s">
        <v>116</v>
      </c>
      <c r="F438" s="221">
        <v>44998.0</v>
      </c>
      <c r="G438" s="222">
        <v>0.041666666666666664</v>
      </c>
      <c r="H438" s="134" t="s">
        <v>411</v>
      </c>
      <c r="I438" s="223" t="s">
        <v>411</v>
      </c>
      <c r="J438" s="223" t="b">
        <f t="shared" si="1"/>
        <v>1</v>
      </c>
      <c r="K438" s="145" t="s">
        <v>750</v>
      </c>
      <c r="L438" s="156"/>
      <c r="M438" s="134" t="s">
        <v>424</v>
      </c>
      <c r="N438" s="224">
        <v>0.0</v>
      </c>
      <c r="O438" s="117" t="b">
        <f t="shared" si="2"/>
        <v>1</v>
      </c>
      <c r="P438" s="117" t="b">
        <v>0</v>
      </c>
      <c r="Q438" s="117" t="s">
        <v>368</v>
      </c>
    </row>
    <row r="439" hidden="1">
      <c r="A439" s="108"/>
      <c r="B439" s="220"/>
      <c r="C439" s="134" t="s">
        <v>290</v>
      </c>
      <c r="D439" s="220" t="str">
        <f>vlookup(M439,'Página10'!A:B,2,false)</f>
        <v>INOV00001</v>
      </c>
      <c r="E439" s="134" t="s">
        <v>116</v>
      </c>
      <c r="F439" s="221">
        <v>44999.0</v>
      </c>
      <c r="G439" s="222">
        <v>0.041666666666666664</v>
      </c>
      <c r="H439" s="134" t="s">
        <v>474</v>
      </c>
      <c r="I439" s="223" t="s">
        <v>474</v>
      </c>
      <c r="J439" s="223" t="b">
        <f t="shared" si="1"/>
        <v>1</v>
      </c>
      <c r="K439" s="145" t="s">
        <v>751</v>
      </c>
      <c r="L439" s="156"/>
      <c r="M439" s="134" t="s">
        <v>416</v>
      </c>
      <c r="N439" s="224">
        <v>170.8</v>
      </c>
      <c r="O439" s="117" t="b">
        <f t="shared" si="2"/>
        <v>1</v>
      </c>
      <c r="P439" s="117" t="b">
        <v>1</v>
      </c>
      <c r="Q439" s="117" t="s">
        <v>368</v>
      </c>
    </row>
    <row r="440" hidden="1">
      <c r="A440" s="108"/>
      <c r="B440" s="220"/>
      <c r="C440" s="134" t="s">
        <v>425</v>
      </c>
      <c r="D440" s="220" t="str">
        <f>vlookup(M440,'Página10'!A:B,2,false)</f>
        <v>INOV00012</v>
      </c>
      <c r="E440" s="134" t="s">
        <v>116</v>
      </c>
      <c r="F440" s="221">
        <v>44999.0</v>
      </c>
      <c r="G440" s="222">
        <v>0.041666666666666664</v>
      </c>
      <c r="H440" s="134" t="s">
        <v>479</v>
      </c>
      <c r="I440" s="223" t="s">
        <v>479</v>
      </c>
      <c r="J440" s="223" t="b">
        <f t="shared" si="1"/>
        <v>1</v>
      </c>
      <c r="K440" s="145" t="s">
        <v>752</v>
      </c>
      <c r="L440" s="156"/>
      <c r="M440" s="134" t="s">
        <v>424</v>
      </c>
      <c r="N440" s="224">
        <v>0.0</v>
      </c>
      <c r="O440" s="117" t="b">
        <f t="shared" si="2"/>
        <v>0</v>
      </c>
      <c r="P440" s="117" t="b">
        <v>0</v>
      </c>
      <c r="Q440" s="117" t="s">
        <v>368</v>
      </c>
    </row>
    <row r="441" hidden="1">
      <c r="A441" s="108"/>
      <c r="B441" s="220"/>
      <c r="C441" s="134" t="s">
        <v>441</v>
      </c>
      <c r="D441" s="220" t="str">
        <f>vlookup(M441,'Página10'!A:B,2,false)</f>
        <v>INOV00025</v>
      </c>
      <c r="E441" s="134" t="s">
        <v>116</v>
      </c>
      <c r="F441" s="221">
        <v>44999.0</v>
      </c>
      <c r="G441" s="222">
        <v>0.041666666666666664</v>
      </c>
      <c r="H441" s="134" t="s">
        <v>479</v>
      </c>
      <c r="I441" s="223" t="s">
        <v>479</v>
      </c>
      <c r="J441" s="223" t="b">
        <f t="shared" si="1"/>
        <v>1</v>
      </c>
      <c r="K441" s="145" t="s">
        <v>716</v>
      </c>
      <c r="L441" s="156"/>
      <c r="M441" s="134" t="s">
        <v>440</v>
      </c>
      <c r="N441" s="224">
        <v>0.0</v>
      </c>
      <c r="O441" s="117" t="b">
        <f t="shared" si="2"/>
        <v>0</v>
      </c>
      <c r="P441" s="117" t="b">
        <v>0</v>
      </c>
      <c r="Q441" s="117" t="s">
        <v>368</v>
      </c>
    </row>
    <row r="442" hidden="1">
      <c r="A442" s="108"/>
      <c r="B442" s="220"/>
      <c r="C442" s="134" t="s">
        <v>441</v>
      </c>
      <c r="D442" s="220" t="str">
        <f>vlookup(M442,'Página10'!A:B,2,false)</f>
        <v>INOV00025</v>
      </c>
      <c r="E442" s="134" t="s">
        <v>116</v>
      </c>
      <c r="F442" s="221">
        <v>44999.0</v>
      </c>
      <c r="G442" s="222">
        <v>0.041666666666666664</v>
      </c>
      <c r="H442" s="134" t="s">
        <v>475</v>
      </c>
      <c r="I442" s="223" t="s">
        <v>475</v>
      </c>
      <c r="J442" s="223" t="b">
        <f t="shared" si="1"/>
        <v>1</v>
      </c>
      <c r="K442" s="145" t="s">
        <v>753</v>
      </c>
      <c r="L442" s="156"/>
      <c r="M442" s="134" t="s">
        <v>440</v>
      </c>
      <c r="N442" s="224">
        <v>0.0</v>
      </c>
      <c r="O442" s="117" t="b">
        <f t="shared" si="2"/>
        <v>1</v>
      </c>
      <c r="P442" s="117" t="b">
        <v>0</v>
      </c>
      <c r="Q442" s="117" t="s">
        <v>368</v>
      </c>
    </row>
    <row r="443" hidden="1">
      <c r="A443" s="108"/>
      <c r="B443" s="220"/>
      <c r="C443" s="134" t="s">
        <v>425</v>
      </c>
      <c r="D443" s="220" t="str">
        <f>vlookup(M443,'Página10'!A:B,2,false)</f>
        <v>INOV00012</v>
      </c>
      <c r="E443" s="134" t="s">
        <v>116</v>
      </c>
      <c r="F443" s="221">
        <v>44999.0</v>
      </c>
      <c r="G443" s="222">
        <v>0.041666666666666664</v>
      </c>
      <c r="H443" s="134" t="s">
        <v>411</v>
      </c>
      <c r="I443" s="223" t="s">
        <v>411</v>
      </c>
      <c r="J443" s="223" t="b">
        <f t="shared" si="1"/>
        <v>1</v>
      </c>
      <c r="K443" s="145" t="s">
        <v>754</v>
      </c>
      <c r="L443" s="156"/>
      <c r="M443" s="134" t="s">
        <v>424</v>
      </c>
      <c r="N443" s="224">
        <v>0.0</v>
      </c>
      <c r="O443" s="117" t="b">
        <f t="shared" si="2"/>
        <v>1</v>
      </c>
      <c r="P443" s="117" t="b">
        <v>0</v>
      </c>
      <c r="Q443" s="117" t="s">
        <v>368</v>
      </c>
    </row>
    <row r="444" hidden="1">
      <c r="A444" s="108"/>
      <c r="B444" s="220"/>
      <c r="C444" s="134" t="s">
        <v>55</v>
      </c>
      <c r="D444" s="220" t="str">
        <f>vlookup(M444,'Página10'!A:B,2,false)</f>
        <v>INOV00017</v>
      </c>
      <c r="E444" s="134" t="s">
        <v>116</v>
      </c>
      <c r="F444" s="221">
        <v>45000.0</v>
      </c>
      <c r="G444" s="222">
        <v>0.041666666666666664</v>
      </c>
      <c r="H444" s="134" t="s">
        <v>475</v>
      </c>
      <c r="I444" s="223" t="s">
        <v>475</v>
      </c>
      <c r="J444" s="223" t="b">
        <f t="shared" si="1"/>
        <v>1</v>
      </c>
      <c r="K444" s="145" t="s">
        <v>755</v>
      </c>
      <c r="L444" s="156"/>
      <c r="M444" s="134" t="s">
        <v>429</v>
      </c>
      <c r="N444" s="224">
        <v>170.8</v>
      </c>
      <c r="O444" s="117" t="b">
        <f t="shared" si="2"/>
        <v>1</v>
      </c>
      <c r="P444" s="117" t="b">
        <v>1</v>
      </c>
      <c r="Q444" s="117" t="s">
        <v>368</v>
      </c>
    </row>
    <row r="445" hidden="1">
      <c r="A445" s="108"/>
      <c r="B445" s="220"/>
      <c r="C445" s="134" t="s">
        <v>55</v>
      </c>
      <c r="D445" s="220" t="str">
        <f>vlookup(M445,'Página10'!A:B,2,false)</f>
        <v>INOV00017</v>
      </c>
      <c r="E445" s="134" t="s">
        <v>116</v>
      </c>
      <c r="F445" s="221">
        <v>45000.0</v>
      </c>
      <c r="G445" s="222">
        <v>0.041666666666666664</v>
      </c>
      <c r="H445" s="134" t="s">
        <v>475</v>
      </c>
      <c r="I445" s="223" t="s">
        <v>475</v>
      </c>
      <c r="J445" s="223" t="b">
        <f t="shared" si="1"/>
        <v>1</v>
      </c>
      <c r="K445" s="145" t="s">
        <v>756</v>
      </c>
      <c r="L445" s="156"/>
      <c r="M445" s="134" t="s">
        <v>429</v>
      </c>
      <c r="N445" s="224">
        <v>170.8</v>
      </c>
      <c r="O445" s="117" t="b">
        <f t="shared" si="2"/>
        <v>1</v>
      </c>
      <c r="P445" s="117" t="b">
        <v>1</v>
      </c>
      <c r="Q445" s="117" t="s">
        <v>368</v>
      </c>
    </row>
    <row r="446" hidden="1">
      <c r="A446" s="108"/>
      <c r="B446" s="220"/>
      <c r="C446" s="134" t="s">
        <v>54</v>
      </c>
      <c r="D446" s="220" t="str">
        <f>vlookup(M446,'Página10'!A:B,2,false)</f>
        <v>INOV00016</v>
      </c>
      <c r="E446" s="134" t="s">
        <v>116</v>
      </c>
      <c r="F446" s="221">
        <v>45000.0</v>
      </c>
      <c r="G446" s="222">
        <v>0.041666666666666664</v>
      </c>
      <c r="H446" s="134" t="s">
        <v>475</v>
      </c>
      <c r="I446" s="223" t="s">
        <v>475</v>
      </c>
      <c r="J446" s="223" t="b">
        <f t="shared" si="1"/>
        <v>1</v>
      </c>
      <c r="K446" s="145" t="s">
        <v>757</v>
      </c>
      <c r="L446" s="156"/>
      <c r="M446" s="134" t="s">
        <v>428</v>
      </c>
      <c r="N446" s="224">
        <v>170.8</v>
      </c>
      <c r="O446" s="117" t="b">
        <f t="shared" si="2"/>
        <v>1</v>
      </c>
      <c r="P446" s="117" t="b">
        <v>1</v>
      </c>
      <c r="Q446" s="117" t="s">
        <v>368</v>
      </c>
    </row>
    <row r="447" hidden="1">
      <c r="A447" s="108"/>
      <c r="B447" s="220"/>
      <c r="C447" s="134" t="s">
        <v>425</v>
      </c>
      <c r="D447" s="220" t="str">
        <f>vlookup(M447,'Página10'!A:B,2,false)</f>
        <v>INOV00012</v>
      </c>
      <c r="E447" s="134" t="s">
        <v>116</v>
      </c>
      <c r="F447" s="221">
        <v>45002.0</v>
      </c>
      <c r="G447" s="222">
        <v>0.041666666666666664</v>
      </c>
      <c r="H447" s="134" t="s">
        <v>475</v>
      </c>
      <c r="I447" s="223" t="s">
        <v>475</v>
      </c>
      <c r="J447" s="223" t="b">
        <f t="shared" si="1"/>
        <v>1</v>
      </c>
      <c r="K447" s="145" t="s">
        <v>758</v>
      </c>
      <c r="L447" s="156"/>
      <c r="M447" s="134" t="s">
        <v>424</v>
      </c>
      <c r="N447" s="224">
        <v>0.0</v>
      </c>
      <c r="O447" s="117" t="b">
        <f t="shared" si="2"/>
        <v>1</v>
      </c>
      <c r="P447" s="117" t="b">
        <v>0</v>
      </c>
      <c r="Q447" s="117" t="s">
        <v>368</v>
      </c>
    </row>
    <row r="448" hidden="1">
      <c r="A448" s="108"/>
      <c r="B448" s="220"/>
      <c r="C448" s="134" t="s">
        <v>453</v>
      </c>
      <c r="D448" s="220" t="str">
        <f>vlookup(M448,'Página10'!A:B,2,false)</f>
        <v>INOV00032</v>
      </c>
      <c r="E448" s="134" t="s">
        <v>116</v>
      </c>
      <c r="F448" s="221">
        <v>45006.0</v>
      </c>
      <c r="G448" s="222">
        <v>0.041666666666666664</v>
      </c>
      <c r="H448" s="134" t="s">
        <v>411</v>
      </c>
      <c r="I448" s="223" t="s">
        <v>411</v>
      </c>
      <c r="J448" s="223" t="b">
        <f t="shared" si="1"/>
        <v>1</v>
      </c>
      <c r="K448" s="145" t="s">
        <v>759</v>
      </c>
      <c r="L448" s="156"/>
      <c r="M448" s="134" t="s">
        <v>452</v>
      </c>
      <c r="N448" s="224">
        <v>0.0</v>
      </c>
      <c r="O448" s="117" t="b">
        <f t="shared" si="2"/>
        <v>1</v>
      </c>
      <c r="P448" s="117" t="b">
        <v>0</v>
      </c>
      <c r="Q448" s="117" t="s">
        <v>368</v>
      </c>
    </row>
    <row r="449" hidden="1">
      <c r="A449" s="108"/>
      <c r="B449" s="220"/>
      <c r="C449" s="134" t="s">
        <v>54</v>
      </c>
      <c r="D449" s="220" t="str">
        <f>vlookup(M449,'Página10'!A:B,2,false)</f>
        <v>INOV00016</v>
      </c>
      <c r="E449" s="134" t="s">
        <v>116</v>
      </c>
      <c r="F449" s="221">
        <v>45008.0</v>
      </c>
      <c r="G449" s="222">
        <v>0.041666666666666664</v>
      </c>
      <c r="H449" s="134" t="s">
        <v>475</v>
      </c>
      <c r="I449" s="223" t="s">
        <v>475</v>
      </c>
      <c r="J449" s="223" t="b">
        <f t="shared" si="1"/>
        <v>1</v>
      </c>
      <c r="K449" s="145" t="s">
        <v>760</v>
      </c>
      <c r="L449" s="156"/>
      <c r="M449" s="134" t="s">
        <v>428</v>
      </c>
      <c r="N449" s="224">
        <v>170.8</v>
      </c>
      <c r="O449" s="117" t="b">
        <f t="shared" si="2"/>
        <v>1</v>
      </c>
      <c r="P449" s="117" t="b">
        <v>1</v>
      </c>
      <c r="Q449" s="117" t="s">
        <v>368</v>
      </c>
    </row>
    <row r="450" hidden="1">
      <c r="A450" s="108"/>
      <c r="B450" s="220"/>
      <c r="C450" s="134" t="s">
        <v>55</v>
      </c>
      <c r="D450" s="220" t="str">
        <f>vlookup(M450,'Página10'!A:B,2,false)</f>
        <v>INOV00017</v>
      </c>
      <c r="E450" s="134" t="s">
        <v>116</v>
      </c>
      <c r="F450" s="221">
        <v>45008.0</v>
      </c>
      <c r="G450" s="222">
        <v>0.08333333333333333</v>
      </c>
      <c r="H450" s="134" t="s">
        <v>411</v>
      </c>
      <c r="I450" s="223" t="s">
        <v>411</v>
      </c>
      <c r="J450" s="223" t="b">
        <f t="shared" si="1"/>
        <v>1</v>
      </c>
      <c r="K450" s="145" t="s">
        <v>761</v>
      </c>
      <c r="L450" s="156"/>
      <c r="M450" s="134" t="s">
        <v>429</v>
      </c>
      <c r="N450" s="224">
        <v>341.6</v>
      </c>
      <c r="O450" s="117" t="b">
        <f t="shared" si="2"/>
        <v>1</v>
      </c>
      <c r="P450" s="117" t="b">
        <v>1</v>
      </c>
      <c r="Q450" s="117" t="s">
        <v>368</v>
      </c>
    </row>
    <row r="451" hidden="1">
      <c r="A451" s="108"/>
      <c r="B451" s="220"/>
      <c r="C451" s="134" t="s">
        <v>54</v>
      </c>
      <c r="D451" s="220" t="str">
        <f>vlookup(M451,'Página10'!A:B,2,false)</f>
        <v>INOV00016</v>
      </c>
      <c r="E451" s="134" t="s">
        <v>116</v>
      </c>
      <c r="F451" s="221">
        <v>45008.0</v>
      </c>
      <c r="G451" s="222">
        <v>0.041666666666666664</v>
      </c>
      <c r="H451" s="134" t="s">
        <v>475</v>
      </c>
      <c r="I451" s="223" t="s">
        <v>475</v>
      </c>
      <c r="J451" s="223" t="b">
        <f t="shared" si="1"/>
        <v>1</v>
      </c>
      <c r="K451" s="145" t="s">
        <v>757</v>
      </c>
      <c r="L451" s="156"/>
      <c r="M451" s="134" t="s">
        <v>428</v>
      </c>
      <c r="N451" s="224">
        <v>170.8</v>
      </c>
      <c r="O451" s="117" t="b">
        <f t="shared" si="2"/>
        <v>1</v>
      </c>
      <c r="P451" s="117" t="b">
        <v>1</v>
      </c>
      <c r="Q451" s="117" t="s">
        <v>368</v>
      </c>
    </row>
    <row r="452" hidden="1">
      <c r="A452" s="108"/>
      <c r="B452" s="220"/>
      <c r="C452" s="134" t="s">
        <v>54</v>
      </c>
      <c r="D452" s="220" t="str">
        <f>vlookup(M452,'Página10'!A:B,2,false)</f>
        <v>INOV00016</v>
      </c>
      <c r="E452" s="134" t="s">
        <v>116</v>
      </c>
      <c r="F452" s="221">
        <v>45009.0</v>
      </c>
      <c r="G452" s="222">
        <v>0.041666666666666664</v>
      </c>
      <c r="H452" s="134" t="s">
        <v>479</v>
      </c>
      <c r="I452" s="223" t="s">
        <v>479</v>
      </c>
      <c r="J452" s="223" t="b">
        <f t="shared" si="1"/>
        <v>1</v>
      </c>
      <c r="K452" s="145" t="s">
        <v>762</v>
      </c>
      <c r="L452" s="156"/>
      <c r="M452" s="134" t="s">
        <v>428</v>
      </c>
      <c r="N452" s="224">
        <v>0.0</v>
      </c>
      <c r="O452" s="117" t="b">
        <f t="shared" si="2"/>
        <v>0</v>
      </c>
      <c r="P452" s="117" t="b">
        <v>1</v>
      </c>
      <c r="Q452" s="117" t="s">
        <v>368</v>
      </c>
    </row>
    <row r="453" hidden="1">
      <c r="A453" s="108"/>
      <c r="B453" s="220"/>
      <c r="C453" s="134" t="s">
        <v>53</v>
      </c>
      <c r="D453" s="220" t="str">
        <f>vlookup(M453,'Página10'!A:B,2,false)</f>
        <v>INOV00014</v>
      </c>
      <c r="E453" s="134" t="s">
        <v>116</v>
      </c>
      <c r="F453" s="221">
        <v>45012.0</v>
      </c>
      <c r="G453" s="222">
        <v>0.08333333333333333</v>
      </c>
      <c r="H453" s="134" t="s">
        <v>411</v>
      </c>
      <c r="I453" s="223" t="s">
        <v>411</v>
      </c>
      <c r="J453" s="223" t="b">
        <f t="shared" si="1"/>
        <v>1</v>
      </c>
      <c r="K453" s="145" t="s">
        <v>763</v>
      </c>
      <c r="L453" s="156"/>
      <c r="M453" s="134" t="s">
        <v>427</v>
      </c>
      <c r="N453" s="224">
        <v>341.6</v>
      </c>
      <c r="O453" s="117" t="b">
        <f t="shared" si="2"/>
        <v>1</v>
      </c>
      <c r="P453" s="117" t="b">
        <v>1</v>
      </c>
      <c r="Q453" s="117" t="s">
        <v>368</v>
      </c>
    </row>
    <row r="454" hidden="1">
      <c r="A454" s="108"/>
      <c r="B454" s="220"/>
      <c r="C454" s="134" t="s">
        <v>54</v>
      </c>
      <c r="D454" s="220" t="str">
        <f>vlookup(M454,'Página10'!A:B,2,false)</f>
        <v>INOV00016</v>
      </c>
      <c r="E454" s="134" t="s">
        <v>116</v>
      </c>
      <c r="F454" s="221">
        <v>45014.0</v>
      </c>
      <c r="G454" s="222">
        <v>0.041666666666666664</v>
      </c>
      <c r="H454" s="134" t="s">
        <v>411</v>
      </c>
      <c r="I454" s="223" t="s">
        <v>411</v>
      </c>
      <c r="J454" s="223" t="b">
        <f t="shared" si="1"/>
        <v>1</v>
      </c>
      <c r="K454" s="145" t="s">
        <v>764</v>
      </c>
      <c r="L454" s="156"/>
      <c r="M454" s="134" t="s">
        <v>428</v>
      </c>
      <c r="N454" s="224">
        <v>170.8</v>
      </c>
      <c r="O454" s="117" t="b">
        <f t="shared" si="2"/>
        <v>1</v>
      </c>
      <c r="P454" s="117" t="b">
        <v>1</v>
      </c>
      <c r="Q454" s="117" t="s">
        <v>368</v>
      </c>
    </row>
    <row r="455" hidden="1">
      <c r="A455" s="108"/>
      <c r="B455" s="220"/>
      <c r="C455" s="134" t="s">
        <v>425</v>
      </c>
      <c r="D455" s="220" t="str">
        <f>vlookup(M455,'Página10'!A:B,2,false)</f>
        <v>INOV00012</v>
      </c>
      <c r="E455" s="134" t="s">
        <v>116</v>
      </c>
      <c r="F455" s="221">
        <v>45015.0</v>
      </c>
      <c r="G455" s="222">
        <v>0.041666666666666664</v>
      </c>
      <c r="H455" s="134" t="s">
        <v>475</v>
      </c>
      <c r="I455" s="223" t="s">
        <v>475</v>
      </c>
      <c r="J455" s="223" t="b">
        <f t="shared" si="1"/>
        <v>1</v>
      </c>
      <c r="K455" s="145" t="s">
        <v>765</v>
      </c>
      <c r="L455" s="156"/>
      <c r="M455" s="134" t="s">
        <v>424</v>
      </c>
      <c r="N455" s="224">
        <v>0.0</v>
      </c>
      <c r="O455" s="117" t="b">
        <f t="shared" si="2"/>
        <v>1</v>
      </c>
      <c r="P455" s="117" t="b">
        <v>0</v>
      </c>
      <c r="Q455" s="117" t="s">
        <v>368</v>
      </c>
    </row>
    <row r="456" hidden="1">
      <c r="A456" s="108"/>
      <c r="B456" s="220"/>
      <c r="C456" s="134" t="s">
        <v>425</v>
      </c>
      <c r="D456" s="220" t="str">
        <f>vlookup(M456,'Página10'!A:B,2,false)</f>
        <v>INOV00012</v>
      </c>
      <c r="E456" s="134" t="s">
        <v>116</v>
      </c>
      <c r="F456" s="221">
        <v>45016.0</v>
      </c>
      <c r="G456" s="222">
        <v>0.041666666666666664</v>
      </c>
      <c r="H456" s="134" t="s">
        <v>475</v>
      </c>
      <c r="I456" s="223" t="s">
        <v>475</v>
      </c>
      <c r="J456" s="223" t="b">
        <f t="shared" si="1"/>
        <v>1</v>
      </c>
      <c r="K456" s="145" t="s">
        <v>766</v>
      </c>
      <c r="L456" s="156"/>
      <c r="M456" s="134" t="s">
        <v>424</v>
      </c>
      <c r="N456" s="224">
        <v>0.0</v>
      </c>
      <c r="O456" s="117" t="b">
        <f t="shared" si="2"/>
        <v>1</v>
      </c>
      <c r="P456" s="117" t="b">
        <v>0</v>
      </c>
      <c r="Q456" s="117" t="s">
        <v>368</v>
      </c>
    </row>
    <row r="457" hidden="1">
      <c r="A457" s="108"/>
      <c r="B457" s="220"/>
      <c r="C457" s="134" t="s">
        <v>290</v>
      </c>
      <c r="D457" s="220" t="str">
        <f>vlookup(M457,'Página10'!A:B,2,false)</f>
        <v>INOV00001</v>
      </c>
      <c r="E457" s="134" t="s">
        <v>116</v>
      </c>
      <c r="F457" s="221">
        <v>45016.0</v>
      </c>
      <c r="G457" s="222">
        <v>0.020833333333333332</v>
      </c>
      <c r="H457" s="134" t="s">
        <v>411</v>
      </c>
      <c r="I457" s="223" t="s">
        <v>411</v>
      </c>
      <c r="J457" s="223" t="b">
        <f t="shared" si="1"/>
        <v>1</v>
      </c>
      <c r="K457" s="145" t="s">
        <v>767</v>
      </c>
      <c r="L457" s="156"/>
      <c r="M457" s="134" t="s">
        <v>416</v>
      </c>
      <c r="N457" s="224">
        <v>85.4</v>
      </c>
      <c r="O457" s="117" t="b">
        <f t="shared" si="2"/>
        <v>1</v>
      </c>
      <c r="P457" s="117" t="b">
        <v>1</v>
      </c>
      <c r="Q457" s="117" t="s">
        <v>368</v>
      </c>
    </row>
    <row r="458" hidden="1">
      <c r="A458" s="108"/>
      <c r="B458" s="220"/>
      <c r="C458" s="134" t="s">
        <v>56</v>
      </c>
      <c r="D458" s="220" t="str">
        <f>vlookup(M458,'Página10'!A:B,2,false)</f>
        <v>INOV00021</v>
      </c>
      <c r="E458" s="134" t="s">
        <v>110</v>
      </c>
      <c r="F458" s="221">
        <v>44928.0</v>
      </c>
      <c r="G458" s="222">
        <v>0.125</v>
      </c>
      <c r="H458" s="134" t="s">
        <v>411</v>
      </c>
      <c r="I458" s="223" t="s">
        <v>411</v>
      </c>
      <c r="J458" s="223" t="b">
        <f t="shared" si="1"/>
        <v>1</v>
      </c>
      <c r="K458" s="145" t="s">
        <v>768</v>
      </c>
      <c r="L458" s="156"/>
      <c r="M458" s="134" t="s">
        <v>436</v>
      </c>
      <c r="N458" s="224">
        <v>175.17</v>
      </c>
      <c r="O458" s="117" t="b">
        <f t="shared" si="2"/>
        <v>1</v>
      </c>
      <c r="P458" s="117" t="b">
        <v>1</v>
      </c>
      <c r="Q458" s="117" t="s">
        <v>368</v>
      </c>
    </row>
    <row r="459" hidden="1">
      <c r="A459" s="108"/>
      <c r="B459" s="220"/>
      <c r="C459" s="134" t="s">
        <v>56</v>
      </c>
      <c r="D459" s="220" t="str">
        <f>vlookup(M459,'Página10'!A:B,2,false)</f>
        <v>INOV00021</v>
      </c>
      <c r="E459" s="134" t="s">
        <v>110</v>
      </c>
      <c r="F459" s="221">
        <v>44929.0</v>
      </c>
      <c r="G459" s="222">
        <v>0.0625</v>
      </c>
      <c r="H459" s="134" t="s">
        <v>411</v>
      </c>
      <c r="I459" s="223" t="s">
        <v>411</v>
      </c>
      <c r="J459" s="223" t="b">
        <f t="shared" si="1"/>
        <v>1</v>
      </c>
      <c r="K459" s="145" t="s">
        <v>768</v>
      </c>
      <c r="L459" s="156"/>
      <c r="M459" s="134" t="s">
        <v>436</v>
      </c>
      <c r="N459" s="224">
        <v>87.59</v>
      </c>
      <c r="O459" s="117" t="b">
        <f t="shared" si="2"/>
        <v>1</v>
      </c>
      <c r="P459" s="117" t="b">
        <v>1</v>
      </c>
      <c r="Q459" s="117" t="s">
        <v>368</v>
      </c>
    </row>
    <row r="460" hidden="1">
      <c r="A460" s="108"/>
      <c r="B460" s="220"/>
      <c r="C460" s="134" t="s">
        <v>290</v>
      </c>
      <c r="D460" s="220" t="str">
        <f>vlookup(M460,'Página10'!A:B,2,false)</f>
        <v>INOV00001</v>
      </c>
      <c r="E460" s="134" t="s">
        <v>110</v>
      </c>
      <c r="F460" s="221">
        <v>44929.0</v>
      </c>
      <c r="G460" s="222">
        <v>0.041666666666666664</v>
      </c>
      <c r="H460" s="134" t="s">
        <v>479</v>
      </c>
      <c r="I460" s="223" t="s">
        <v>479</v>
      </c>
      <c r="J460" s="223" t="b">
        <f t="shared" si="1"/>
        <v>1</v>
      </c>
      <c r="K460" s="145" t="s">
        <v>769</v>
      </c>
      <c r="L460" s="156"/>
      <c r="M460" s="134" t="s">
        <v>416</v>
      </c>
      <c r="N460" s="224">
        <v>0.0</v>
      </c>
      <c r="O460" s="117" t="b">
        <f t="shared" si="2"/>
        <v>0</v>
      </c>
      <c r="P460" s="117" t="b">
        <v>1</v>
      </c>
      <c r="Q460" s="117" t="s">
        <v>368</v>
      </c>
    </row>
    <row r="461" hidden="1">
      <c r="A461" s="108"/>
      <c r="B461" s="220"/>
      <c r="C461" s="134" t="s">
        <v>56</v>
      </c>
      <c r="D461" s="220" t="str">
        <f>vlookup(M461,'Página10'!A:B,2,false)</f>
        <v>INOV00021</v>
      </c>
      <c r="E461" s="134" t="s">
        <v>110</v>
      </c>
      <c r="F461" s="221">
        <v>44930.0</v>
      </c>
      <c r="G461" s="222">
        <v>0.08333333333333333</v>
      </c>
      <c r="H461" s="134" t="s">
        <v>411</v>
      </c>
      <c r="I461" s="223" t="s">
        <v>411</v>
      </c>
      <c r="J461" s="223" t="b">
        <f t="shared" si="1"/>
        <v>1</v>
      </c>
      <c r="K461" s="145" t="s">
        <v>770</v>
      </c>
      <c r="L461" s="156"/>
      <c r="M461" s="134" t="s">
        <v>436</v>
      </c>
      <c r="N461" s="224">
        <v>116.78</v>
      </c>
      <c r="O461" s="117" t="b">
        <f t="shared" si="2"/>
        <v>1</v>
      </c>
      <c r="P461" s="117" t="b">
        <v>1</v>
      </c>
      <c r="Q461" s="117" t="s">
        <v>368</v>
      </c>
    </row>
    <row r="462" hidden="1">
      <c r="A462" s="108"/>
      <c r="B462" s="220"/>
      <c r="C462" s="134" t="s">
        <v>290</v>
      </c>
      <c r="D462" s="220" t="str">
        <f>vlookup(M462,'Página10'!A:B,2,false)</f>
        <v>INOV00001</v>
      </c>
      <c r="E462" s="134" t="s">
        <v>110</v>
      </c>
      <c r="F462" s="221">
        <v>44930.0</v>
      </c>
      <c r="G462" s="222">
        <v>0.041666666666666664</v>
      </c>
      <c r="H462" s="134" t="s">
        <v>475</v>
      </c>
      <c r="I462" s="223" t="s">
        <v>475</v>
      </c>
      <c r="J462" s="223" t="b">
        <f t="shared" si="1"/>
        <v>1</v>
      </c>
      <c r="K462" s="145" t="s">
        <v>771</v>
      </c>
      <c r="L462" s="156"/>
      <c r="M462" s="134" t="s">
        <v>416</v>
      </c>
      <c r="N462" s="224">
        <v>58.39</v>
      </c>
      <c r="O462" s="117" t="b">
        <f t="shared" si="2"/>
        <v>1</v>
      </c>
      <c r="P462" s="117" t="b">
        <v>1</v>
      </c>
      <c r="Q462" s="117" t="s">
        <v>368</v>
      </c>
    </row>
    <row r="463" hidden="1">
      <c r="A463" s="108"/>
      <c r="B463" s="220"/>
      <c r="C463" s="134" t="s">
        <v>290</v>
      </c>
      <c r="D463" s="220" t="str">
        <f>vlookup(M463,'Página10'!A:B,2,false)</f>
        <v>INOV00001</v>
      </c>
      <c r="E463" s="134" t="s">
        <v>110</v>
      </c>
      <c r="F463" s="221">
        <v>44931.0</v>
      </c>
      <c r="G463" s="222">
        <v>0.03125</v>
      </c>
      <c r="H463" s="134" t="s">
        <v>475</v>
      </c>
      <c r="I463" s="223" t="s">
        <v>475</v>
      </c>
      <c r="J463" s="223" t="b">
        <f t="shared" si="1"/>
        <v>1</v>
      </c>
      <c r="K463" s="145" t="s">
        <v>771</v>
      </c>
      <c r="L463" s="156"/>
      <c r="M463" s="134" t="s">
        <v>416</v>
      </c>
      <c r="N463" s="224">
        <v>43.79</v>
      </c>
      <c r="O463" s="117" t="b">
        <f t="shared" si="2"/>
        <v>1</v>
      </c>
      <c r="P463" s="117" t="b">
        <v>1</v>
      </c>
      <c r="Q463" s="117" t="s">
        <v>368</v>
      </c>
    </row>
    <row r="464" hidden="1">
      <c r="A464" s="108"/>
      <c r="B464" s="220"/>
      <c r="C464" s="134" t="s">
        <v>62</v>
      </c>
      <c r="D464" s="220" t="str">
        <f>vlookup(M464,'Página10'!A:B,2,false)</f>
        <v>INOV00034</v>
      </c>
      <c r="E464" s="134" t="s">
        <v>110</v>
      </c>
      <c r="F464" s="221">
        <v>44931.0</v>
      </c>
      <c r="G464" s="222">
        <v>0.0625</v>
      </c>
      <c r="H464" s="134" t="s">
        <v>475</v>
      </c>
      <c r="I464" s="223" t="s">
        <v>475</v>
      </c>
      <c r="J464" s="223" t="b">
        <f t="shared" si="1"/>
        <v>1</v>
      </c>
      <c r="K464" s="145" t="s">
        <v>772</v>
      </c>
      <c r="L464" s="156"/>
      <c r="M464" s="134" t="s">
        <v>456</v>
      </c>
      <c r="N464" s="224">
        <v>0.0</v>
      </c>
      <c r="O464" s="117" t="b">
        <f t="shared" si="2"/>
        <v>1</v>
      </c>
      <c r="P464" s="117" t="b">
        <v>1</v>
      </c>
      <c r="Q464" s="117" t="s">
        <v>368</v>
      </c>
    </row>
    <row r="465" hidden="1">
      <c r="A465" s="108"/>
      <c r="B465" s="220"/>
      <c r="C465" s="134" t="s">
        <v>56</v>
      </c>
      <c r="D465" s="220" t="str">
        <f>vlookup(M465,'Página10'!A:B,2,false)</f>
        <v>INOV00021</v>
      </c>
      <c r="E465" s="134" t="s">
        <v>110</v>
      </c>
      <c r="F465" s="221">
        <v>44931.0</v>
      </c>
      <c r="G465" s="222">
        <v>0.041666666666666664</v>
      </c>
      <c r="H465" s="134" t="s">
        <v>411</v>
      </c>
      <c r="I465" s="223" t="s">
        <v>411</v>
      </c>
      <c r="J465" s="223" t="b">
        <f t="shared" si="1"/>
        <v>1</v>
      </c>
      <c r="K465" s="145" t="s">
        <v>770</v>
      </c>
      <c r="L465" s="156"/>
      <c r="M465" s="134" t="s">
        <v>436</v>
      </c>
      <c r="N465" s="224">
        <v>58.39</v>
      </c>
      <c r="O465" s="117" t="b">
        <f t="shared" si="2"/>
        <v>1</v>
      </c>
      <c r="P465" s="117" t="b">
        <v>1</v>
      </c>
      <c r="Q465" s="117" t="s">
        <v>368</v>
      </c>
    </row>
    <row r="466" hidden="1">
      <c r="A466" s="108"/>
      <c r="B466" s="220"/>
      <c r="C466" s="134" t="s">
        <v>56</v>
      </c>
      <c r="D466" s="220" t="str">
        <f>vlookup(M466,'Página10'!A:B,2,false)</f>
        <v>INOV00021</v>
      </c>
      <c r="E466" s="134" t="s">
        <v>110</v>
      </c>
      <c r="F466" s="221">
        <v>44931.0</v>
      </c>
      <c r="G466" s="222">
        <v>0.041666666666666664</v>
      </c>
      <c r="H466" s="134" t="s">
        <v>479</v>
      </c>
      <c r="I466" s="223" t="s">
        <v>479</v>
      </c>
      <c r="J466" s="223" t="b">
        <f t="shared" si="1"/>
        <v>1</v>
      </c>
      <c r="K466" s="145" t="s">
        <v>773</v>
      </c>
      <c r="L466" s="156"/>
      <c r="M466" s="134" t="s">
        <v>436</v>
      </c>
      <c r="N466" s="224">
        <v>0.0</v>
      </c>
      <c r="O466" s="117" t="b">
        <f t="shared" si="2"/>
        <v>0</v>
      </c>
      <c r="P466" s="117" t="b">
        <v>1</v>
      </c>
      <c r="Q466" s="117" t="s">
        <v>368</v>
      </c>
    </row>
    <row r="467" hidden="1">
      <c r="A467" s="108"/>
      <c r="B467" s="220"/>
      <c r="C467" s="134" t="s">
        <v>290</v>
      </c>
      <c r="D467" s="220" t="str">
        <f>vlookup(M467,'Página10'!A:B,2,false)</f>
        <v>INOV00001</v>
      </c>
      <c r="E467" s="134" t="s">
        <v>110</v>
      </c>
      <c r="F467" s="221">
        <v>44932.0</v>
      </c>
      <c r="G467" s="222">
        <v>0.0625</v>
      </c>
      <c r="H467" s="134" t="s">
        <v>411</v>
      </c>
      <c r="I467" s="223" t="s">
        <v>411</v>
      </c>
      <c r="J467" s="223" t="b">
        <f t="shared" si="1"/>
        <v>1</v>
      </c>
      <c r="K467" s="145" t="s">
        <v>774</v>
      </c>
      <c r="L467" s="156"/>
      <c r="M467" s="134" t="s">
        <v>416</v>
      </c>
      <c r="N467" s="224">
        <v>87.59</v>
      </c>
      <c r="O467" s="117" t="b">
        <f t="shared" si="2"/>
        <v>1</v>
      </c>
      <c r="P467" s="117" t="b">
        <v>1</v>
      </c>
      <c r="Q467" s="117" t="s">
        <v>368</v>
      </c>
    </row>
    <row r="468" hidden="1">
      <c r="A468" s="108"/>
      <c r="B468" s="220"/>
      <c r="C468" s="134" t="s">
        <v>290</v>
      </c>
      <c r="D468" s="220" t="str">
        <f>vlookup(M468,'Página10'!A:B,2,false)</f>
        <v>INOV00001</v>
      </c>
      <c r="E468" s="134" t="s">
        <v>110</v>
      </c>
      <c r="F468" s="221">
        <v>44936.0</v>
      </c>
      <c r="G468" s="222">
        <v>0.16666666666666666</v>
      </c>
      <c r="H468" s="134" t="s">
        <v>411</v>
      </c>
      <c r="I468" s="223" t="s">
        <v>411</v>
      </c>
      <c r="J468" s="223" t="b">
        <f t="shared" si="1"/>
        <v>1</v>
      </c>
      <c r="K468" s="145" t="s">
        <v>775</v>
      </c>
      <c r="L468" s="156"/>
      <c r="M468" s="134" t="s">
        <v>416</v>
      </c>
      <c r="N468" s="224">
        <v>233.56</v>
      </c>
      <c r="O468" s="117" t="b">
        <f t="shared" si="2"/>
        <v>1</v>
      </c>
      <c r="P468" s="117" t="b">
        <v>1</v>
      </c>
      <c r="Q468" s="117" t="s">
        <v>368</v>
      </c>
    </row>
    <row r="469" hidden="1">
      <c r="A469" s="108"/>
      <c r="B469" s="220"/>
      <c r="C469" s="134" t="s">
        <v>52</v>
      </c>
      <c r="D469" s="220" t="str">
        <f>vlookup(M469,'Página10'!A:B,2,false)</f>
        <v>INOV00013</v>
      </c>
      <c r="E469" s="134" t="s">
        <v>110</v>
      </c>
      <c r="F469" s="221">
        <v>44936.0</v>
      </c>
      <c r="G469" s="222">
        <v>0.041666666666666664</v>
      </c>
      <c r="H469" s="134" t="s">
        <v>411</v>
      </c>
      <c r="I469" s="223" t="s">
        <v>411</v>
      </c>
      <c r="J469" s="223" t="b">
        <f t="shared" si="1"/>
        <v>1</v>
      </c>
      <c r="K469" s="145" t="s">
        <v>776</v>
      </c>
      <c r="L469" s="156"/>
      <c r="M469" s="134" t="s">
        <v>426</v>
      </c>
      <c r="N469" s="224">
        <v>58.39</v>
      </c>
      <c r="O469" s="117" t="b">
        <f t="shared" si="2"/>
        <v>1</v>
      </c>
      <c r="P469" s="117" t="b">
        <v>1</v>
      </c>
      <c r="Q469" s="117" t="s">
        <v>368</v>
      </c>
    </row>
    <row r="470" hidden="1">
      <c r="A470" s="108"/>
      <c r="B470" s="220"/>
      <c r="C470" s="134" t="s">
        <v>62</v>
      </c>
      <c r="D470" s="220" t="str">
        <f>vlookup(M470,'Página10'!A:B,2,false)</f>
        <v>INOV00034</v>
      </c>
      <c r="E470" s="134" t="s">
        <v>110</v>
      </c>
      <c r="F470" s="221">
        <v>44936.0</v>
      </c>
      <c r="G470" s="222">
        <v>0.020833333333333332</v>
      </c>
      <c r="H470" s="134" t="s">
        <v>475</v>
      </c>
      <c r="I470" s="223" t="s">
        <v>475</v>
      </c>
      <c r="J470" s="223" t="b">
        <f t="shared" si="1"/>
        <v>1</v>
      </c>
      <c r="K470" s="145" t="s">
        <v>772</v>
      </c>
      <c r="L470" s="156"/>
      <c r="M470" s="134" t="s">
        <v>456</v>
      </c>
      <c r="N470" s="224">
        <v>0.0</v>
      </c>
      <c r="O470" s="117" t="b">
        <f t="shared" si="2"/>
        <v>1</v>
      </c>
      <c r="P470" s="117" t="b">
        <v>1</v>
      </c>
      <c r="Q470" s="117" t="s">
        <v>368</v>
      </c>
    </row>
    <row r="471" hidden="1">
      <c r="A471" s="108"/>
      <c r="B471" s="220"/>
      <c r="C471" s="134" t="s">
        <v>290</v>
      </c>
      <c r="D471" s="220" t="str">
        <f>vlookup(M471,'Página10'!A:B,2,false)</f>
        <v>INOV00001</v>
      </c>
      <c r="E471" s="134" t="s">
        <v>110</v>
      </c>
      <c r="F471" s="221">
        <v>44937.0</v>
      </c>
      <c r="G471" s="222">
        <v>0.125</v>
      </c>
      <c r="H471" s="134" t="s">
        <v>411</v>
      </c>
      <c r="I471" s="223" t="s">
        <v>411</v>
      </c>
      <c r="J471" s="223" t="b">
        <f t="shared" si="1"/>
        <v>1</v>
      </c>
      <c r="K471" s="145" t="s">
        <v>777</v>
      </c>
      <c r="L471" s="156"/>
      <c r="M471" s="134" t="s">
        <v>416</v>
      </c>
      <c r="N471" s="224">
        <v>175.17</v>
      </c>
      <c r="O471" s="117" t="b">
        <f t="shared" si="2"/>
        <v>1</v>
      </c>
      <c r="P471" s="117" t="b">
        <v>1</v>
      </c>
      <c r="Q471" s="117" t="s">
        <v>368</v>
      </c>
    </row>
    <row r="472" hidden="1">
      <c r="A472" s="108"/>
      <c r="B472" s="220"/>
      <c r="C472" s="134" t="s">
        <v>56</v>
      </c>
      <c r="D472" s="220" t="str">
        <f>vlookup(M472,'Página10'!A:B,2,false)</f>
        <v>INOV00021</v>
      </c>
      <c r="E472" s="134" t="s">
        <v>110</v>
      </c>
      <c r="F472" s="221">
        <v>44937.0</v>
      </c>
      <c r="G472" s="222">
        <v>0.0625</v>
      </c>
      <c r="H472" s="134" t="s">
        <v>475</v>
      </c>
      <c r="I472" s="223" t="s">
        <v>475</v>
      </c>
      <c r="J472" s="223" t="b">
        <f t="shared" si="1"/>
        <v>1</v>
      </c>
      <c r="K472" s="145" t="s">
        <v>778</v>
      </c>
      <c r="L472" s="156"/>
      <c r="M472" s="134" t="s">
        <v>436</v>
      </c>
      <c r="N472" s="224">
        <v>87.59</v>
      </c>
      <c r="O472" s="117" t="b">
        <f t="shared" si="2"/>
        <v>1</v>
      </c>
      <c r="P472" s="117" t="b">
        <v>1</v>
      </c>
      <c r="Q472" s="117" t="s">
        <v>368</v>
      </c>
    </row>
    <row r="473" hidden="1">
      <c r="A473" s="108"/>
      <c r="B473" s="220"/>
      <c r="C473" s="134" t="s">
        <v>56</v>
      </c>
      <c r="D473" s="220" t="str">
        <f>vlookup(M473,'Página10'!A:B,2,false)</f>
        <v>INOV00021</v>
      </c>
      <c r="E473" s="134" t="s">
        <v>110</v>
      </c>
      <c r="F473" s="221">
        <v>44938.0</v>
      </c>
      <c r="G473" s="222">
        <v>0.0625</v>
      </c>
      <c r="H473" s="134" t="s">
        <v>475</v>
      </c>
      <c r="I473" s="223" t="s">
        <v>475</v>
      </c>
      <c r="J473" s="223" t="b">
        <f t="shared" si="1"/>
        <v>1</v>
      </c>
      <c r="K473" s="145" t="s">
        <v>779</v>
      </c>
      <c r="L473" s="156"/>
      <c r="M473" s="134" t="s">
        <v>436</v>
      </c>
      <c r="N473" s="224">
        <v>87.59</v>
      </c>
      <c r="O473" s="117" t="b">
        <f t="shared" si="2"/>
        <v>1</v>
      </c>
      <c r="P473" s="117" t="b">
        <v>1</v>
      </c>
      <c r="Q473" s="117" t="s">
        <v>368</v>
      </c>
    </row>
    <row r="474" hidden="1">
      <c r="A474" s="108"/>
      <c r="B474" s="220"/>
      <c r="C474" s="134" t="s">
        <v>290</v>
      </c>
      <c r="D474" s="220" t="str">
        <f>vlookup(M474,'Página10'!A:B,2,false)</f>
        <v>INOV00001</v>
      </c>
      <c r="E474" s="134" t="s">
        <v>110</v>
      </c>
      <c r="F474" s="221">
        <v>44938.0</v>
      </c>
      <c r="G474" s="222">
        <v>0.08333333333333333</v>
      </c>
      <c r="H474" s="134" t="s">
        <v>475</v>
      </c>
      <c r="I474" s="223" t="s">
        <v>475</v>
      </c>
      <c r="J474" s="223" t="b">
        <f t="shared" si="1"/>
        <v>1</v>
      </c>
      <c r="K474" s="145" t="s">
        <v>780</v>
      </c>
      <c r="L474" s="156"/>
      <c r="M474" s="134" t="s">
        <v>416</v>
      </c>
      <c r="N474" s="224">
        <v>116.78</v>
      </c>
      <c r="O474" s="117" t="b">
        <f t="shared" si="2"/>
        <v>1</v>
      </c>
      <c r="P474" s="117" t="b">
        <v>1</v>
      </c>
      <c r="Q474" s="117" t="s">
        <v>368</v>
      </c>
    </row>
    <row r="475" hidden="1">
      <c r="A475" s="108"/>
      <c r="B475" s="220"/>
      <c r="C475" s="134" t="s">
        <v>290</v>
      </c>
      <c r="D475" s="220" t="str">
        <f>vlookup(M475,'Página10'!A:B,2,false)</f>
        <v>INOV00001</v>
      </c>
      <c r="E475" s="134" t="s">
        <v>110</v>
      </c>
      <c r="F475" s="221">
        <v>44938.0</v>
      </c>
      <c r="G475" s="222">
        <v>0.10416666666666667</v>
      </c>
      <c r="H475" s="134" t="s">
        <v>411</v>
      </c>
      <c r="I475" s="223" t="s">
        <v>411</v>
      </c>
      <c r="J475" s="223" t="b">
        <f t="shared" si="1"/>
        <v>1</v>
      </c>
      <c r="K475" s="145" t="s">
        <v>781</v>
      </c>
      <c r="L475" s="156"/>
      <c r="M475" s="134" t="s">
        <v>416</v>
      </c>
      <c r="N475" s="224">
        <v>145.98</v>
      </c>
      <c r="O475" s="117" t="b">
        <f t="shared" si="2"/>
        <v>1</v>
      </c>
      <c r="P475" s="117" t="b">
        <v>1</v>
      </c>
      <c r="Q475" s="117" t="s">
        <v>368</v>
      </c>
    </row>
    <row r="476" hidden="1">
      <c r="A476" s="108"/>
      <c r="B476" s="220"/>
      <c r="C476" s="134" t="s">
        <v>290</v>
      </c>
      <c r="D476" s="220" t="str">
        <f>vlookup(M476,'Página10'!A:B,2,false)</f>
        <v>INOV00001</v>
      </c>
      <c r="E476" s="134" t="s">
        <v>110</v>
      </c>
      <c r="F476" s="221">
        <v>44939.0</v>
      </c>
      <c r="G476" s="222">
        <v>0.19791666666666666</v>
      </c>
      <c r="H476" s="134" t="s">
        <v>411</v>
      </c>
      <c r="I476" s="223" t="s">
        <v>411</v>
      </c>
      <c r="J476" s="223" t="b">
        <f t="shared" si="1"/>
        <v>1</v>
      </c>
      <c r="K476" s="145" t="s">
        <v>782</v>
      </c>
      <c r="L476" s="156"/>
      <c r="M476" s="134" t="s">
        <v>416</v>
      </c>
      <c r="N476" s="224">
        <v>277.35</v>
      </c>
      <c r="O476" s="117" t="b">
        <f t="shared" si="2"/>
        <v>1</v>
      </c>
      <c r="P476" s="117" t="b">
        <v>1</v>
      </c>
      <c r="Q476" s="117" t="s">
        <v>368</v>
      </c>
    </row>
    <row r="477" hidden="1">
      <c r="A477" s="108"/>
      <c r="B477" s="220"/>
      <c r="C477" s="134" t="s">
        <v>290</v>
      </c>
      <c r="D477" s="220" t="str">
        <f>vlookup(M477,'Página10'!A:B,2,false)</f>
        <v>INOV00001</v>
      </c>
      <c r="E477" s="134" t="s">
        <v>110</v>
      </c>
      <c r="F477" s="221">
        <v>44939.0</v>
      </c>
      <c r="G477" s="222">
        <v>0.10416666666666667</v>
      </c>
      <c r="H477" s="134" t="s">
        <v>411</v>
      </c>
      <c r="I477" s="223" t="s">
        <v>411</v>
      </c>
      <c r="J477" s="223" t="b">
        <f t="shared" si="1"/>
        <v>1</v>
      </c>
      <c r="K477" s="145" t="s">
        <v>783</v>
      </c>
      <c r="L477" s="156"/>
      <c r="M477" s="134" t="s">
        <v>416</v>
      </c>
      <c r="N477" s="224">
        <v>145.98</v>
      </c>
      <c r="O477" s="117" t="b">
        <f t="shared" si="2"/>
        <v>1</v>
      </c>
      <c r="P477" s="117" t="b">
        <v>1</v>
      </c>
      <c r="Q477" s="117" t="s">
        <v>368</v>
      </c>
    </row>
    <row r="478" hidden="1">
      <c r="A478" s="108"/>
      <c r="B478" s="220"/>
      <c r="C478" s="134" t="s">
        <v>290</v>
      </c>
      <c r="D478" s="220" t="str">
        <f>vlookup(M478,'Página10'!A:B,2,false)</f>
        <v>INOV00001</v>
      </c>
      <c r="E478" s="134" t="s">
        <v>110</v>
      </c>
      <c r="F478" s="221">
        <v>44942.0</v>
      </c>
      <c r="G478" s="222">
        <v>0.15625</v>
      </c>
      <c r="H478" s="134" t="s">
        <v>411</v>
      </c>
      <c r="I478" s="223" t="s">
        <v>411</v>
      </c>
      <c r="J478" s="223" t="b">
        <f t="shared" si="1"/>
        <v>1</v>
      </c>
      <c r="K478" s="145" t="s">
        <v>784</v>
      </c>
      <c r="L478" s="156"/>
      <c r="M478" s="134" t="s">
        <v>416</v>
      </c>
      <c r="N478" s="224">
        <v>218.96</v>
      </c>
      <c r="O478" s="117" t="b">
        <f t="shared" si="2"/>
        <v>1</v>
      </c>
      <c r="P478" s="117" t="b">
        <v>1</v>
      </c>
      <c r="Q478" s="117" t="s">
        <v>368</v>
      </c>
    </row>
    <row r="479" hidden="1">
      <c r="A479" s="108"/>
      <c r="B479" s="220"/>
      <c r="C479" s="134" t="s">
        <v>56</v>
      </c>
      <c r="D479" s="220" t="str">
        <f>vlookup(M479,'Página10'!A:B,2,false)</f>
        <v>INOV00021</v>
      </c>
      <c r="E479" s="134" t="s">
        <v>110</v>
      </c>
      <c r="F479" s="221">
        <v>44942.0</v>
      </c>
      <c r="G479" s="222">
        <v>0.041666666666666664</v>
      </c>
      <c r="H479" s="134" t="s">
        <v>475</v>
      </c>
      <c r="I479" s="223" t="s">
        <v>475</v>
      </c>
      <c r="J479" s="223" t="b">
        <f t="shared" si="1"/>
        <v>1</v>
      </c>
      <c r="K479" s="145" t="s">
        <v>779</v>
      </c>
      <c r="L479" s="156"/>
      <c r="M479" s="134" t="s">
        <v>436</v>
      </c>
      <c r="N479" s="224">
        <v>58.39</v>
      </c>
      <c r="O479" s="117" t="b">
        <f t="shared" si="2"/>
        <v>1</v>
      </c>
      <c r="P479" s="117" t="b">
        <v>1</v>
      </c>
      <c r="Q479" s="117" t="s">
        <v>368</v>
      </c>
    </row>
    <row r="480" hidden="1">
      <c r="A480" s="108"/>
      <c r="B480" s="220"/>
      <c r="C480" s="134" t="s">
        <v>56</v>
      </c>
      <c r="D480" s="220" t="str">
        <f>vlookup(M480,'Página10'!A:B,2,false)</f>
        <v>INOV00021</v>
      </c>
      <c r="E480" s="134" t="s">
        <v>110</v>
      </c>
      <c r="F480" s="221">
        <v>44943.0</v>
      </c>
      <c r="G480" s="222">
        <v>0.17708333333333334</v>
      </c>
      <c r="H480" s="134" t="s">
        <v>411</v>
      </c>
      <c r="I480" s="223" t="s">
        <v>411</v>
      </c>
      <c r="J480" s="223" t="b">
        <f t="shared" si="1"/>
        <v>1</v>
      </c>
      <c r="K480" s="145" t="s">
        <v>785</v>
      </c>
      <c r="L480" s="156"/>
      <c r="M480" s="134" t="s">
        <v>436</v>
      </c>
      <c r="N480" s="224">
        <v>248.16</v>
      </c>
      <c r="O480" s="117" t="b">
        <f t="shared" si="2"/>
        <v>1</v>
      </c>
      <c r="P480" s="117" t="b">
        <v>1</v>
      </c>
      <c r="Q480" s="117" t="s">
        <v>368</v>
      </c>
    </row>
    <row r="481" hidden="1">
      <c r="A481" s="108"/>
      <c r="B481" s="220"/>
      <c r="C481" s="134" t="s">
        <v>290</v>
      </c>
      <c r="D481" s="220" t="str">
        <f>vlookup(M481,'Página10'!A:B,2,false)</f>
        <v>INOV00001</v>
      </c>
      <c r="E481" s="134" t="s">
        <v>110</v>
      </c>
      <c r="F481" s="221">
        <v>44943.0</v>
      </c>
      <c r="G481" s="222">
        <v>0.10416666666666667</v>
      </c>
      <c r="H481" s="134" t="s">
        <v>411</v>
      </c>
      <c r="I481" s="223" t="s">
        <v>411</v>
      </c>
      <c r="J481" s="223" t="b">
        <f t="shared" si="1"/>
        <v>1</v>
      </c>
      <c r="K481" s="145" t="s">
        <v>786</v>
      </c>
      <c r="L481" s="156"/>
      <c r="M481" s="134" t="s">
        <v>416</v>
      </c>
      <c r="N481" s="224">
        <v>145.98</v>
      </c>
      <c r="O481" s="117" t="b">
        <f t="shared" si="2"/>
        <v>1</v>
      </c>
      <c r="P481" s="117" t="b">
        <v>1</v>
      </c>
      <c r="Q481" s="117" t="s">
        <v>368</v>
      </c>
    </row>
    <row r="482" hidden="1">
      <c r="A482" s="108"/>
      <c r="B482" s="220"/>
      <c r="C482" s="134" t="s">
        <v>290</v>
      </c>
      <c r="D482" s="220" t="str">
        <f>vlookup(M482,'Página10'!A:B,2,false)</f>
        <v>INOV00001</v>
      </c>
      <c r="E482" s="134" t="s">
        <v>110</v>
      </c>
      <c r="F482" s="221">
        <v>44944.0</v>
      </c>
      <c r="G482" s="222">
        <v>0.23958333333333334</v>
      </c>
      <c r="H482" s="134" t="s">
        <v>411</v>
      </c>
      <c r="I482" s="223" t="s">
        <v>411</v>
      </c>
      <c r="J482" s="223" t="b">
        <f t="shared" si="1"/>
        <v>1</v>
      </c>
      <c r="K482" s="145" t="s">
        <v>787</v>
      </c>
      <c r="L482" s="156"/>
      <c r="M482" s="134" t="s">
        <v>416</v>
      </c>
      <c r="N482" s="224">
        <v>335.74</v>
      </c>
      <c r="O482" s="117" t="b">
        <f t="shared" si="2"/>
        <v>1</v>
      </c>
      <c r="P482" s="117" t="b">
        <v>1</v>
      </c>
      <c r="Q482" s="117" t="s">
        <v>368</v>
      </c>
    </row>
    <row r="483" hidden="1">
      <c r="A483" s="108"/>
      <c r="B483" s="220"/>
      <c r="C483" s="134" t="s">
        <v>52</v>
      </c>
      <c r="D483" s="220" t="str">
        <f>vlookup(M483,'Página10'!A:B,2,false)</f>
        <v>INOV00013</v>
      </c>
      <c r="E483" s="134" t="s">
        <v>110</v>
      </c>
      <c r="F483" s="221">
        <v>44944.0</v>
      </c>
      <c r="G483" s="222">
        <v>0.041666666666666664</v>
      </c>
      <c r="H483" s="134" t="s">
        <v>479</v>
      </c>
      <c r="I483" s="223" t="s">
        <v>479</v>
      </c>
      <c r="J483" s="223" t="b">
        <f t="shared" si="1"/>
        <v>1</v>
      </c>
      <c r="K483" s="145" t="s">
        <v>788</v>
      </c>
      <c r="L483" s="156"/>
      <c r="M483" s="134" t="s">
        <v>426</v>
      </c>
      <c r="N483" s="224">
        <v>0.0</v>
      </c>
      <c r="O483" s="117" t="b">
        <f t="shared" si="2"/>
        <v>0</v>
      </c>
      <c r="P483" s="117" t="b">
        <v>1</v>
      </c>
      <c r="Q483" s="117" t="s">
        <v>368</v>
      </c>
    </row>
    <row r="484" hidden="1">
      <c r="A484" s="108"/>
      <c r="B484" s="220"/>
      <c r="C484" s="134" t="s">
        <v>290</v>
      </c>
      <c r="D484" s="220" t="str">
        <f>vlookup(M484,'Página10'!A:B,2,false)</f>
        <v>INOV00001</v>
      </c>
      <c r="E484" s="134" t="s">
        <v>110</v>
      </c>
      <c r="F484" s="221">
        <v>44945.0</v>
      </c>
      <c r="G484" s="222">
        <v>0.125</v>
      </c>
      <c r="H484" s="134" t="s">
        <v>411</v>
      </c>
      <c r="I484" s="223" t="s">
        <v>411</v>
      </c>
      <c r="J484" s="223" t="b">
        <f t="shared" si="1"/>
        <v>1</v>
      </c>
      <c r="K484" s="145" t="s">
        <v>789</v>
      </c>
      <c r="L484" s="156"/>
      <c r="M484" s="134" t="s">
        <v>416</v>
      </c>
      <c r="N484" s="224">
        <v>175.17</v>
      </c>
      <c r="O484" s="117" t="b">
        <f t="shared" si="2"/>
        <v>1</v>
      </c>
      <c r="P484" s="117" t="b">
        <v>1</v>
      </c>
      <c r="Q484" s="117" t="s">
        <v>368</v>
      </c>
    </row>
    <row r="485" hidden="1">
      <c r="A485" s="108"/>
      <c r="B485" s="220"/>
      <c r="C485" s="134" t="s">
        <v>290</v>
      </c>
      <c r="D485" s="220" t="str">
        <f>vlookup(M485,'Página10'!A:B,2,false)</f>
        <v>INOV00001</v>
      </c>
      <c r="E485" s="134" t="s">
        <v>110</v>
      </c>
      <c r="F485" s="221">
        <v>44946.0</v>
      </c>
      <c r="G485" s="222">
        <v>0.09375</v>
      </c>
      <c r="H485" s="134" t="s">
        <v>411</v>
      </c>
      <c r="I485" s="223" t="s">
        <v>411</v>
      </c>
      <c r="J485" s="223" t="b">
        <f t="shared" si="1"/>
        <v>1</v>
      </c>
      <c r="K485" s="145" t="s">
        <v>790</v>
      </c>
      <c r="L485" s="156"/>
      <c r="M485" s="134" t="s">
        <v>416</v>
      </c>
      <c r="N485" s="224">
        <v>131.38</v>
      </c>
      <c r="O485" s="117" t="b">
        <f t="shared" si="2"/>
        <v>1</v>
      </c>
      <c r="P485" s="117" t="b">
        <v>1</v>
      </c>
      <c r="Q485" s="117" t="s">
        <v>368</v>
      </c>
    </row>
    <row r="486" hidden="1">
      <c r="A486" s="108"/>
      <c r="B486" s="220"/>
      <c r="C486" s="134" t="s">
        <v>56</v>
      </c>
      <c r="D486" s="220" t="str">
        <f>vlookup(M486,'Página10'!A:B,2,false)</f>
        <v>INOV00021</v>
      </c>
      <c r="E486" s="134" t="s">
        <v>110</v>
      </c>
      <c r="F486" s="221">
        <v>44946.0</v>
      </c>
      <c r="G486" s="222">
        <v>0.0625</v>
      </c>
      <c r="H486" s="134" t="s">
        <v>411</v>
      </c>
      <c r="I486" s="223" t="s">
        <v>411</v>
      </c>
      <c r="J486" s="223" t="b">
        <f t="shared" si="1"/>
        <v>1</v>
      </c>
      <c r="K486" s="145" t="s">
        <v>791</v>
      </c>
      <c r="L486" s="156"/>
      <c r="M486" s="134" t="s">
        <v>436</v>
      </c>
      <c r="N486" s="224">
        <v>87.59</v>
      </c>
      <c r="O486" s="117" t="b">
        <f t="shared" si="2"/>
        <v>1</v>
      </c>
      <c r="P486" s="117" t="b">
        <v>1</v>
      </c>
      <c r="Q486" s="117" t="s">
        <v>368</v>
      </c>
    </row>
    <row r="487" hidden="1">
      <c r="A487" s="108"/>
      <c r="B487" s="220"/>
      <c r="C487" s="134" t="s">
        <v>62</v>
      </c>
      <c r="D487" s="220" t="str">
        <f>vlookup(M487,'Página10'!A:B,2,false)</f>
        <v>INOV00034</v>
      </c>
      <c r="E487" s="134" t="s">
        <v>110</v>
      </c>
      <c r="F487" s="221">
        <v>44949.0</v>
      </c>
      <c r="G487" s="222">
        <v>0.020833333333333332</v>
      </c>
      <c r="H487" s="134" t="s">
        <v>475</v>
      </c>
      <c r="I487" s="223" t="s">
        <v>475</v>
      </c>
      <c r="J487" s="223" t="b">
        <f t="shared" si="1"/>
        <v>1</v>
      </c>
      <c r="K487" s="145" t="s">
        <v>772</v>
      </c>
      <c r="L487" s="156"/>
      <c r="M487" s="134" t="s">
        <v>456</v>
      </c>
      <c r="N487" s="224">
        <v>0.0</v>
      </c>
      <c r="O487" s="117" t="b">
        <f t="shared" si="2"/>
        <v>1</v>
      </c>
      <c r="P487" s="117" t="b">
        <v>1</v>
      </c>
      <c r="Q487" s="117" t="s">
        <v>368</v>
      </c>
    </row>
    <row r="488" hidden="1">
      <c r="A488" s="108"/>
      <c r="B488" s="220"/>
      <c r="C488" s="134" t="s">
        <v>290</v>
      </c>
      <c r="D488" s="220" t="str">
        <f>vlookup(M488,'Página10'!A:B,2,false)</f>
        <v>INOV00001</v>
      </c>
      <c r="E488" s="134" t="s">
        <v>110</v>
      </c>
      <c r="F488" s="221">
        <v>44949.0</v>
      </c>
      <c r="G488" s="222">
        <v>0.020833333333333332</v>
      </c>
      <c r="H488" s="134" t="s">
        <v>479</v>
      </c>
      <c r="I488" s="223" t="s">
        <v>479</v>
      </c>
      <c r="J488" s="223" t="b">
        <f t="shared" si="1"/>
        <v>1</v>
      </c>
      <c r="K488" s="145" t="s">
        <v>792</v>
      </c>
      <c r="L488" s="156"/>
      <c r="M488" s="134" t="s">
        <v>416</v>
      </c>
      <c r="N488" s="224">
        <v>0.0</v>
      </c>
      <c r="O488" s="117" t="b">
        <f t="shared" si="2"/>
        <v>0</v>
      </c>
      <c r="P488" s="117" t="b">
        <v>1</v>
      </c>
      <c r="Q488" s="117" t="s">
        <v>368</v>
      </c>
    </row>
    <row r="489" hidden="1">
      <c r="A489" s="108"/>
      <c r="B489" s="220"/>
      <c r="C489" s="134" t="s">
        <v>52</v>
      </c>
      <c r="D489" s="220" t="str">
        <f>vlookup(M489,'Página10'!A:B,2,false)</f>
        <v>INOV00013</v>
      </c>
      <c r="E489" s="134" t="s">
        <v>110</v>
      </c>
      <c r="F489" s="221">
        <v>44949.0</v>
      </c>
      <c r="G489" s="222">
        <v>0.041666666666666664</v>
      </c>
      <c r="H489" s="134" t="s">
        <v>411</v>
      </c>
      <c r="I489" s="223" t="s">
        <v>411</v>
      </c>
      <c r="J489" s="223" t="b">
        <f t="shared" si="1"/>
        <v>1</v>
      </c>
      <c r="K489" s="145" t="s">
        <v>793</v>
      </c>
      <c r="L489" s="156"/>
      <c r="M489" s="134" t="s">
        <v>426</v>
      </c>
      <c r="N489" s="224">
        <v>58.39</v>
      </c>
      <c r="O489" s="117" t="b">
        <f t="shared" si="2"/>
        <v>1</v>
      </c>
      <c r="P489" s="117" t="b">
        <v>1</v>
      </c>
      <c r="Q489" s="117" t="s">
        <v>368</v>
      </c>
    </row>
    <row r="490" hidden="1">
      <c r="A490" s="108"/>
      <c r="B490" s="220"/>
      <c r="C490" s="134" t="s">
        <v>52</v>
      </c>
      <c r="D490" s="220" t="str">
        <f>vlookup(M490,'Página10'!A:B,2,false)</f>
        <v>INOV00013</v>
      </c>
      <c r="E490" s="134" t="s">
        <v>110</v>
      </c>
      <c r="F490" s="221">
        <v>44950.0</v>
      </c>
      <c r="G490" s="222">
        <v>0.14583333333333334</v>
      </c>
      <c r="H490" s="134" t="s">
        <v>411</v>
      </c>
      <c r="I490" s="223" t="s">
        <v>411</v>
      </c>
      <c r="J490" s="223" t="b">
        <f t="shared" si="1"/>
        <v>1</v>
      </c>
      <c r="K490" s="145" t="s">
        <v>794</v>
      </c>
      <c r="L490" s="156"/>
      <c r="M490" s="134" t="s">
        <v>426</v>
      </c>
      <c r="N490" s="224">
        <v>204.37</v>
      </c>
      <c r="O490" s="117" t="b">
        <f t="shared" si="2"/>
        <v>1</v>
      </c>
      <c r="P490" s="117" t="b">
        <v>1</v>
      </c>
      <c r="Q490" s="117" t="s">
        <v>368</v>
      </c>
    </row>
    <row r="491" hidden="1">
      <c r="A491" s="108"/>
      <c r="B491" s="220"/>
      <c r="C491" s="134" t="s">
        <v>290</v>
      </c>
      <c r="D491" s="220" t="str">
        <f>vlookup(M491,'Página10'!A:B,2,false)</f>
        <v>INOV00001</v>
      </c>
      <c r="E491" s="134" t="s">
        <v>110</v>
      </c>
      <c r="F491" s="221">
        <v>44951.0</v>
      </c>
      <c r="G491" s="222">
        <v>0.15625</v>
      </c>
      <c r="H491" s="134" t="s">
        <v>475</v>
      </c>
      <c r="I491" s="223" t="s">
        <v>475</v>
      </c>
      <c r="J491" s="223" t="b">
        <f t="shared" si="1"/>
        <v>1</v>
      </c>
      <c r="K491" s="145" t="s">
        <v>795</v>
      </c>
      <c r="L491" s="156"/>
      <c r="M491" s="134" t="s">
        <v>416</v>
      </c>
      <c r="N491" s="224">
        <v>218.96</v>
      </c>
      <c r="O491" s="117" t="b">
        <f t="shared" si="2"/>
        <v>1</v>
      </c>
      <c r="P491" s="117" t="b">
        <v>1</v>
      </c>
      <c r="Q491" s="117" t="s">
        <v>368</v>
      </c>
    </row>
    <row r="492" hidden="1">
      <c r="A492" s="108"/>
      <c r="B492" s="220"/>
      <c r="C492" s="134" t="s">
        <v>290</v>
      </c>
      <c r="D492" s="220" t="str">
        <f>vlookup(M492,'Página10'!A:B,2,false)</f>
        <v>INOV00001</v>
      </c>
      <c r="E492" s="134" t="s">
        <v>110</v>
      </c>
      <c r="F492" s="221">
        <v>44951.0</v>
      </c>
      <c r="G492" s="222">
        <v>0.0625</v>
      </c>
      <c r="H492" s="134" t="s">
        <v>475</v>
      </c>
      <c r="I492" s="223" t="s">
        <v>475</v>
      </c>
      <c r="J492" s="223" t="b">
        <f t="shared" si="1"/>
        <v>1</v>
      </c>
      <c r="K492" s="145" t="s">
        <v>795</v>
      </c>
      <c r="L492" s="156"/>
      <c r="M492" s="134" t="s">
        <v>416</v>
      </c>
      <c r="N492" s="224">
        <v>87.59</v>
      </c>
      <c r="O492" s="117" t="b">
        <f t="shared" si="2"/>
        <v>1</v>
      </c>
      <c r="P492" s="117" t="b">
        <v>1</v>
      </c>
      <c r="Q492" s="117" t="s">
        <v>368</v>
      </c>
    </row>
    <row r="493" hidden="1">
      <c r="A493" s="108"/>
      <c r="B493" s="220"/>
      <c r="C493" s="134" t="s">
        <v>56</v>
      </c>
      <c r="D493" s="220" t="str">
        <f>vlookup(M493,'Página10'!A:B,2,false)</f>
        <v>INOV00021</v>
      </c>
      <c r="E493" s="134" t="s">
        <v>110</v>
      </c>
      <c r="F493" s="221">
        <v>44952.0</v>
      </c>
      <c r="G493" s="222">
        <v>0.125</v>
      </c>
      <c r="H493" s="134" t="s">
        <v>411</v>
      </c>
      <c r="I493" s="223" t="s">
        <v>411</v>
      </c>
      <c r="J493" s="223" t="b">
        <f t="shared" si="1"/>
        <v>1</v>
      </c>
      <c r="K493" s="145" t="s">
        <v>796</v>
      </c>
      <c r="L493" s="156"/>
      <c r="M493" s="134" t="s">
        <v>436</v>
      </c>
      <c r="N493" s="224">
        <v>175.17</v>
      </c>
      <c r="O493" s="117" t="b">
        <f t="shared" si="2"/>
        <v>1</v>
      </c>
      <c r="P493" s="117" t="b">
        <v>1</v>
      </c>
      <c r="Q493" s="117" t="s">
        <v>368</v>
      </c>
    </row>
    <row r="494" hidden="1">
      <c r="A494" s="108"/>
      <c r="B494" s="220"/>
      <c r="C494" s="134" t="s">
        <v>290</v>
      </c>
      <c r="D494" s="220" t="str">
        <f>vlookup(M494,'Página10'!A:B,2,false)</f>
        <v>INOV00001</v>
      </c>
      <c r="E494" s="134" t="s">
        <v>110</v>
      </c>
      <c r="F494" s="221">
        <v>44953.0</v>
      </c>
      <c r="G494" s="222">
        <v>0.0625</v>
      </c>
      <c r="H494" s="134" t="s">
        <v>475</v>
      </c>
      <c r="I494" s="223" t="s">
        <v>475</v>
      </c>
      <c r="J494" s="223" t="b">
        <f t="shared" si="1"/>
        <v>1</v>
      </c>
      <c r="K494" s="145" t="s">
        <v>797</v>
      </c>
      <c r="L494" s="156"/>
      <c r="M494" s="134" t="s">
        <v>416</v>
      </c>
      <c r="N494" s="224">
        <v>87.59</v>
      </c>
      <c r="O494" s="117" t="b">
        <f t="shared" si="2"/>
        <v>1</v>
      </c>
      <c r="P494" s="117" t="b">
        <v>1</v>
      </c>
      <c r="Q494" s="117" t="s">
        <v>368</v>
      </c>
    </row>
    <row r="495" hidden="1">
      <c r="A495" s="108"/>
      <c r="B495" s="220"/>
      <c r="C495" s="134" t="s">
        <v>52</v>
      </c>
      <c r="D495" s="220" t="str">
        <f>vlookup(M495,'Página10'!A:B,2,false)</f>
        <v>INOV00013</v>
      </c>
      <c r="E495" s="134" t="s">
        <v>110</v>
      </c>
      <c r="F495" s="221">
        <v>44953.0</v>
      </c>
      <c r="G495" s="222">
        <v>0.020833333333333332</v>
      </c>
      <c r="H495" s="134" t="s">
        <v>411</v>
      </c>
      <c r="I495" s="223" t="s">
        <v>411</v>
      </c>
      <c r="J495" s="223" t="b">
        <f t="shared" si="1"/>
        <v>1</v>
      </c>
      <c r="K495" s="145" t="s">
        <v>798</v>
      </c>
      <c r="L495" s="156"/>
      <c r="M495" s="134" t="s">
        <v>426</v>
      </c>
      <c r="N495" s="224">
        <v>29.2</v>
      </c>
      <c r="O495" s="117" t="b">
        <f t="shared" si="2"/>
        <v>1</v>
      </c>
      <c r="P495" s="117" t="b">
        <v>1</v>
      </c>
      <c r="Q495" s="117" t="s">
        <v>368</v>
      </c>
    </row>
    <row r="496" hidden="1">
      <c r="A496" s="108"/>
      <c r="B496" s="220"/>
      <c r="C496" s="134" t="s">
        <v>52</v>
      </c>
      <c r="D496" s="220" t="str">
        <f>vlookup(M496,'Página10'!A:B,2,false)</f>
        <v>INOV00013</v>
      </c>
      <c r="E496" s="134" t="s">
        <v>110</v>
      </c>
      <c r="F496" s="221">
        <v>44956.0</v>
      </c>
      <c r="G496" s="222">
        <v>0.041666666666666664</v>
      </c>
      <c r="H496" s="134" t="s">
        <v>411</v>
      </c>
      <c r="I496" s="223" t="s">
        <v>411</v>
      </c>
      <c r="J496" s="223" t="b">
        <f t="shared" si="1"/>
        <v>1</v>
      </c>
      <c r="K496" s="145" t="s">
        <v>799</v>
      </c>
      <c r="L496" s="156"/>
      <c r="M496" s="134" t="s">
        <v>426</v>
      </c>
      <c r="N496" s="224">
        <v>58.39</v>
      </c>
      <c r="O496" s="117" t="b">
        <f t="shared" si="2"/>
        <v>1</v>
      </c>
      <c r="P496" s="117" t="b">
        <v>1</v>
      </c>
      <c r="Q496" s="117" t="s">
        <v>368</v>
      </c>
    </row>
    <row r="497" hidden="1">
      <c r="A497" s="108"/>
      <c r="B497" s="220"/>
      <c r="C497" s="134" t="s">
        <v>290</v>
      </c>
      <c r="D497" s="220" t="str">
        <f>vlookup(M497,'Página10'!A:B,2,false)</f>
        <v>INOV00001</v>
      </c>
      <c r="E497" s="134" t="s">
        <v>110</v>
      </c>
      <c r="F497" s="221">
        <v>44956.0</v>
      </c>
      <c r="G497" s="222">
        <v>0.125</v>
      </c>
      <c r="H497" s="134" t="s">
        <v>475</v>
      </c>
      <c r="I497" s="223" t="s">
        <v>475</v>
      </c>
      <c r="J497" s="223" t="b">
        <f t="shared" si="1"/>
        <v>1</v>
      </c>
      <c r="K497" s="145" t="s">
        <v>800</v>
      </c>
      <c r="L497" s="156"/>
      <c r="M497" s="134" t="s">
        <v>416</v>
      </c>
      <c r="N497" s="224">
        <v>175.17</v>
      </c>
      <c r="O497" s="117" t="b">
        <f t="shared" si="2"/>
        <v>1</v>
      </c>
      <c r="P497" s="117" t="b">
        <v>1</v>
      </c>
      <c r="Q497" s="117" t="s">
        <v>368</v>
      </c>
    </row>
    <row r="498" hidden="1">
      <c r="A498" s="108"/>
      <c r="B498" s="220"/>
      <c r="C498" s="134" t="s">
        <v>52</v>
      </c>
      <c r="D498" s="220" t="str">
        <f>vlookup(M498,'Página10'!A:B,2,false)</f>
        <v>INOV00013</v>
      </c>
      <c r="E498" s="134" t="s">
        <v>110</v>
      </c>
      <c r="F498" s="221">
        <v>44956.0</v>
      </c>
      <c r="G498" s="222">
        <v>0.041666666666666664</v>
      </c>
      <c r="H498" s="134" t="s">
        <v>411</v>
      </c>
      <c r="I498" s="223" t="s">
        <v>411</v>
      </c>
      <c r="J498" s="223" t="b">
        <f t="shared" si="1"/>
        <v>1</v>
      </c>
      <c r="K498" s="145" t="s">
        <v>793</v>
      </c>
      <c r="L498" s="156"/>
      <c r="M498" s="134" t="s">
        <v>426</v>
      </c>
      <c r="N498" s="224">
        <v>58.39</v>
      </c>
      <c r="O498" s="117" t="b">
        <f t="shared" si="2"/>
        <v>1</v>
      </c>
      <c r="P498" s="117" t="b">
        <v>1</v>
      </c>
      <c r="Q498" s="117" t="s">
        <v>368</v>
      </c>
    </row>
    <row r="499" hidden="1">
      <c r="A499" s="108"/>
      <c r="B499" s="220"/>
      <c r="C499" s="134" t="s">
        <v>290</v>
      </c>
      <c r="D499" s="220" t="str">
        <f>vlookup(M499,'Página10'!A:B,2,false)</f>
        <v>INOV00001</v>
      </c>
      <c r="E499" s="134" t="s">
        <v>110</v>
      </c>
      <c r="F499" s="221">
        <v>44957.0</v>
      </c>
      <c r="G499" s="222">
        <v>0.14583333333333334</v>
      </c>
      <c r="H499" s="134" t="s">
        <v>475</v>
      </c>
      <c r="I499" s="223" t="s">
        <v>475</v>
      </c>
      <c r="J499" s="223" t="b">
        <f t="shared" si="1"/>
        <v>1</v>
      </c>
      <c r="K499" s="145" t="s">
        <v>800</v>
      </c>
      <c r="L499" s="156"/>
      <c r="M499" s="134" t="s">
        <v>416</v>
      </c>
      <c r="N499" s="224">
        <v>204.37</v>
      </c>
      <c r="O499" s="117" t="b">
        <f t="shared" si="2"/>
        <v>1</v>
      </c>
      <c r="P499" s="117" t="b">
        <v>1</v>
      </c>
      <c r="Q499" s="117" t="s">
        <v>368</v>
      </c>
    </row>
    <row r="500" hidden="1">
      <c r="A500" s="108"/>
      <c r="B500" s="220"/>
      <c r="C500" s="134" t="s">
        <v>290</v>
      </c>
      <c r="D500" s="220" t="str">
        <f>vlookup(M500,'Página10'!A:B,2,false)</f>
        <v>INOV00001</v>
      </c>
      <c r="E500" s="134" t="s">
        <v>110</v>
      </c>
      <c r="F500" s="221">
        <v>44958.0</v>
      </c>
      <c r="G500" s="222">
        <v>0.13541666666666666</v>
      </c>
      <c r="H500" s="134" t="s">
        <v>475</v>
      </c>
      <c r="I500" s="223" t="s">
        <v>475</v>
      </c>
      <c r="J500" s="223" t="b">
        <f t="shared" si="1"/>
        <v>1</v>
      </c>
      <c r="K500" s="145" t="s">
        <v>801</v>
      </c>
      <c r="L500" s="156"/>
      <c r="M500" s="134" t="s">
        <v>416</v>
      </c>
      <c r="N500" s="224">
        <v>245.58</v>
      </c>
      <c r="O500" s="117" t="b">
        <f t="shared" si="2"/>
        <v>1</v>
      </c>
      <c r="P500" s="117" t="b">
        <v>1</v>
      </c>
      <c r="Q500" s="117" t="s">
        <v>368</v>
      </c>
    </row>
    <row r="501" hidden="1">
      <c r="A501" s="108"/>
      <c r="B501" s="220"/>
      <c r="C501" s="134" t="s">
        <v>52</v>
      </c>
      <c r="D501" s="220" t="str">
        <f>vlookup(M501,'Página10'!A:B,2,false)</f>
        <v>INOV00013</v>
      </c>
      <c r="E501" s="134" t="s">
        <v>110</v>
      </c>
      <c r="F501" s="221">
        <v>44958.0</v>
      </c>
      <c r="G501" s="222">
        <v>0.020833333333333332</v>
      </c>
      <c r="H501" s="134" t="s">
        <v>479</v>
      </c>
      <c r="I501" s="223" t="s">
        <v>479</v>
      </c>
      <c r="J501" s="223" t="b">
        <f t="shared" si="1"/>
        <v>1</v>
      </c>
      <c r="K501" s="145" t="s">
        <v>788</v>
      </c>
      <c r="L501" s="156"/>
      <c r="M501" s="134" t="s">
        <v>426</v>
      </c>
      <c r="N501" s="224">
        <v>0.0</v>
      </c>
      <c r="O501" s="117" t="b">
        <f t="shared" si="2"/>
        <v>0</v>
      </c>
      <c r="P501" s="117" t="b">
        <v>1</v>
      </c>
      <c r="Q501" s="117" t="s">
        <v>368</v>
      </c>
    </row>
    <row r="502" hidden="1">
      <c r="A502" s="108"/>
      <c r="B502" s="220"/>
      <c r="C502" s="134" t="s">
        <v>290</v>
      </c>
      <c r="D502" s="220" t="str">
        <f>vlookup(M502,'Página10'!A:B,2,false)</f>
        <v>INOV00001</v>
      </c>
      <c r="E502" s="134" t="s">
        <v>110</v>
      </c>
      <c r="F502" s="221">
        <v>44959.0</v>
      </c>
      <c r="G502" s="222">
        <v>0.125</v>
      </c>
      <c r="H502" s="134" t="s">
        <v>475</v>
      </c>
      <c r="I502" s="223" t="s">
        <v>475</v>
      </c>
      <c r="J502" s="223" t="b">
        <f t="shared" si="1"/>
        <v>1</v>
      </c>
      <c r="K502" s="145" t="s">
        <v>802</v>
      </c>
      <c r="L502" s="156"/>
      <c r="M502" s="134" t="s">
        <v>416</v>
      </c>
      <c r="N502" s="224">
        <v>226.69</v>
      </c>
      <c r="O502" s="117" t="b">
        <f t="shared" si="2"/>
        <v>1</v>
      </c>
      <c r="P502" s="117" t="b">
        <v>1</v>
      </c>
      <c r="Q502" s="117" t="s">
        <v>368</v>
      </c>
    </row>
    <row r="503" hidden="1">
      <c r="A503" s="108"/>
      <c r="B503" s="220"/>
      <c r="C503" s="134" t="s">
        <v>290</v>
      </c>
      <c r="D503" s="220" t="str">
        <f>vlookup(M503,'Página10'!A:B,2,false)</f>
        <v>INOV00001</v>
      </c>
      <c r="E503" s="134" t="s">
        <v>110</v>
      </c>
      <c r="F503" s="221">
        <v>44959.0</v>
      </c>
      <c r="G503" s="222">
        <v>0.125</v>
      </c>
      <c r="H503" s="134" t="s">
        <v>475</v>
      </c>
      <c r="I503" s="223" t="s">
        <v>475</v>
      </c>
      <c r="J503" s="223" t="b">
        <f t="shared" si="1"/>
        <v>1</v>
      </c>
      <c r="K503" s="145" t="s">
        <v>802</v>
      </c>
      <c r="L503" s="156"/>
      <c r="M503" s="134" t="s">
        <v>416</v>
      </c>
      <c r="N503" s="224">
        <v>226.69</v>
      </c>
      <c r="O503" s="117" t="b">
        <f t="shared" si="2"/>
        <v>1</v>
      </c>
      <c r="P503" s="117" t="b">
        <v>1</v>
      </c>
      <c r="Q503" s="117" t="s">
        <v>368</v>
      </c>
    </row>
    <row r="504" hidden="1">
      <c r="A504" s="108"/>
      <c r="B504" s="220"/>
      <c r="C504" s="134" t="s">
        <v>290</v>
      </c>
      <c r="D504" s="220" t="str">
        <f>vlookup(M504,'Página10'!A:B,2,false)</f>
        <v>INOV00001</v>
      </c>
      <c r="E504" s="134" t="s">
        <v>110</v>
      </c>
      <c r="F504" s="221">
        <v>44963.0</v>
      </c>
      <c r="G504" s="222">
        <v>0.08333333333333333</v>
      </c>
      <c r="H504" s="134" t="s">
        <v>411</v>
      </c>
      <c r="I504" s="223" t="s">
        <v>411</v>
      </c>
      <c r="J504" s="223" t="b">
        <f t="shared" si="1"/>
        <v>1</v>
      </c>
      <c r="K504" s="145" t="s">
        <v>803</v>
      </c>
      <c r="L504" s="156"/>
      <c r="M504" s="134" t="s">
        <v>416</v>
      </c>
      <c r="N504" s="224">
        <v>151.13</v>
      </c>
      <c r="O504" s="117" t="b">
        <f t="shared" si="2"/>
        <v>1</v>
      </c>
      <c r="P504" s="117" t="b">
        <v>1</v>
      </c>
      <c r="Q504" s="117" t="s">
        <v>368</v>
      </c>
    </row>
    <row r="505" hidden="1">
      <c r="A505" s="108"/>
      <c r="B505" s="220"/>
      <c r="C505" s="134" t="s">
        <v>52</v>
      </c>
      <c r="D505" s="220" t="str">
        <f>vlookup(M505,'Página10'!A:B,2,false)</f>
        <v>INOV00013</v>
      </c>
      <c r="E505" s="134" t="s">
        <v>110</v>
      </c>
      <c r="F505" s="221">
        <v>44963.0</v>
      </c>
      <c r="G505" s="222">
        <v>0.041666666666666664</v>
      </c>
      <c r="H505" s="134" t="s">
        <v>411</v>
      </c>
      <c r="I505" s="223" t="s">
        <v>411</v>
      </c>
      <c r="J505" s="223" t="b">
        <f t="shared" si="1"/>
        <v>1</v>
      </c>
      <c r="K505" s="145" t="s">
        <v>804</v>
      </c>
      <c r="L505" s="156"/>
      <c r="M505" s="134" t="s">
        <v>426</v>
      </c>
      <c r="N505" s="224">
        <v>75.56</v>
      </c>
      <c r="O505" s="117" t="b">
        <f t="shared" si="2"/>
        <v>1</v>
      </c>
      <c r="P505" s="117" t="b">
        <v>1</v>
      </c>
      <c r="Q505" s="117" t="s">
        <v>368</v>
      </c>
    </row>
    <row r="506" hidden="1">
      <c r="A506" s="108"/>
      <c r="B506" s="220"/>
      <c r="C506" s="134" t="s">
        <v>290</v>
      </c>
      <c r="D506" s="220" t="str">
        <f>vlookup(M506,'Página10'!A:B,2,false)</f>
        <v>INOV00001</v>
      </c>
      <c r="E506" s="134" t="s">
        <v>110</v>
      </c>
      <c r="F506" s="221">
        <v>44963.0</v>
      </c>
      <c r="G506" s="222">
        <v>0.16666666666666666</v>
      </c>
      <c r="H506" s="134" t="s">
        <v>475</v>
      </c>
      <c r="I506" s="223" t="s">
        <v>475</v>
      </c>
      <c r="J506" s="223" t="b">
        <f t="shared" si="1"/>
        <v>1</v>
      </c>
      <c r="K506" s="145" t="s">
        <v>802</v>
      </c>
      <c r="L506" s="156"/>
      <c r="M506" s="134" t="s">
        <v>416</v>
      </c>
      <c r="N506" s="224">
        <v>302.25</v>
      </c>
      <c r="O506" s="117" t="b">
        <f t="shared" si="2"/>
        <v>1</v>
      </c>
      <c r="P506" s="117" t="b">
        <v>1</v>
      </c>
      <c r="Q506" s="117" t="s">
        <v>368</v>
      </c>
    </row>
    <row r="507" hidden="1">
      <c r="A507" s="108"/>
      <c r="B507" s="220"/>
      <c r="C507" s="134" t="s">
        <v>290</v>
      </c>
      <c r="D507" s="220" t="str">
        <f>vlookup(M507,'Página10'!A:B,2,false)</f>
        <v>INOV00001</v>
      </c>
      <c r="E507" s="134" t="s">
        <v>110</v>
      </c>
      <c r="F507" s="221">
        <v>44964.0</v>
      </c>
      <c r="G507" s="222">
        <v>0.10416666666666667</v>
      </c>
      <c r="H507" s="134" t="s">
        <v>475</v>
      </c>
      <c r="I507" s="223" t="s">
        <v>475</v>
      </c>
      <c r="J507" s="223" t="b">
        <f t="shared" si="1"/>
        <v>1</v>
      </c>
      <c r="K507" s="145" t="s">
        <v>805</v>
      </c>
      <c r="L507" s="156"/>
      <c r="M507" s="134" t="s">
        <v>416</v>
      </c>
      <c r="N507" s="224">
        <v>188.91</v>
      </c>
      <c r="O507" s="117" t="b">
        <f t="shared" si="2"/>
        <v>1</v>
      </c>
      <c r="P507" s="117" t="b">
        <v>1</v>
      </c>
      <c r="Q507" s="117" t="s">
        <v>368</v>
      </c>
    </row>
    <row r="508" hidden="1">
      <c r="A508" s="108"/>
      <c r="B508" s="220"/>
      <c r="C508" s="134" t="s">
        <v>290</v>
      </c>
      <c r="D508" s="220" t="str">
        <f>vlookup(M508,'Página10'!A:B,2,false)</f>
        <v>INOV00001</v>
      </c>
      <c r="E508" s="134" t="s">
        <v>110</v>
      </c>
      <c r="F508" s="221">
        <v>44965.0</v>
      </c>
      <c r="G508" s="222">
        <v>0.17708333333333334</v>
      </c>
      <c r="H508" s="134" t="s">
        <v>475</v>
      </c>
      <c r="I508" s="223" t="s">
        <v>475</v>
      </c>
      <c r="J508" s="223" t="b">
        <f t="shared" si="1"/>
        <v>1</v>
      </c>
      <c r="K508" s="145" t="s">
        <v>805</v>
      </c>
      <c r="L508" s="156"/>
      <c r="M508" s="134" t="s">
        <v>416</v>
      </c>
      <c r="N508" s="224">
        <v>321.15</v>
      </c>
      <c r="O508" s="117" t="b">
        <f t="shared" si="2"/>
        <v>1</v>
      </c>
      <c r="P508" s="117" t="b">
        <v>1</v>
      </c>
      <c r="Q508" s="117" t="s">
        <v>368</v>
      </c>
    </row>
    <row r="509" hidden="1">
      <c r="A509" s="108"/>
      <c r="B509" s="220"/>
      <c r="C509" s="134" t="s">
        <v>290</v>
      </c>
      <c r="D509" s="220" t="str">
        <f>vlookup(M509,'Página10'!A:B,2,false)</f>
        <v>INOV00001</v>
      </c>
      <c r="E509" s="134" t="s">
        <v>110</v>
      </c>
      <c r="F509" s="221">
        <v>44966.0</v>
      </c>
      <c r="G509" s="222">
        <v>0.19791666666666666</v>
      </c>
      <c r="H509" s="134" t="s">
        <v>475</v>
      </c>
      <c r="I509" s="223" t="s">
        <v>475</v>
      </c>
      <c r="J509" s="223" t="b">
        <f t="shared" si="1"/>
        <v>1</v>
      </c>
      <c r="K509" s="145" t="s">
        <v>800</v>
      </c>
      <c r="L509" s="156"/>
      <c r="M509" s="134" t="s">
        <v>416</v>
      </c>
      <c r="N509" s="224">
        <v>358.93</v>
      </c>
      <c r="O509" s="117" t="b">
        <f t="shared" si="2"/>
        <v>1</v>
      </c>
      <c r="P509" s="117" t="b">
        <v>1</v>
      </c>
      <c r="Q509" s="117" t="s">
        <v>368</v>
      </c>
    </row>
    <row r="510" hidden="1">
      <c r="A510" s="108"/>
      <c r="B510" s="220"/>
      <c r="C510" s="134" t="s">
        <v>56</v>
      </c>
      <c r="D510" s="220" t="str">
        <f>vlookup(M510,'Página10'!A:B,2,false)</f>
        <v>INOV00021</v>
      </c>
      <c r="E510" s="134" t="s">
        <v>110</v>
      </c>
      <c r="F510" s="221">
        <v>44967.0</v>
      </c>
      <c r="G510" s="222">
        <v>0.10416666666666667</v>
      </c>
      <c r="H510" s="134" t="s">
        <v>475</v>
      </c>
      <c r="I510" s="223" t="s">
        <v>475</v>
      </c>
      <c r="J510" s="223" t="b">
        <f t="shared" si="1"/>
        <v>1</v>
      </c>
      <c r="K510" s="145" t="s">
        <v>806</v>
      </c>
      <c r="L510" s="156"/>
      <c r="M510" s="134" t="s">
        <v>436</v>
      </c>
      <c r="N510" s="224">
        <v>188.91</v>
      </c>
      <c r="O510" s="117" t="b">
        <f t="shared" si="2"/>
        <v>1</v>
      </c>
      <c r="P510" s="117" t="b">
        <v>1</v>
      </c>
      <c r="Q510" s="117" t="s">
        <v>368</v>
      </c>
    </row>
    <row r="511" hidden="1">
      <c r="A511" s="108"/>
      <c r="B511" s="220"/>
      <c r="C511" s="134" t="s">
        <v>56</v>
      </c>
      <c r="D511" s="220" t="str">
        <f>vlookup(M511,'Página10'!A:B,2,false)</f>
        <v>INOV00021</v>
      </c>
      <c r="E511" s="134" t="s">
        <v>110</v>
      </c>
      <c r="F511" s="221">
        <v>44970.0</v>
      </c>
      <c r="G511" s="222">
        <v>0.041666666666666664</v>
      </c>
      <c r="H511" s="134" t="s">
        <v>411</v>
      </c>
      <c r="I511" s="223" t="s">
        <v>411</v>
      </c>
      <c r="J511" s="223" t="b">
        <f t="shared" si="1"/>
        <v>1</v>
      </c>
      <c r="K511" s="145" t="s">
        <v>807</v>
      </c>
      <c r="L511" s="156"/>
      <c r="M511" s="134" t="s">
        <v>436</v>
      </c>
      <c r="N511" s="224">
        <v>75.56</v>
      </c>
      <c r="O511" s="117" t="b">
        <f t="shared" si="2"/>
        <v>1</v>
      </c>
      <c r="P511" s="117" t="b">
        <v>1</v>
      </c>
      <c r="Q511" s="117" t="s">
        <v>368</v>
      </c>
    </row>
    <row r="512" hidden="1">
      <c r="A512" s="108"/>
      <c r="B512" s="220"/>
      <c r="C512" s="134" t="s">
        <v>290</v>
      </c>
      <c r="D512" s="220" t="str">
        <f>vlookup(M512,'Página10'!A:B,2,false)</f>
        <v>INOV00001</v>
      </c>
      <c r="E512" s="134" t="s">
        <v>110</v>
      </c>
      <c r="F512" s="221">
        <v>44970.0</v>
      </c>
      <c r="G512" s="222">
        <v>0.0625</v>
      </c>
      <c r="H512" s="134" t="s">
        <v>475</v>
      </c>
      <c r="I512" s="223" t="s">
        <v>475</v>
      </c>
      <c r="J512" s="223" t="b">
        <f t="shared" si="1"/>
        <v>1</v>
      </c>
      <c r="K512" s="145" t="s">
        <v>800</v>
      </c>
      <c r="L512" s="156"/>
      <c r="M512" s="134" t="s">
        <v>416</v>
      </c>
      <c r="N512" s="224">
        <v>113.35</v>
      </c>
      <c r="O512" s="117" t="b">
        <f t="shared" si="2"/>
        <v>1</v>
      </c>
      <c r="P512" s="117" t="b">
        <v>1</v>
      </c>
      <c r="Q512" s="117" t="s">
        <v>368</v>
      </c>
    </row>
    <row r="513" hidden="1">
      <c r="A513" s="108"/>
      <c r="B513" s="220"/>
      <c r="C513" s="134" t="s">
        <v>290</v>
      </c>
      <c r="D513" s="220" t="str">
        <f>vlookup(M513,'Página10'!A:B,2,false)</f>
        <v>INOV00001</v>
      </c>
      <c r="E513" s="134" t="s">
        <v>110</v>
      </c>
      <c r="F513" s="221">
        <v>44971.0</v>
      </c>
      <c r="G513" s="222">
        <v>0.0625</v>
      </c>
      <c r="H513" s="134" t="s">
        <v>475</v>
      </c>
      <c r="I513" s="223" t="s">
        <v>475</v>
      </c>
      <c r="J513" s="223" t="b">
        <f t="shared" si="1"/>
        <v>1</v>
      </c>
      <c r="K513" s="145" t="s">
        <v>800</v>
      </c>
      <c r="L513" s="156"/>
      <c r="M513" s="134" t="s">
        <v>416</v>
      </c>
      <c r="N513" s="224">
        <v>113.35</v>
      </c>
      <c r="O513" s="117" t="b">
        <f t="shared" si="2"/>
        <v>1</v>
      </c>
      <c r="P513" s="117" t="b">
        <v>1</v>
      </c>
      <c r="Q513" s="117" t="s">
        <v>368</v>
      </c>
    </row>
    <row r="514" hidden="1">
      <c r="A514" s="108"/>
      <c r="B514" s="220"/>
      <c r="C514" s="134" t="s">
        <v>290</v>
      </c>
      <c r="D514" s="220" t="str">
        <f>vlookup(M514,'Página10'!A:B,2,false)</f>
        <v>INOV00001</v>
      </c>
      <c r="E514" s="134" t="s">
        <v>110</v>
      </c>
      <c r="F514" s="221">
        <v>44972.0</v>
      </c>
      <c r="G514" s="222">
        <v>0.17708333333333334</v>
      </c>
      <c r="H514" s="134" t="s">
        <v>411</v>
      </c>
      <c r="I514" s="223" t="s">
        <v>411</v>
      </c>
      <c r="J514" s="223" t="b">
        <f t="shared" si="1"/>
        <v>1</v>
      </c>
      <c r="K514" s="145" t="s">
        <v>808</v>
      </c>
      <c r="L514" s="156"/>
      <c r="M514" s="134" t="s">
        <v>416</v>
      </c>
      <c r="N514" s="224">
        <v>321.15</v>
      </c>
      <c r="O514" s="117" t="b">
        <f t="shared" si="2"/>
        <v>1</v>
      </c>
      <c r="P514" s="117" t="b">
        <v>1</v>
      </c>
      <c r="Q514" s="117" t="s">
        <v>368</v>
      </c>
    </row>
    <row r="515" hidden="1">
      <c r="A515" s="108"/>
      <c r="B515" s="220"/>
      <c r="C515" s="134" t="s">
        <v>52</v>
      </c>
      <c r="D515" s="220" t="str">
        <f>vlookup(M515,'Página10'!A:B,2,false)</f>
        <v>INOV00013</v>
      </c>
      <c r="E515" s="134" t="s">
        <v>110</v>
      </c>
      <c r="F515" s="221">
        <v>44972.0</v>
      </c>
      <c r="G515" s="222">
        <v>0.0625</v>
      </c>
      <c r="H515" s="134" t="s">
        <v>411</v>
      </c>
      <c r="I515" s="223" t="s">
        <v>411</v>
      </c>
      <c r="J515" s="223" t="b">
        <f t="shared" si="1"/>
        <v>1</v>
      </c>
      <c r="K515" s="145" t="s">
        <v>809</v>
      </c>
      <c r="L515" s="156"/>
      <c r="M515" s="134" t="s">
        <v>426</v>
      </c>
      <c r="N515" s="224">
        <v>113.35</v>
      </c>
      <c r="O515" s="117" t="b">
        <f t="shared" si="2"/>
        <v>1</v>
      </c>
      <c r="P515" s="117" t="b">
        <v>1</v>
      </c>
      <c r="Q515" s="117" t="s">
        <v>368</v>
      </c>
    </row>
    <row r="516" hidden="1">
      <c r="A516" s="108"/>
      <c r="B516" s="220"/>
      <c r="C516" s="134" t="s">
        <v>52</v>
      </c>
      <c r="D516" s="220" t="str">
        <f>vlookup(M516,'Página10'!A:B,2,false)</f>
        <v>INOV00013</v>
      </c>
      <c r="E516" s="134" t="s">
        <v>110</v>
      </c>
      <c r="F516" s="221">
        <v>44972.0</v>
      </c>
      <c r="G516" s="222">
        <v>0.0625</v>
      </c>
      <c r="H516" s="134" t="s">
        <v>411</v>
      </c>
      <c r="I516" s="223" t="s">
        <v>411</v>
      </c>
      <c r="J516" s="223" t="b">
        <f t="shared" si="1"/>
        <v>1</v>
      </c>
      <c r="K516" s="145" t="s">
        <v>789</v>
      </c>
      <c r="L516" s="156"/>
      <c r="M516" s="134" t="s">
        <v>426</v>
      </c>
      <c r="N516" s="224">
        <v>113.35</v>
      </c>
      <c r="O516" s="117" t="b">
        <f t="shared" si="2"/>
        <v>1</v>
      </c>
      <c r="P516" s="117" t="b">
        <v>1</v>
      </c>
      <c r="Q516" s="117" t="s">
        <v>368</v>
      </c>
    </row>
    <row r="517" hidden="1">
      <c r="A517" s="108"/>
      <c r="B517" s="220"/>
      <c r="C517" s="134" t="s">
        <v>290</v>
      </c>
      <c r="D517" s="220" t="str">
        <f>vlookup(M517,'Página10'!A:B,2,false)</f>
        <v>INOV00001</v>
      </c>
      <c r="E517" s="134" t="s">
        <v>110</v>
      </c>
      <c r="F517" s="221">
        <v>44973.0</v>
      </c>
      <c r="G517" s="222">
        <v>0.19791666666666666</v>
      </c>
      <c r="H517" s="134" t="s">
        <v>411</v>
      </c>
      <c r="I517" s="223" t="s">
        <v>411</v>
      </c>
      <c r="J517" s="223" t="b">
        <f t="shared" si="1"/>
        <v>1</v>
      </c>
      <c r="K517" s="145" t="s">
        <v>810</v>
      </c>
      <c r="L517" s="156"/>
      <c r="M517" s="134" t="s">
        <v>416</v>
      </c>
      <c r="N517" s="224">
        <v>358.93</v>
      </c>
      <c r="O517" s="117" t="b">
        <f t="shared" si="2"/>
        <v>1</v>
      </c>
      <c r="P517" s="117" t="b">
        <v>1</v>
      </c>
      <c r="Q517" s="117" t="s">
        <v>368</v>
      </c>
    </row>
    <row r="518" hidden="1">
      <c r="A518" s="108"/>
      <c r="B518" s="220"/>
      <c r="C518" s="134" t="s">
        <v>290</v>
      </c>
      <c r="D518" s="220" t="str">
        <f>vlookup(M518,'Página10'!A:B,2,false)</f>
        <v>INOV00001</v>
      </c>
      <c r="E518" s="134" t="s">
        <v>110</v>
      </c>
      <c r="F518" s="221">
        <v>44974.0</v>
      </c>
      <c r="G518" s="222">
        <v>0.1875</v>
      </c>
      <c r="H518" s="134" t="s">
        <v>411</v>
      </c>
      <c r="I518" s="223" t="s">
        <v>411</v>
      </c>
      <c r="J518" s="223" t="b">
        <f t="shared" si="1"/>
        <v>1</v>
      </c>
      <c r="K518" s="145" t="s">
        <v>810</v>
      </c>
      <c r="L518" s="156"/>
      <c r="M518" s="134" t="s">
        <v>416</v>
      </c>
      <c r="N518" s="224">
        <v>340.04</v>
      </c>
      <c r="O518" s="117" t="b">
        <f t="shared" si="2"/>
        <v>1</v>
      </c>
      <c r="P518" s="117" t="b">
        <v>1</v>
      </c>
      <c r="Q518" s="117" t="s">
        <v>368</v>
      </c>
    </row>
    <row r="519" hidden="1">
      <c r="A519" s="108"/>
      <c r="B519" s="220"/>
      <c r="C519" s="134" t="s">
        <v>290</v>
      </c>
      <c r="D519" s="220" t="str">
        <f>vlookup(M519,'Página10'!A:B,2,false)</f>
        <v>INOV00001</v>
      </c>
      <c r="E519" s="134" t="s">
        <v>110</v>
      </c>
      <c r="F519" s="221">
        <v>44974.0</v>
      </c>
      <c r="G519" s="222">
        <v>0.0625</v>
      </c>
      <c r="H519" s="134" t="s">
        <v>411</v>
      </c>
      <c r="I519" s="223" t="s">
        <v>411</v>
      </c>
      <c r="J519" s="223" t="b">
        <f t="shared" si="1"/>
        <v>1</v>
      </c>
      <c r="K519" s="145" t="s">
        <v>811</v>
      </c>
      <c r="L519" s="156"/>
      <c r="M519" s="134" t="s">
        <v>416</v>
      </c>
      <c r="N519" s="224">
        <v>113.35</v>
      </c>
      <c r="O519" s="117" t="b">
        <f t="shared" si="2"/>
        <v>1</v>
      </c>
      <c r="P519" s="117" t="b">
        <v>1</v>
      </c>
      <c r="Q519" s="117" t="s">
        <v>368</v>
      </c>
    </row>
    <row r="520" hidden="1">
      <c r="A520" s="108"/>
      <c r="B520" s="220"/>
      <c r="C520" s="134" t="s">
        <v>290</v>
      </c>
      <c r="D520" s="220" t="str">
        <f>vlookup(M520,'Página10'!A:B,2,false)</f>
        <v>INOV00001</v>
      </c>
      <c r="E520" s="134" t="s">
        <v>110</v>
      </c>
      <c r="F520" s="221">
        <v>44980.0</v>
      </c>
      <c r="G520" s="222">
        <v>0.125</v>
      </c>
      <c r="H520" s="134" t="s">
        <v>411</v>
      </c>
      <c r="I520" s="223" t="s">
        <v>411</v>
      </c>
      <c r="J520" s="223" t="b">
        <f t="shared" si="1"/>
        <v>1</v>
      </c>
      <c r="K520" s="145" t="s">
        <v>812</v>
      </c>
      <c r="L520" s="156"/>
      <c r="M520" s="134" t="s">
        <v>416</v>
      </c>
      <c r="N520" s="224">
        <v>226.69</v>
      </c>
      <c r="O520" s="117" t="b">
        <f t="shared" si="2"/>
        <v>1</v>
      </c>
      <c r="P520" s="117" t="b">
        <v>1</v>
      </c>
      <c r="Q520" s="117" t="s">
        <v>368</v>
      </c>
    </row>
    <row r="521" hidden="1">
      <c r="A521" s="108"/>
      <c r="B521" s="220"/>
      <c r="C521" s="134" t="s">
        <v>290</v>
      </c>
      <c r="D521" s="220" t="str">
        <f>vlookup(M521,'Página10'!A:B,2,false)</f>
        <v>INOV00001</v>
      </c>
      <c r="E521" s="134" t="s">
        <v>110</v>
      </c>
      <c r="F521" s="221">
        <v>44980.0</v>
      </c>
      <c r="G521" s="222">
        <v>0.0625</v>
      </c>
      <c r="H521" s="134" t="s">
        <v>411</v>
      </c>
      <c r="I521" s="223" t="s">
        <v>411</v>
      </c>
      <c r="J521" s="223" t="b">
        <f t="shared" si="1"/>
        <v>1</v>
      </c>
      <c r="K521" s="145" t="s">
        <v>813</v>
      </c>
      <c r="L521" s="156"/>
      <c r="M521" s="134" t="s">
        <v>416</v>
      </c>
      <c r="N521" s="224">
        <v>113.35</v>
      </c>
      <c r="O521" s="117" t="b">
        <f t="shared" si="2"/>
        <v>1</v>
      </c>
      <c r="P521" s="117" t="b">
        <v>1</v>
      </c>
      <c r="Q521" s="117" t="s">
        <v>368</v>
      </c>
    </row>
    <row r="522" hidden="1">
      <c r="A522" s="108"/>
      <c r="B522" s="220"/>
      <c r="C522" s="134" t="s">
        <v>290</v>
      </c>
      <c r="D522" s="220" t="str">
        <f>vlookup(M522,'Página10'!A:B,2,false)</f>
        <v>INOV00001</v>
      </c>
      <c r="E522" s="134" t="s">
        <v>110</v>
      </c>
      <c r="F522" s="221">
        <v>44981.0</v>
      </c>
      <c r="G522" s="222">
        <v>0.14583333333333334</v>
      </c>
      <c r="H522" s="134" t="s">
        <v>475</v>
      </c>
      <c r="I522" s="223" t="s">
        <v>475</v>
      </c>
      <c r="J522" s="223" t="b">
        <f t="shared" si="1"/>
        <v>1</v>
      </c>
      <c r="K522" s="145" t="s">
        <v>814</v>
      </c>
      <c r="L522" s="156"/>
      <c r="M522" s="134" t="s">
        <v>416</v>
      </c>
      <c r="N522" s="224">
        <v>264.47</v>
      </c>
      <c r="O522" s="117" t="b">
        <f t="shared" si="2"/>
        <v>1</v>
      </c>
      <c r="P522" s="117" t="b">
        <v>1</v>
      </c>
      <c r="Q522" s="117" t="s">
        <v>368</v>
      </c>
    </row>
    <row r="523" hidden="1">
      <c r="A523" s="108"/>
      <c r="B523" s="220"/>
      <c r="C523" s="134" t="s">
        <v>290</v>
      </c>
      <c r="D523" s="220" t="str">
        <f>vlookup(M523,'Página10'!A:B,2,false)</f>
        <v>INOV00001</v>
      </c>
      <c r="E523" s="134" t="s">
        <v>110</v>
      </c>
      <c r="F523" s="221">
        <v>44981.0</v>
      </c>
      <c r="G523" s="222">
        <v>0.041666666666666664</v>
      </c>
      <c r="H523" s="134" t="s">
        <v>475</v>
      </c>
      <c r="I523" s="223" t="s">
        <v>475</v>
      </c>
      <c r="J523" s="223" t="b">
        <f t="shared" si="1"/>
        <v>1</v>
      </c>
      <c r="K523" s="145" t="s">
        <v>800</v>
      </c>
      <c r="L523" s="156"/>
      <c r="M523" s="134" t="s">
        <v>416</v>
      </c>
      <c r="N523" s="224">
        <v>75.56</v>
      </c>
      <c r="O523" s="117" t="b">
        <f t="shared" si="2"/>
        <v>1</v>
      </c>
      <c r="P523" s="117" t="b">
        <v>1</v>
      </c>
      <c r="Q523" s="117" t="s">
        <v>368</v>
      </c>
    </row>
    <row r="524" hidden="1">
      <c r="A524" s="108"/>
      <c r="B524" s="220"/>
      <c r="C524" s="134" t="s">
        <v>290</v>
      </c>
      <c r="D524" s="220" t="str">
        <f>vlookup(M524,'Página10'!A:B,2,false)</f>
        <v>INOV00001</v>
      </c>
      <c r="E524" s="134" t="s">
        <v>110</v>
      </c>
      <c r="F524" s="221">
        <v>44984.0</v>
      </c>
      <c r="G524" s="222">
        <v>0.15625</v>
      </c>
      <c r="H524" s="134" t="s">
        <v>475</v>
      </c>
      <c r="I524" s="223" t="s">
        <v>475</v>
      </c>
      <c r="J524" s="223" t="b">
        <f t="shared" si="1"/>
        <v>1</v>
      </c>
      <c r="K524" s="145" t="s">
        <v>800</v>
      </c>
      <c r="L524" s="156"/>
      <c r="M524" s="134" t="s">
        <v>416</v>
      </c>
      <c r="N524" s="224">
        <v>283.36</v>
      </c>
      <c r="O524" s="117" t="b">
        <f t="shared" si="2"/>
        <v>1</v>
      </c>
      <c r="P524" s="117" t="b">
        <v>1</v>
      </c>
      <c r="Q524" s="117" t="s">
        <v>368</v>
      </c>
    </row>
    <row r="525" hidden="1">
      <c r="A525" s="108"/>
      <c r="B525" s="220"/>
      <c r="C525" s="134" t="s">
        <v>290</v>
      </c>
      <c r="D525" s="220" t="str">
        <f>vlookup(M525,'Página10'!A:B,2,false)</f>
        <v>INOV00001</v>
      </c>
      <c r="E525" s="134" t="s">
        <v>110</v>
      </c>
      <c r="F525" s="221">
        <v>44984.0</v>
      </c>
      <c r="G525" s="222">
        <v>0.0625</v>
      </c>
      <c r="H525" s="134" t="s">
        <v>411</v>
      </c>
      <c r="I525" s="223" t="s">
        <v>411</v>
      </c>
      <c r="J525" s="223" t="b">
        <f t="shared" si="1"/>
        <v>1</v>
      </c>
      <c r="K525" s="145" t="s">
        <v>815</v>
      </c>
      <c r="L525" s="156"/>
      <c r="M525" s="134" t="s">
        <v>416</v>
      </c>
      <c r="N525" s="224">
        <v>113.35</v>
      </c>
      <c r="O525" s="117" t="b">
        <f t="shared" si="2"/>
        <v>1</v>
      </c>
      <c r="P525" s="117" t="b">
        <v>1</v>
      </c>
      <c r="Q525" s="117" t="s">
        <v>368</v>
      </c>
    </row>
    <row r="526" hidden="1">
      <c r="A526" s="108"/>
      <c r="B526" s="220"/>
      <c r="C526" s="134" t="s">
        <v>290</v>
      </c>
      <c r="D526" s="220" t="str">
        <f>vlookup(M526,'Página10'!A:B,2,false)</f>
        <v>INOV00001</v>
      </c>
      <c r="E526" s="134" t="s">
        <v>110</v>
      </c>
      <c r="F526" s="221">
        <v>44984.0</v>
      </c>
      <c r="G526" s="222">
        <v>0.041666666666666664</v>
      </c>
      <c r="H526" s="134" t="s">
        <v>475</v>
      </c>
      <c r="I526" s="223" t="s">
        <v>475</v>
      </c>
      <c r="J526" s="223" t="b">
        <f t="shared" si="1"/>
        <v>1</v>
      </c>
      <c r="K526" s="145" t="s">
        <v>816</v>
      </c>
      <c r="L526" s="156"/>
      <c r="M526" s="134" t="s">
        <v>416</v>
      </c>
      <c r="N526" s="224">
        <v>75.56</v>
      </c>
      <c r="O526" s="117" t="b">
        <f t="shared" si="2"/>
        <v>1</v>
      </c>
      <c r="P526" s="117" t="b">
        <v>1</v>
      </c>
      <c r="Q526" s="117" t="s">
        <v>368</v>
      </c>
    </row>
    <row r="527" hidden="1">
      <c r="A527" s="108"/>
      <c r="B527" s="220"/>
      <c r="C527" s="134" t="s">
        <v>290</v>
      </c>
      <c r="D527" s="220" t="str">
        <f>vlookup(M527,'Página10'!A:B,2,false)</f>
        <v>INOV00001</v>
      </c>
      <c r="E527" s="134" t="s">
        <v>110</v>
      </c>
      <c r="F527" s="221">
        <v>44985.0</v>
      </c>
      <c r="G527" s="222">
        <v>0.11458333333333333</v>
      </c>
      <c r="H527" s="134" t="s">
        <v>475</v>
      </c>
      <c r="I527" s="223" t="s">
        <v>475</v>
      </c>
      <c r="J527" s="223" t="b">
        <f t="shared" si="1"/>
        <v>1</v>
      </c>
      <c r="K527" s="145" t="s">
        <v>816</v>
      </c>
      <c r="L527" s="156"/>
      <c r="M527" s="134" t="s">
        <v>416</v>
      </c>
      <c r="N527" s="224">
        <v>207.8</v>
      </c>
      <c r="O527" s="117" t="b">
        <f t="shared" si="2"/>
        <v>1</v>
      </c>
      <c r="P527" s="117" t="b">
        <v>1</v>
      </c>
      <c r="Q527" s="117" t="s">
        <v>368</v>
      </c>
    </row>
    <row r="528" hidden="1">
      <c r="A528" s="108"/>
      <c r="B528" s="220"/>
      <c r="C528" s="134" t="s">
        <v>290</v>
      </c>
      <c r="D528" s="220" t="str">
        <f>vlookup(M528,'Página10'!A:B,2,false)</f>
        <v>INOV00001</v>
      </c>
      <c r="E528" s="134" t="s">
        <v>110</v>
      </c>
      <c r="F528" s="221">
        <v>44985.0</v>
      </c>
      <c r="G528" s="222">
        <v>0.08333333333333333</v>
      </c>
      <c r="H528" s="134" t="s">
        <v>479</v>
      </c>
      <c r="I528" s="223" t="s">
        <v>479</v>
      </c>
      <c r="J528" s="223" t="b">
        <f t="shared" si="1"/>
        <v>1</v>
      </c>
      <c r="K528" s="145" t="s">
        <v>817</v>
      </c>
      <c r="L528" s="156"/>
      <c r="M528" s="134" t="s">
        <v>416</v>
      </c>
      <c r="N528" s="224">
        <v>0.0</v>
      </c>
      <c r="O528" s="117" t="b">
        <f t="shared" si="2"/>
        <v>0</v>
      </c>
      <c r="P528" s="117" t="b">
        <v>1</v>
      </c>
      <c r="Q528" s="117" t="s">
        <v>368</v>
      </c>
    </row>
    <row r="529" hidden="1">
      <c r="A529" s="108"/>
      <c r="B529" s="220"/>
      <c r="C529" s="134" t="s">
        <v>290</v>
      </c>
      <c r="D529" s="220" t="str">
        <f>vlookup(M529,'Página10'!A:B,2,false)</f>
        <v>INOV00001</v>
      </c>
      <c r="E529" s="134" t="s">
        <v>110</v>
      </c>
      <c r="F529" s="221">
        <v>44986.0</v>
      </c>
      <c r="G529" s="222">
        <v>0.14583333333333334</v>
      </c>
      <c r="H529" s="134" t="s">
        <v>475</v>
      </c>
      <c r="I529" s="223" t="s">
        <v>475</v>
      </c>
      <c r="J529" s="223" t="b">
        <f t="shared" si="1"/>
        <v>1</v>
      </c>
      <c r="K529" s="145" t="s">
        <v>816</v>
      </c>
      <c r="L529" s="156"/>
      <c r="M529" s="134" t="s">
        <v>416</v>
      </c>
      <c r="N529" s="224">
        <v>195.48</v>
      </c>
      <c r="O529" s="117" t="b">
        <f t="shared" si="2"/>
        <v>1</v>
      </c>
      <c r="P529" s="117" t="b">
        <v>1</v>
      </c>
      <c r="Q529" s="117" t="s">
        <v>368</v>
      </c>
    </row>
    <row r="530" hidden="1">
      <c r="A530" s="108"/>
      <c r="B530" s="220"/>
      <c r="C530" s="134" t="s">
        <v>290</v>
      </c>
      <c r="D530" s="220" t="str">
        <f>vlookup(M530,'Página10'!A:B,2,false)</f>
        <v>INOV00001</v>
      </c>
      <c r="E530" s="134" t="s">
        <v>110</v>
      </c>
      <c r="F530" s="221">
        <v>44986.0</v>
      </c>
      <c r="G530" s="222">
        <v>0.041666666666666664</v>
      </c>
      <c r="H530" s="134" t="s">
        <v>411</v>
      </c>
      <c r="I530" s="223" t="s">
        <v>411</v>
      </c>
      <c r="J530" s="223" t="b">
        <f t="shared" si="1"/>
        <v>1</v>
      </c>
      <c r="K530" s="145" t="s">
        <v>818</v>
      </c>
      <c r="L530" s="156"/>
      <c r="M530" s="134" t="s">
        <v>416</v>
      </c>
      <c r="N530" s="224">
        <v>55.85</v>
      </c>
      <c r="O530" s="117" t="b">
        <f t="shared" si="2"/>
        <v>1</v>
      </c>
      <c r="P530" s="117" t="b">
        <v>1</v>
      </c>
      <c r="Q530" s="117" t="s">
        <v>368</v>
      </c>
    </row>
    <row r="531" hidden="1">
      <c r="A531" s="108"/>
      <c r="B531" s="220"/>
      <c r="C531" s="134" t="s">
        <v>52</v>
      </c>
      <c r="D531" s="220" t="str">
        <f>vlookup(M531,'Página10'!A:B,2,false)</f>
        <v>INOV00013</v>
      </c>
      <c r="E531" s="134" t="s">
        <v>110</v>
      </c>
      <c r="F531" s="221">
        <v>44987.0</v>
      </c>
      <c r="G531" s="222">
        <v>0.020833333333333332</v>
      </c>
      <c r="H531" s="134" t="s">
        <v>479</v>
      </c>
      <c r="I531" s="223" t="s">
        <v>479</v>
      </c>
      <c r="J531" s="223" t="b">
        <f t="shared" si="1"/>
        <v>1</v>
      </c>
      <c r="K531" s="145" t="s">
        <v>819</v>
      </c>
      <c r="L531" s="156"/>
      <c r="M531" s="134" t="s">
        <v>426</v>
      </c>
      <c r="N531" s="224">
        <v>0.0</v>
      </c>
      <c r="O531" s="117" t="b">
        <f t="shared" si="2"/>
        <v>0</v>
      </c>
      <c r="P531" s="117" t="b">
        <v>1</v>
      </c>
      <c r="Q531" s="117" t="s">
        <v>368</v>
      </c>
    </row>
    <row r="532" hidden="1">
      <c r="A532" s="108"/>
      <c r="B532" s="220"/>
      <c r="C532" s="134" t="s">
        <v>56</v>
      </c>
      <c r="D532" s="220" t="str">
        <f>vlookup(M532,'Página10'!A:B,2,false)</f>
        <v>INOV00021</v>
      </c>
      <c r="E532" s="134" t="s">
        <v>110</v>
      </c>
      <c r="F532" s="221">
        <v>44987.0</v>
      </c>
      <c r="G532" s="222">
        <v>0.041666666666666664</v>
      </c>
      <c r="H532" s="134" t="s">
        <v>475</v>
      </c>
      <c r="I532" s="223" t="s">
        <v>475</v>
      </c>
      <c r="J532" s="223" t="b">
        <f t="shared" si="1"/>
        <v>1</v>
      </c>
      <c r="K532" s="145" t="s">
        <v>820</v>
      </c>
      <c r="L532" s="156"/>
      <c r="M532" s="134" t="s">
        <v>436</v>
      </c>
      <c r="N532" s="224">
        <v>55.85</v>
      </c>
      <c r="O532" s="117" t="b">
        <f t="shared" si="2"/>
        <v>1</v>
      </c>
      <c r="P532" s="117" t="b">
        <v>1</v>
      </c>
      <c r="Q532" s="117" t="s">
        <v>368</v>
      </c>
    </row>
    <row r="533" hidden="1">
      <c r="A533" s="108"/>
      <c r="B533" s="220"/>
      <c r="C533" s="134" t="s">
        <v>52</v>
      </c>
      <c r="D533" s="220" t="str">
        <f>vlookup(M533,'Página10'!A:B,2,false)</f>
        <v>INOV00013</v>
      </c>
      <c r="E533" s="134" t="s">
        <v>110</v>
      </c>
      <c r="F533" s="221">
        <v>44988.0</v>
      </c>
      <c r="G533" s="222">
        <v>0.041666666666666664</v>
      </c>
      <c r="H533" s="134" t="s">
        <v>475</v>
      </c>
      <c r="I533" s="223" t="s">
        <v>475</v>
      </c>
      <c r="J533" s="223" t="b">
        <f t="shared" si="1"/>
        <v>1</v>
      </c>
      <c r="K533" s="145" t="s">
        <v>821</v>
      </c>
      <c r="L533" s="156"/>
      <c r="M533" s="134" t="s">
        <v>426</v>
      </c>
      <c r="N533" s="224">
        <v>55.85</v>
      </c>
      <c r="O533" s="117" t="b">
        <f t="shared" si="2"/>
        <v>1</v>
      </c>
      <c r="P533" s="117" t="b">
        <v>1</v>
      </c>
      <c r="Q533" s="117" t="s">
        <v>368</v>
      </c>
    </row>
    <row r="534" hidden="1">
      <c r="A534" s="108"/>
      <c r="B534" s="220"/>
      <c r="C534" s="134" t="s">
        <v>290</v>
      </c>
      <c r="D534" s="220" t="str">
        <f>vlookup(M534,'Página10'!A:B,2,false)</f>
        <v>INOV00001</v>
      </c>
      <c r="E534" s="134" t="s">
        <v>110</v>
      </c>
      <c r="F534" s="221">
        <v>44988.0</v>
      </c>
      <c r="G534" s="222">
        <v>0.0625</v>
      </c>
      <c r="H534" s="134" t="s">
        <v>475</v>
      </c>
      <c r="I534" s="223" t="s">
        <v>475</v>
      </c>
      <c r="J534" s="223" t="b">
        <f t="shared" si="1"/>
        <v>1</v>
      </c>
      <c r="K534" s="145" t="s">
        <v>822</v>
      </c>
      <c r="L534" s="156"/>
      <c r="M534" s="134" t="s">
        <v>416</v>
      </c>
      <c r="N534" s="224">
        <v>83.78</v>
      </c>
      <c r="O534" s="117" t="b">
        <f t="shared" si="2"/>
        <v>1</v>
      </c>
      <c r="P534" s="117" t="b">
        <v>1</v>
      </c>
      <c r="Q534" s="117" t="s">
        <v>368</v>
      </c>
    </row>
    <row r="535" hidden="1">
      <c r="A535" s="108"/>
      <c r="B535" s="220"/>
      <c r="C535" s="134" t="s">
        <v>56</v>
      </c>
      <c r="D535" s="220" t="str">
        <f>vlookup(M535,'Página10'!A:B,2,false)</f>
        <v>INOV00021</v>
      </c>
      <c r="E535" s="134" t="s">
        <v>110</v>
      </c>
      <c r="F535" s="221">
        <v>44988.0</v>
      </c>
      <c r="G535" s="222">
        <v>0.041666666666666664</v>
      </c>
      <c r="H535" s="134" t="s">
        <v>479</v>
      </c>
      <c r="I535" s="223" t="s">
        <v>479</v>
      </c>
      <c r="J535" s="223" t="b">
        <f t="shared" si="1"/>
        <v>1</v>
      </c>
      <c r="K535" s="145" t="s">
        <v>823</v>
      </c>
      <c r="L535" s="156"/>
      <c r="M535" s="134" t="s">
        <v>436</v>
      </c>
      <c r="N535" s="224">
        <v>0.0</v>
      </c>
      <c r="O535" s="117" t="b">
        <f t="shared" si="2"/>
        <v>0</v>
      </c>
      <c r="P535" s="117" t="b">
        <v>1</v>
      </c>
      <c r="Q535" s="117" t="s">
        <v>368</v>
      </c>
    </row>
    <row r="536" hidden="1">
      <c r="A536" s="108"/>
      <c r="B536" s="220"/>
      <c r="C536" s="134" t="s">
        <v>290</v>
      </c>
      <c r="D536" s="220" t="str">
        <f>vlookup(M536,'Página10'!A:B,2,false)</f>
        <v>INOV00001</v>
      </c>
      <c r="E536" s="134" t="s">
        <v>110</v>
      </c>
      <c r="F536" s="221">
        <v>44991.0</v>
      </c>
      <c r="G536" s="222">
        <v>0.0625</v>
      </c>
      <c r="H536" s="134" t="s">
        <v>411</v>
      </c>
      <c r="I536" s="223" t="s">
        <v>411</v>
      </c>
      <c r="J536" s="223" t="b">
        <f t="shared" si="1"/>
        <v>1</v>
      </c>
      <c r="K536" s="145" t="s">
        <v>824</v>
      </c>
      <c r="L536" s="156"/>
      <c r="M536" s="134" t="s">
        <v>416</v>
      </c>
      <c r="N536" s="224">
        <v>83.78</v>
      </c>
      <c r="O536" s="117" t="b">
        <f t="shared" si="2"/>
        <v>1</v>
      </c>
      <c r="P536" s="117" t="b">
        <v>1</v>
      </c>
      <c r="Q536" s="117" t="s">
        <v>368</v>
      </c>
    </row>
    <row r="537" hidden="1">
      <c r="A537" s="108"/>
      <c r="B537" s="220"/>
      <c r="C537" s="134" t="s">
        <v>290</v>
      </c>
      <c r="D537" s="220" t="str">
        <f>vlookup(M537,'Página10'!A:B,2,false)</f>
        <v>INOV00001</v>
      </c>
      <c r="E537" s="134" t="s">
        <v>110</v>
      </c>
      <c r="F537" s="221">
        <v>44991.0</v>
      </c>
      <c r="G537" s="222">
        <v>0.041666666666666664</v>
      </c>
      <c r="H537" s="134" t="s">
        <v>411</v>
      </c>
      <c r="I537" s="223" t="s">
        <v>411</v>
      </c>
      <c r="J537" s="223" t="b">
        <f t="shared" si="1"/>
        <v>1</v>
      </c>
      <c r="K537" s="145" t="s">
        <v>825</v>
      </c>
      <c r="L537" s="156"/>
      <c r="M537" s="134" t="s">
        <v>416</v>
      </c>
      <c r="N537" s="224">
        <v>55.85</v>
      </c>
      <c r="O537" s="117" t="b">
        <f t="shared" si="2"/>
        <v>1</v>
      </c>
      <c r="P537" s="117" t="b">
        <v>1</v>
      </c>
      <c r="Q537" s="117" t="s">
        <v>368</v>
      </c>
    </row>
    <row r="538" hidden="1">
      <c r="A538" s="108"/>
      <c r="B538" s="220"/>
      <c r="C538" s="134" t="s">
        <v>290</v>
      </c>
      <c r="D538" s="220" t="str">
        <f>vlookup(M538,'Página10'!A:B,2,false)</f>
        <v>INOV00001</v>
      </c>
      <c r="E538" s="134" t="s">
        <v>110</v>
      </c>
      <c r="F538" s="221">
        <v>44992.0</v>
      </c>
      <c r="G538" s="222">
        <v>0.14583333333333334</v>
      </c>
      <c r="H538" s="134" t="s">
        <v>475</v>
      </c>
      <c r="I538" s="223" t="s">
        <v>475</v>
      </c>
      <c r="J538" s="223" t="b">
        <f t="shared" si="1"/>
        <v>1</v>
      </c>
      <c r="K538" s="145" t="s">
        <v>826</v>
      </c>
      <c r="L538" s="156"/>
      <c r="M538" s="134" t="s">
        <v>416</v>
      </c>
      <c r="N538" s="224">
        <v>195.48</v>
      </c>
      <c r="O538" s="117" t="b">
        <f t="shared" si="2"/>
        <v>1</v>
      </c>
      <c r="P538" s="117" t="b">
        <v>1</v>
      </c>
      <c r="Q538" s="117" t="s">
        <v>368</v>
      </c>
    </row>
    <row r="539" hidden="1">
      <c r="A539" s="108"/>
      <c r="B539" s="220"/>
      <c r="C539" s="134" t="s">
        <v>290</v>
      </c>
      <c r="D539" s="220" t="str">
        <f>vlookup(M539,'Página10'!A:B,2,false)</f>
        <v>INOV00001</v>
      </c>
      <c r="E539" s="134" t="s">
        <v>110</v>
      </c>
      <c r="F539" s="221">
        <v>44993.0</v>
      </c>
      <c r="G539" s="222">
        <v>0.125</v>
      </c>
      <c r="H539" s="134" t="s">
        <v>475</v>
      </c>
      <c r="I539" s="223" t="s">
        <v>475</v>
      </c>
      <c r="J539" s="223" t="b">
        <f t="shared" si="1"/>
        <v>1</v>
      </c>
      <c r="K539" s="145" t="s">
        <v>827</v>
      </c>
      <c r="L539" s="156"/>
      <c r="M539" s="134" t="s">
        <v>416</v>
      </c>
      <c r="N539" s="224">
        <v>167.55</v>
      </c>
      <c r="O539" s="117" t="b">
        <f t="shared" si="2"/>
        <v>1</v>
      </c>
      <c r="P539" s="117" t="b">
        <v>1</v>
      </c>
      <c r="Q539" s="117" t="s">
        <v>368</v>
      </c>
    </row>
    <row r="540" hidden="1">
      <c r="A540" s="108"/>
      <c r="B540" s="220"/>
      <c r="C540" s="134" t="s">
        <v>56</v>
      </c>
      <c r="D540" s="220" t="str">
        <f>vlookup(M540,'Página10'!A:B,2,false)</f>
        <v>INOV00021</v>
      </c>
      <c r="E540" s="134" t="s">
        <v>110</v>
      </c>
      <c r="F540" s="221">
        <v>44994.0</v>
      </c>
      <c r="G540" s="222">
        <v>0.03125</v>
      </c>
      <c r="H540" s="134" t="s">
        <v>411</v>
      </c>
      <c r="I540" s="223" t="s">
        <v>411</v>
      </c>
      <c r="J540" s="223" t="b">
        <f t="shared" si="1"/>
        <v>1</v>
      </c>
      <c r="K540" s="145" t="s">
        <v>828</v>
      </c>
      <c r="L540" s="156"/>
      <c r="M540" s="134" t="s">
        <v>436</v>
      </c>
      <c r="N540" s="224">
        <v>41.89</v>
      </c>
      <c r="O540" s="117" t="b">
        <f t="shared" si="2"/>
        <v>1</v>
      </c>
      <c r="P540" s="117" t="b">
        <v>1</v>
      </c>
      <c r="Q540" s="117" t="s">
        <v>368</v>
      </c>
    </row>
    <row r="541" hidden="1">
      <c r="A541" s="108"/>
      <c r="B541" s="220"/>
      <c r="C541" s="134" t="s">
        <v>290</v>
      </c>
      <c r="D541" s="220" t="str">
        <f>vlookup(M541,'Página10'!A:B,2,false)</f>
        <v>INOV00001</v>
      </c>
      <c r="E541" s="134" t="s">
        <v>110</v>
      </c>
      <c r="F541" s="221">
        <v>44994.0</v>
      </c>
      <c r="G541" s="222">
        <v>0.041666666666666664</v>
      </c>
      <c r="H541" s="134" t="s">
        <v>479</v>
      </c>
      <c r="I541" s="223" t="s">
        <v>479</v>
      </c>
      <c r="J541" s="223" t="b">
        <f t="shared" si="1"/>
        <v>1</v>
      </c>
      <c r="K541" s="145" t="s">
        <v>829</v>
      </c>
      <c r="L541" s="156"/>
      <c r="M541" s="134" t="s">
        <v>416</v>
      </c>
      <c r="N541" s="224">
        <v>0.0</v>
      </c>
      <c r="O541" s="117" t="b">
        <f t="shared" si="2"/>
        <v>0</v>
      </c>
      <c r="P541" s="117" t="b">
        <v>1</v>
      </c>
      <c r="Q541" s="117" t="s">
        <v>368</v>
      </c>
    </row>
    <row r="542" hidden="1">
      <c r="A542" s="108"/>
      <c r="B542" s="220"/>
      <c r="C542" s="134" t="s">
        <v>290</v>
      </c>
      <c r="D542" s="220" t="str">
        <f>vlookup(M542,'Página10'!A:B,2,false)</f>
        <v>INOV00001</v>
      </c>
      <c r="E542" s="134" t="s">
        <v>110</v>
      </c>
      <c r="F542" s="221">
        <v>44995.0</v>
      </c>
      <c r="G542" s="222">
        <v>0.07291666666666667</v>
      </c>
      <c r="H542" s="134" t="s">
        <v>411</v>
      </c>
      <c r="I542" s="223" t="s">
        <v>411</v>
      </c>
      <c r="J542" s="223" t="b">
        <f t="shared" si="1"/>
        <v>1</v>
      </c>
      <c r="K542" s="145" t="s">
        <v>830</v>
      </c>
      <c r="L542" s="156"/>
      <c r="M542" s="134" t="s">
        <v>416</v>
      </c>
      <c r="N542" s="224">
        <v>97.74</v>
      </c>
      <c r="O542" s="117" t="b">
        <f t="shared" si="2"/>
        <v>1</v>
      </c>
      <c r="P542" s="117" t="b">
        <v>1</v>
      </c>
      <c r="Q542" s="117" t="s">
        <v>368</v>
      </c>
    </row>
    <row r="543" hidden="1">
      <c r="A543" s="108"/>
      <c r="B543" s="220"/>
      <c r="C543" s="134" t="s">
        <v>290</v>
      </c>
      <c r="D543" s="220" t="str">
        <f>vlookup(M543,'Página10'!A:B,2,false)</f>
        <v>INOV00001</v>
      </c>
      <c r="E543" s="134" t="s">
        <v>110</v>
      </c>
      <c r="F543" s="221">
        <v>44998.0</v>
      </c>
      <c r="G543" s="222">
        <v>0.0625</v>
      </c>
      <c r="H543" s="134" t="s">
        <v>411</v>
      </c>
      <c r="I543" s="223" t="s">
        <v>411</v>
      </c>
      <c r="J543" s="223" t="b">
        <f t="shared" si="1"/>
        <v>1</v>
      </c>
      <c r="K543" s="145" t="s">
        <v>831</v>
      </c>
      <c r="L543" s="156"/>
      <c r="M543" s="134" t="s">
        <v>416</v>
      </c>
      <c r="N543" s="224">
        <v>83.78</v>
      </c>
      <c r="O543" s="117" t="b">
        <f t="shared" si="2"/>
        <v>1</v>
      </c>
      <c r="P543" s="117" t="b">
        <v>1</v>
      </c>
      <c r="Q543" s="117" t="s">
        <v>368</v>
      </c>
    </row>
    <row r="544" hidden="1">
      <c r="A544" s="108"/>
      <c r="B544" s="220"/>
      <c r="C544" s="134" t="s">
        <v>56</v>
      </c>
      <c r="D544" s="220" t="str">
        <f>vlookup(M544,'Página10'!A:B,2,false)</f>
        <v>INOV00021</v>
      </c>
      <c r="E544" s="134" t="s">
        <v>110</v>
      </c>
      <c r="F544" s="221">
        <v>44998.0</v>
      </c>
      <c r="G544" s="222">
        <v>0.041666666666666664</v>
      </c>
      <c r="H544" s="134" t="s">
        <v>411</v>
      </c>
      <c r="I544" s="223" t="s">
        <v>411</v>
      </c>
      <c r="J544" s="223" t="b">
        <f t="shared" si="1"/>
        <v>1</v>
      </c>
      <c r="K544" s="145" t="s">
        <v>832</v>
      </c>
      <c r="L544" s="156"/>
      <c r="M544" s="134" t="s">
        <v>436</v>
      </c>
      <c r="N544" s="224">
        <v>55.85</v>
      </c>
      <c r="O544" s="117" t="b">
        <f t="shared" si="2"/>
        <v>1</v>
      </c>
      <c r="P544" s="117" t="b">
        <v>1</v>
      </c>
      <c r="Q544" s="117" t="s">
        <v>368</v>
      </c>
    </row>
    <row r="545" hidden="1">
      <c r="A545" s="108"/>
      <c r="B545" s="220"/>
      <c r="C545" s="134" t="s">
        <v>290</v>
      </c>
      <c r="D545" s="220" t="str">
        <f>vlookup(M545,'Página10'!A:B,2,false)</f>
        <v>INOV00001</v>
      </c>
      <c r="E545" s="134" t="s">
        <v>110</v>
      </c>
      <c r="F545" s="221">
        <v>44998.0</v>
      </c>
      <c r="G545" s="222">
        <v>0.10416666666666667</v>
      </c>
      <c r="H545" s="134" t="s">
        <v>474</v>
      </c>
      <c r="I545" s="223" t="s">
        <v>474</v>
      </c>
      <c r="J545" s="223" t="b">
        <f t="shared" si="1"/>
        <v>1</v>
      </c>
      <c r="K545" s="145" t="s">
        <v>833</v>
      </c>
      <c r="L545" s="156"/>
      <c r="M545" s="134" t="s">
        <v>416</v>
      </c>
      <c r="N545" s="224">
        <v>139.63</v>
      </c>
      <c r="O545" s="117" t="b">
        <f t="shared" si="2"/>
        <v>1</v>
      </c>
      <c r="P545" s="117" t="b">
        <v>1</v>
      </c>
      <c r="Q545" s="117" t="s">
        <v>368</v>
      </c>
    </row>
    <row r="546" hidden="1">
      <c r="A546" s="108"/>
      <c r="B546" s="220"/>
      <c r="C546" s="134" t="s">
        <v>290</v>
      </c>
      <c r="D546" s="220" t="str">
        <f>vlookup(M546,'Página10'!A:B,2,false)</f>
        <v>INOV00001</v>
      </c>
      <c r="E546" s="134" t="s">
        <v>110</v>
      </c>
      <c r="F546" s="221">
        <v>44999.0</v>
      </c>
      <c r="G546" s="222">
        <v>0.0625</v>
      </c>
      <c r="H546" s="134" t="s">
        <v>474</v>
      </c>
      <c r="I546" s="223" t="s">
        <v>474</v>
      </c>
      <c r="J546" s="223" t="b">
        <f t="shared" si="1"/>
        <v>1</v>
      </c>
      <c r="K546" s="145" t="s">
        <v>833</v>
      </c>
      <c r="L546" s="156"/>
      <c r="M546" s="134" t="s">
        <v>416</v>
      </c>
      <c r="N546" s="224">
        <v>83.78</v>
      </c>
      <c r="O546" s="117" t="b">
        <f t="shared" si="2"/>
        <v>1</v>
      </c>
      <c r="P546" s="117" t="b">
        <v>1</v>
      </c>
      <c r="Q546" s="117" t="s">
        <v>368</v>
      </c>
    </row>
    <row r="547" hidden="1">
      <c r="A547" s="108"/>
      <c r="B547" s="220"/>
      <c r="C547" s="134" t="s">
        <v>290</v>
      </c>
      <c r="D547" s="220" t="str">
        <f>vlookup(M547,'Página10'!A:B,2,false)</f>
        <v>INOV00001</v>
      </c>
      <c r="E547" s="134" t="s">
        <v>110</v>
      </c>
      <c r="F547" s="221">
        <v>44999.0</v>
      </c>
      <c r="G547" s="222">
        <v>0.08333333333333333</v>
      </c>
      <c r="H547" s="134" t="s">
        <v>474</v>
      </c>
      <c r="I547" s="223" t="s">
        <v>474</v>
      </c>
      <c r="J547" s="223" t="b">
        <f t="shared" si="1"/>
        <v>1</v>
      </c>
      <c r="K547" s="145" t="s">
        <v>833</v>
      </c>
      <c r="L547" s="156"/>
      <c r="M547" s="134" t="s">
        <v>416</v>
      </c>
      <c r="N547" s="224">
        <v>111.7</v>
      </c>
      <c r="O547" s="117" t="b">
        <f t="shared" si="2"/>
        <v>1</v>
      </c>
      <c r="P547" s="117" t="b">
        <v>1</v>
      </c>
      <c r="Q547" s="117" t="s">
        <v>368</v>
      </c>
    </row>
    <row r="548" hidden="1">
      <c r="A548" s="108"/>
      <c r="B548" s="220"/>
      <c r="C548" s="134" t="s">
        <v>290</v>
      </c>
      <c r="D548" s="220" t="str">
        <f>vlookup(M548,'Página10'!A:B,2,false)</f>
        <v>INOV00001</v>
      </c>
      <c r="E548" s="134" t="s">
        <v>110</v>
      </c>
      <c r="F548" s="221">
        <v>45000.0</v>
      </c>
      <c r="G548" s="222">
        <v>0.11458333333333333</v>
      </c>
      <c r="H548" s="134" t="s">
        <v>411</v>
      </c>
      <c r="I548" s="223" t="s">
        <v>411</v>
      </c>
      <c r="J548" s="223" t="b">
        <f t="shared" si="1"/>
        <v>1</v>
      </c>
      <c r="K548" s="145" t="s">
        <v>834</v>
      </c>
      <c r="L548" s="156"/>
      <c r="M548" s="134" t="s">
        <v>416</v>
      </c>
      <c r="N548" s="224">
        <v>153.59</v>
      </c>
      <c r="O548" s="117" t="b">
        <f t="shared" si="2"/>
        <v>1</v>
      </c>
      <c r="P548" s="117" t="b">
        <v>1</v>
      </c>
      <c r="Q548" s="117" t="s">
        <v>368</v>
      </c>
    </row>
    <row r="549" hidden="1">
      <c r="A549" s="108"/>
      <c r="B549" s="220"/>
      <c r="C549" s="134" t="s">
        <v>290</v>
      </c>
      <c r="D549" s="220" t="str">
        <f>vlookup(M549,'Página10'!A:B,2,false)</f>
        <v>INOV00001</v>
      </c>
      <c r="E549" s="134" t="s">
        <v>110</v>
      </c>
      <c r="F549" s="221">
        <v>45000.0</v>
      </c>
      <c r="G549" s="222">
        <v>0.08333333333333333</v>
      </c>
      <c r="H549" s="134" t="s">
        <v>474</v>
      </c>
      <c r="I549" s="223" t="s">
        <v>474</v>
      </c>
      <c r="J549" s="223" t="b">
        <f t="shared" si="1"/>
        <v>1</v>
      </c>
      <c r="K549" s="145" t="s">
        <v>833</v>
      </c>
      <c r="L549" s="156"/>
      <c r="M549" s="134" t="s">
        <v>416</v>
      </c>
      <c r="N549" s="224">
        <v>111.7</v>
      </c>
      <c r="O549" s="117" t="b">
        <f t="shared" si="2"/>
        <v>1</v>
      </c>
      <c r="P549" s="117" t="b">
        <v>1</v>
      </c>
      <c r="Q549" s="117" t="s">
        <v>368</v>
      </c>
    </row>
    <row r="550" hidden="1">
      <c r="A550" s="108"/>
      <c r="B550" s="220"/>
      <c r="C550" s="134" t="s">
        <v>290</v>
      </c>
      <c r="D550" s="220" t="str">
        <f>vlookup(M550,'Página10'!A:B,2,false)</f>
        <v>INOV00001</v>
      </c>
      <c r="E550" s="134" t="s">
        <v>110</v>
      </c>
      <c r="F550" s="221">
        <v>45001.0</v>
      </c>
      <c r="G550" s="222">
        <v>0.14583333333333334</v>
      </c>
      <c r="H550" s="134" t="s">
        <v>474</v>
      </c>
      <c r="I550" s="223" t="s">
        <v>474</v>
      </c>
      <c r="J550" s="223" t="b">
        <f t="shared" si="1"/>
        <v>1</v>
      </c>
      <c r="K550" s="145" t="s">
        <v>833</v>
      </c>
      <c r="L550" s="156"/>
      <c r="M550" s="134" t="s">
        <v>416</v>
      </c>
      <c r="N550" s="224">
        <v>195.48</v>
      </c>
      <c r="O550" s="117" t="b">
        <f t="shared" si="2"/>
        <v>1</v>
      </c>
      <c r="P550" s="117" t="b">
        <v>1</v>
      </c>
      <c r="Q550" s="117" t="s">
        <v>368</v>
      </c>
    </row>
    <row r="551" hidden="1">
      <c r="A551" s="108"/>
      <c r="B551" s="220"/>
      <c r="C551" s="134" t="s">
        <v>52</v>
      </c>
      <c r="D551" s="220" t="str">
        <f>vlookup(M551,'Página10'!A:B,2,false)</f>
        <v>INOV00013</v>
      </c>
      <c r="E551" s="134" t="s">
        <v>110</v>
      </c>
      <c r="F551" s="221">
        <v>45002.0</v>
      </c>
      <c r="G551" s="222">
        <v>0.041666666666666664</v>
      </c>
      <c r="H551" s="134" t="s">
        <v>411</v>
      </c>
      <c r="I551" s="223" t="s">
        <v>411</v>
      </c>
      <c r="J551" s="223" t="b">
        <f t="shared" si="1"/>
        <v>1</v>
      </c>
      <c r="K551" s="145" t="s">
        <v>835</v>
      </c>
      <c r="L551" s="156"/>
      <c r="M551" s="134" t="s">
        <v>426</v>
      </c>
      <c r="N551" s="224">
        <v>55.85</v>
      </c>
      <c r="O551" s="117" t="b">
        <f t="shared" si="2"/>
        <v>1</v>
      </c>
      <c r="P551" s="117" t="b">
        <v>1</v>
      </c>
      <c r="Q551" s="117" t="s">
        <v>368</v>
      </c>
    </row>
    <row r="552" hidden="1">
      <c r="A552" s="108"/>
      <c r="B552" s="220"/>
      <c r="C552" s="134" t="s">
        <v>290</v>
      </c>
      <c r="D552" s="220" t="str">
        <f>vlookup(M552,'Página10'!A:B,2,false)</f>
        <v>INOV00001</v>
      </c>
      <c r="E552" s="134" t="s">
        <v>110</v>
      </c>
      <c r="F552" s="221">
        <v>45002.0</v>
      </c>
      <c r="G552" s="222">
        <v>0.041666666666666664</v>
      </c>
      <c r="H552" s="134" t="s">
        <v>474</v>
      </c>
      <c r="I552" s="223" t="s">
        <v>474</v>
      </c>
      <c r="J552" s="223" t="b">
        <f t="shared" si="1"/>
        <v>1</v>
      </c>
      <c r="K552" s="145" t="s">
        <v>833</v>
      </c>
      <c r="L552" s="156"/>
      <c r="M552" s="134" t="s">
        <v>416</v>
      </c>
      <c r="N552" s="224">
        <v>55.85</v>
      </c>
      <c r="O552" s="117" t="b">
        <f t="shared" si="2"/>
        <v>1</v>
      </c>
      <c r="P552" s="117" t="b">
        <v>1</v>
      </c>
      <c r="Q552" s="117" t="s">
        <v>368</v>
      </c>
    </row>
    <row r="553" hidden="1">
      <c r="A553" s="108"/>
      <c r="B553" s="220"/>
      <c r="C553" s="134" t="s">
        <v>290</v>
      </c>
      <c r="D553" s="220" t="str">
        <f>vlookup(M553,'Página10'!A:B,2,false)</f>
        <v>INOV00001</v>
      </c>
      <c r="E553" s="134" t="s">
        <v>110</v>
      </c>
      <c r="F553" s="221">
        <v>45002.0</v>
      </c>
      <c r="G553" s="222">
        <v>0.08333333333333333</v>
      </c>
      <c r="H553" s="134" t="s">
        <v>474</v>
      </c>
      <c r="I553" s="223" t="s">
        <v>474</v>
      </c>
      <c r="J553" s="223" t="b">
        <f t="shared" si="1"/>
        <v>1</v>
      </c>
      <c r="K553" s="145" t="s">
        <v>833</v>
      </c>
      <c r="L553" s="156"/>
      <c r="M553" s="134" t="s">
        <v>416</v>
      </c>
      <c r="N553" s="224">
        <v>111.7</v>
      </c>
      <c r="O553" s="117" t="b">
        <f t="shared" si="2"/>
        <v>1</v>
      </c>
      <c r="P553" s="117" t="b">
        <v>1</v>
      </c>
      <c r="Q553" s="117" t="s">
        <v>368</v>
      </c>
    </row>
    <row r="554" hidden="1">
      <c r="A554" s="108"/>
      <c r="B554" s="220"/>
      <c r="C554" s="134" t="s">
        <v>290</v>
      </c>
      <c r="D554" s="220" t="str">
        <f>vlookup(M554,'Página10'!A:B,2,false)</f>
        <v>INOV00001</v>
      </c>
      <c r="E554" s="134" t="s">
        <v>110</v>
      </c>
      <c r="F554" s="221">
        <v>45005.0</v>
      </c>
      <c r="G554" s="222">
        <v>0.125</v>
      </c>
      <c r="H554" s="134" t="s">
        <v>474</v>
      </c>
      <c r="I554" s="223" t="s">
        <v>474</v>
      </c>
      <c r="J554" s="223" t="b">
        <f t="shared" si="1"/>
        <v>1</v>
      </c>
      <c r="K554" s="145" t="s">
        <v>833</v>
      </c>
      <c r="L554" s="156"/>
      <c r="M554" s="134" t="s">
        <v>416</v>
      </c>
      <c r="N554" s="224">
        <v>167.55</v>
      </c>
      <c r="O554" s="117" t="b">
        <f t="shared" si="2"/>
        <v>1</v>
      </c>
      <c r="P554" s="117" t="b">
        <v>1</v>
      </c>
      <c r="Q554" s="117" t="s">
        <v>368</v>
      </c>
    </row>
    <row r="555" hidden="1">
      <c r="A555" s="108"/>
      <c r="B555" s="220"/>
      <c r="C555" s="134" t="s">
        <v>290</v>
      </c>
      <c r="D555" s="220" t="str">
        <f>vlookup(M555,'Página10'!A:B,2,false)</f>
        <v>INOV00001</v>
      </c>
      <c r="E555" s="134" t="s">
        <v>110</v>
      </c>
      <c r="F555" s="221">
        <v>45006.0</v>
      </c>
      <c r="G555" s="222">
        <v>0.0625</v>
      </c>
      <c r="H555" s="134" t="s">
        <v>475</v>
      </c>
      <c r="I555" s="223" t="s">
        <v>475</v>
      </c>
      <c r="J555" s="223" t="b">
        <f t="shared" si="1"/>
        <v>1</v>
      </c>
      <c r="K555" s="145" t="s">
        <v>836</v>
      </c>
      <c r="L555" s="156"/>
      <c r="M555" s="134" t="s">
        <v>416</v>
      </c>
      <c r="N555" s="224">
        <v>83.78</v>
      </c>
      <c r="O555" s="117" t="b">
        <f t="shared" si="2"/>
        <v>1</v>
      </c>
      <c r="P555" s="117" t="b">
        <v>1</v>
      </c>
      <c r="Q555" s="117" t="s">
        <v>368</v>
      </c>
    </row>
    <row r="556" hidden="1">
      <c r="A556" s="108"/>
      <c r="B556" s="220"/>
      <c r="C556" s="134" t="s">
        <v>290</v>
      </c>
      <c r="D556" s="220" t="str">
        <f>vlookup(M556,'Página10'!A:B,2,false)</f>
        <v>INOV00001</v>
      </c>
      <c r="E556" s="134" t="s">
        <v>110</v>
      </c>
      <c r="F556" s="221">
        <v>45006.0</v>
      </c>
      <c r="G556" s="222">
        <v>0.16666666666666666</v>
      </c>
      <c r="H556" s="134" t="s">
        <v>411</v>
      </c>
      <c r="I556" s="223" t="s">
        <v>411</v>
      </c>
      <c r="J556" s="223" t="b">
        <f t="shared" si="1"/>
        <v>1</v>
      </c>
      <c r="K556" s="145" t="s">
        <v>837</v>
      </c>
      <c r="L556" s="156"/>
      <c r="M556" s="134" t="s">
        <v>416</v>
      </c>
      <c r="N556" s="224">
        <v>223.41</v>
      </c>
      <c r="O556" s="117" t="b">
        <f t="shared" si="2"/>
        <v>1</v>
      </c>
      <c r="P556" s="117" t="b">
        <v>1</v>
      </c>
      <c r="Q556" s="117" t="s">
        <v>368</v>
      </c>
    </row>
    <row r="557" hidden="1">
      <c r="A557" s="108"/>
      <c r="B557" s="220"/>
      <c r="C557" s="134" t="s">
        <v>290</v>
      </c>
      <c r="D557" s="220" t="str">
        <f>vlookup(M557,'Página10'!A:B,2,false)</f>
        <v>INOV00001</v>
      </c>
      <c r="E557" s="134" t="s">
        <v>110</v>
      </c>
      <c r="F557" s="221">
        <v>45006.0</v>
      </c>
      <c r="G557" s="222">
        <v>0.08333333333333333</v>
      </c>
      <c r="H557" s="134" t="s">
        <v>474</v>
      </c>
      <c r="I557" s="223" t="s">
        <v>474</v>
      </c>
      <c r="J557" s="223" t="b">
        <f t="shared" si="1"/>
        <v>1</v>
      </c>
      <c r="K557" s="145" t="s">
        <v>838</v>
      </c>
      <c r="L557" s="156"/>
      <c r="M557" s="134" t="s">
        <v>416</v>
      </c>
      <c r="N557" s="224">
        <v>111.7</v>
      </c>
      <c r="O557" s="117" t="b">
        <f t="shared" si="2"/>
        <v>1</v>
      </c>
      <c r="P557" s="117" t="b">
        <v>1</v>
      </c>
      <c r="Q557" s="117" t="s">
        <v>368</v>
      </c>
    </row>
    <row r="558" hidden="1">
      <c r="A558" s="108"/>
      <c r="B558" s="220"/>
      <c r="C558" s="134" t="s">
        <v>56</v>
      </c>
      <c r="D558" s="220" t="str">
        <f>vlookup(M558,'Página10'!A:B,2,false)</f>
        <v>INOV00021</v>
      </c>
      <c r="E558" s="134" t="s">
        <v>110</v>
      </c>
      <c r="F558" s="221">
        <v>45007.0</v>
      </c>
      <c r="G558" s="222">
        <v>0.23958333333333334</v>
      </c>
      <c r="H558" s="134" t="s">
        <v>411</v>
      </c>
      <c r="I558" s="223" t="s">
        <v>411</v>
      </c>
      <c r="J558" s="223" t="b">
        <f t="shared" si="1"/>
        <v>1</v>
      </c>
      <c r="K558" s="145" t="s">
        <v>839</v>
      </c>
      <c r="L558" s="156"/>
      <c r="M558" s="134" t="s">
        <v>436</v>
      </c>
      <c r="N558" s="224">
        <v>321.15</v>
      </c>
      <c r="O558" s="117" t="b">
        <f t="shared" si="2"/>
        <v>1</v>
      </c>
      <c r="P558" s="117" t="b">
        <v>1</v>
      </c>
      <c r="Q558" s="117" t="s">
        <v>368</v>
      </c>
    </row>
    <row r="559" hidden="1">
      <c r="A559" s="108"/>
      <c r="B559" s="220"/>
      <c r="C559" s="134" t="s">
        <v>290</v>
      </c>
      <c r="D559" s="220" t="str">
        <f>vlookup(M559,'Página10'!A:B,2,false)</f>
        <v>INOV00001</v>
      </c>
      <c r="E559" s="134" t="s">
        <v>110</v>
      </c>
      <c r="F559" s="221">
        <v>45007.0</v>
      </c>
      <c r="G559" s="222">
        <v>0.08333333333333333</v>
      </c>
      <c r="H559" s="134" t="s">
        <v>474</v>
      </c>
      <c r="I559" s="223" t="s">
        <v>474</v>
      </c>
      <c r="J559" s="223" t="b">
        <f t="shared" si="1"/>
        <v>1</v>
      </c>
      <c r="K559" s="145" t="s">
        <v>838</v>
      </c>
      <c r="L559" s="156"/>
      <c r="M559" s="134" t="s">
        <v>416</v>
      </c>
      <c r="N559" s="224">
        <v>111.7</v>
      </c>
      <c r="O559" s="117" t="b">
        <f t="shared" si="2"/>
        <v>1</v>
      </c>
      <c r="P559" s="117" t="b">
        <v>1</v>
      </c>
      <c r="Q559" s="117" t="s">
        <v>368</v>
      </c>
    </row>
    <row r="560" hidden="1">
      <c r="A560" s="108"/>
      <c r="B560" s="220"/>
      <c r="C560" s="134" t="s">
        <v>290</v>
      </c>
      <c r="D560" s="220" t="str">
        <f>vlookup(M560,'Página10'!A:B,2,false)</f>
        <v>INOV00001</v>
      </c>
      <c r="E560" s="134" t="s">
        <v>110</v>
      </c>
      <c r="F560" s="221">
        <v>45008.0</v>
      </c>
      <c r="G560" s="222">
        <v>0.10416666666666667</v>
      </c>
      <c r="H560" s="134" t="s">
        <v>411</v>
      </c>
      <c r="I560" s="223" t="s">
        <v>411</v>
      </c>
      <c r="J560" s="223" t="b">
        <f t="shared" si="1"/>
        <v>1</v>
      </c>
      <c r="K560" s="145" t="s">
        <v>818</v>
      </c>
      <c r="L560" s="156"/>
      <c r="M560" s="134" t="s">
        <v>416</v>
      </c>
      <c r="N560" s="224">
        <v>139.63</v>
      </c>
      <c r="O560" s="117" t="b">
        <f t="shared" si="2"/>
        <v>1</v>
      </c>
      <c r="P560" s="117" t="b">
        <v>1</v>
      </c>
      <c r="Q560" s="117" t="s">
        <v>368</v>
      </c>
    </row>
    <row r="561" hidden="1">
      <c r="A561" s="108"/>
      <c r="B561" s="220"/>
      <c r="C561" s="134" t="s">
        <v>56</v>
      </c>
      <c r="D561" s="220" t="str">
        <f>vlookup(M561,'Página10'!A:B,2,false)</f>
        <v>INOV00021</v>
      </c>
      <c r="E561" s="134" t="s">
        <v>110</v>
      </c>
      <c r="F561" s="221">
        <v>45008.0</v>
      </c>
      <c r="G561" s="222">
        <v>0.0625</v>
      </c>
      <c r="H561" s="134" t="s">
        <v>411</v>
      </c>
      <c r="I561" s="223" t="s">
        <v>411</v>
      </c>
      <c r="J561" s="223" t="b">
        <f t="shared" si="1"/>
        <v>1</v>
      </c>
      <c r="K561" s="145" t="s">
        <v>840</v>
      </c>
      <c r="L561" s="156"/>
      <c r="M561" s="134" t="s">
        <v>436</v>
      </c>
      <c r="N561" s="224">
        <v>83.78</v>
      </c>
      <c r="O561" s="117" t="b">
        <f t="shared" si="2"/>
        <v>1</v>
      </c>
      <c r="P561" s="117" t="b">
        <v>1</v>
      </c>
      <c r="Q561" s="117" t="s">
        <v>368</v>
      </c>
    </row>
    <row r="562" hidden="1">
      <c r="A562" s="108"/>
      <c r="B562" s="220"/>
      <c r="C562" s="134" t="s">
        <v>290</v>
      </c>
      <c r="D562" s="220" t="str">
        <f>vlookup(M562,'Página10'!A:B,2,false)</f>
        <v>INOV00001</v>
      </c>
      <c r="E562" s="134" t="s">
        <v>110</v>
      </c>
      <c r="F562" s="221">
        <v>45008.0</v>
      </c>
      <c r="G562" s="222">
        <v>0.08333333333333333</v>
      </c>
      <c r="H562" s="134" t="s">
        <v>474</v>
      </c>
      <c r="I562" s="223" t="s">
        <v>474</v>
      </c>
      <c r="J562" s="223" t="b">
        <f t="shared" si="1"/>
        <v>1</v>
      </c>
      <c r="K562" s="145" t="s">
        <v>833</v>
      </c>
      <c r="L562" s="156"/>
      <c r="M562" s="134" t="s">
        <v>416</v>
      </c>
      <c r="N562" s="224">
        <v>111.7</v>
      </c>
      <c r="O562" s="117" t="b">
        <f t="shared" si="2"/>
        <v>1</v>
      </c>
      <c r="P562" s="117" t="b">
        <v>1</v>
      </c>
      <c r="Q562" s="117" t="s">
        <v>368</v>
      </c>
    </row>
    <row r="563" hidden="1">
      <c r="A563" s="108"/>
      <c r="B563" s="220"/>
      <c r="C563" s="134" t="s">
        <v>56</v>
      </c>
      <c r="D563" s="220" t="str">
        <f>vlookup(M563,'Página10'!A:B,2,false)</f>
        <v>INOV00021</v>
      </c>
      <c r="E563" s="134" t="s">
        <v>110</v>
      </c>
      <c r="F563" s="221">
        <v>45009.0</v>
      </c>
      <c r="G563" s="222">
        <v>0.10416666666666667</v>
      </c>
      <c r="H563" s="134" t="s">
        <v>411</v>
      </c>
      <c r="I563" s="223" t="s">
        <v>411</v>
      </c>
      <c r="J563" s="223" t="b">
        <f t="shared" si="1"/>
        <v>1</v>
      </c>
      <c r="K563" s="145" t="s">
        <v>840</v>
      </c>
      <c r="L563" s="156"/>
      <c r="M563" s="134" t="s">
        <v>436</v>
      </c>
      <c r="N563" s="224">
        <v>139.63</v>
      </c>
      <c r="O563" s="117" t="b">
        <f t="shared" si="2"/>
        <v>1</v>
      </c>
      <c r="P563" s="117" t="b">
        <v>1</v>
      </c>
      <c r="Q563" s="117" t="s">
        <v>368</v>
      </c>
    </row>
    <row r="564" hidden="1">
      <c r="A564" s="108"/>
      <c r="B564" s="220"/>
      <c r="C564" s="134" t="s">
        <v>290</v>
      </c>
      <c r="D564" s="220" t="str">
        <f>vlookup(M564,'Página10'!A:B,2,false)</f>
        <v>INOV00001</v>
      </c>
      <c r="E564" s="134" t="s">
        <v>110</v>
      </c>
      <c r="F564" s="221">
        <v>45009.0</v>
      </c>
      <c r="G564" s="222">
        <v>0.125</v>
      </c>
      <c r="H564" s="134" t="s">
        <v>475</v>
      </c>
      <c r="I564" s="223" t="s">
        <v>475</v>
      </c>
      <c r="J564" s="223" t="b">
        <f t="shared" si="1"/>
        <v>1</v>
      </c>
      <c r="K564" s="145" t="s">
        <v>816</v>
      </c>
      <c r="L564" s="156"/>
      <c r="M564" s="134" t="s">
        <v>416</v>
      </c>
      <c r="N564" s="224">
        <v>167.55</v>
      </c>
      <c r="O564" s="117" t="b">
        <f t="shared" si="2"/>
        <v>1</v>
      </c>
      <c r="P564" s="117" t="b">
        <v>1</v>
      </c>
      <c r="Q564" s="117" t="s">
        <v>368</v>
      </c>
    </row>
    <row r="565" hidden="1">
      <c r="A565" s="108"/>
      <c r="B565" s="220"/>
      <c r="C565" s="134" t="s">
        <v>290</v>
      </c>
      <c r="D565" s="220" t="str">
        <f>vlookup(M565,'Página10'!A:B,2,false)</f>
        <v>INOV00001</v>
      </c>
      <c r="E565" s="134" t="s">
        <v>110</v>
      </c>
      <c r="F565" s="221">
        <v>45009.0</v>
      </c>
      <c r="G565" s="222">
        <v>0.0625</v>
      </c>
      <c r="H565" s="134" t="s">
        <v>474</v>
      </c>
      <c r="I565" s="223" t="s">
        <v>474</v>
      </c>
      <c r="J565" s="223" t="b">
        <f t="shared" si="1"/>
        <v>1</v>
      </c>
      <c r="K565" s="145" t="s">
        <v>833</v>
      </c>
      <c r="L565" s="156"/>
      <c r="M565" s="134" t="s">
        <v>416</v>
      </c>
      <c r="N565" s="224">
        <v>83.78</v>
      </c>
      <c r="O565" s="117" t="b">
        <f t="shared" si="2"/>
        <v>1</v>
      </c>
      <c r="P565" s="117" t="b">
        <v>1</v>
      </c>
      <c r="Q565" s="117" t="s">
        <v>368</v>
      </c>
    </row>
    <row r="566" hidden="1">
      <c r="A566" s="108"/>
      <c r="B566" s="220"/>
      <c r="C566" s="134" t="s">
        <v>290</v>
      </c>
      <c r="D566" s="220" t="str">
        <f>vlookup(M566,'Página10'!A:B,2,false)</f>
        <v>INOV00001</v>
      </c>
      <c r="E566" s="134" t="s">
        <v>110</v>
      </c>
      <c r="F566" s="221">
        <v>45012.0</v>
      </c>
      <c r="G566" s="222">
        <v>0.07291666666666667</v>
      </c>
      <c r="H566" s="134" t="s">
        <v>411</v>
      </c>
      <c r="I566" s="223" t="s">
        <v>411</v>
      </c>
      <c r="J566" s="223" t="b">
        <f t="shared" si="1"/>
        <v>1</v>
      </c>
      <c r="K566" s="145" t="s">
        <v>841</v>
      </c>
      <c r="L566" s="156"/>
      <c r="M566" s="134" t="s">
        <v>416</v>
      </c>
      <c r="N566" s="224">
        <v>97.74</v>
      </c>
      <c r="O566" s="117" t="b">
        <f t="shared" si="2"/>
        <v>1</v>
      </c>
      <c r="P566" s="117" t="b">
        <v>1</v>
      </c>
      <c r="Q566" s="117" t="s">
        <v>368</v>
      </c>
    </row>
    <row r="567" hidden="1">
      <c r="A567" s="108"/>
      <c r="B567" s="220"/>
      <c r="C567" s="134" t="s">
        <v>290</v>
      </c>
      <c r="D567" s="220" t="str">
        <f>vlookup(M567,'Página10'!A:B,2,false)</f>
        <v>INOV00001</v>
      </c>
      <c r="E567" s="134" t="s">
        <v>110</v>
      </c>
      <c r="F567" s="221">
        <v>45012.0</v>
      </c>
      <c r="G567" s="222">
        <v>0.25</v>
      </c>
      <c r="H567" s="134" t="s">
        <v>479</v>
      </c>
      <c r="I567" s="223" t="s">
        <v>479</v>
      </c>
      <c r="J567" s="223" t="b">
        <f t="shared" si="1"/>
        <v>1</v>
      </c>
      <c r="K567" s="145" t="s">
        <v>842</v>
      </c>
      <c r="L567" s="156"/>
      <c r="M567" s="134" t="s">
        <v>416</v>
      </c>
      <c r="N567" s="224">
        <v>0.0</v>
      </c>
      <c r="O567" s="117" t="b">
        <f t="shared" si="2"/>
        <v>0</v>
      </c>
      <c r="P567" s="117" t="b">
        <v>1</v>
      </c>
      <c r="Q567" s="117" t="s">
        <v>368</v>
      </c>
    </row>
    <row r="568" hidden="1">
      <c r="A568" s="108"/>
      <c r="B568" s="220"/>
      <c r="C568" s="134" t="s">
        <v>290</v>
      </c>
      <c r="D568" s="220" t="str">
        <f>vlookup(M568,'Página10'!A:B,2,false)</f>
        <v>INOV00001</v>
      </c>
      <c r="E568" s="134" t="s">
        <v>110</v>
      </c>
      <c r="F568" s="221">
        <v>45013.0</v>
      </c>
      <c r="G568" s="222">
        <v>0.40625</v>
      </c>
      <c r="H568" s="134" t="s">
        <v>411</v>
      </c>
      <c r="I568" s="223" t="s">
        <v>411</v>
      </c>
      <c r="J568" s="223" t="b">
        <f t="shared" si="1"/>
        <v>1</v>
      </c>
      <c r="K568" s="145" t="s">
        <v>843</v>
      </c>
      <c r="L568" s="156"/>
      <c r="M568" s="134" t="s">
        <v>416</v>
      </c>
      <c r="N568" s="224">
        <v>544.55</v>
      </c>
      <c r="O568" s="117" t="b">
        <f t="shared" si="2"/>
        <v>1</v>
      </c>
      <c r="P568" s="117" t="b">
        <v>1</v>
      </c>
      <c r="Q568" s="117" t="s">
        <v>368</v>
      </c>
    </row>
    <row r="569" hidden="1">
      <c r="A569" s="108"/>
      <c r="B569" s="220"/>
      <c r="C569" s="134" t="s">
        <v>290</v>
      </c>
      <c r="D569" s="220" t="str">
        <f>vlookup(M569,'Página10'!A:B,2,false)</f>
        <v>INOV00001</v>
      </c>
      <c r="E569" s="134" t="s">
        <v>110</v>
      </c>
      <c r="F569" s="221">
        <v>45014.0</v>
      </c>
      <c r="G569" s="222">
        <v>0.2916666666666667</v>
      </c>
      <c r="H569" s="134" t="s">
        <v>479</v>
      </c>
      <c r="I569" s="223" t="s">
        <v>479</v>
      </c>
      <c r="J569" s="223" t="b">
        <f t="shared" si="1"/>
        <v>1</v>
      </c>
      <c r="K569" s="145" t="s">
        <v>844</v>
      </c>
      <c r="L569" s="156"/>
      <c r="M569" s="134" t="s">
        <v>416</v>
      </c>
      <c r="N569" s="224">
        <v>0.0</v>
      </c>
      <c r="O569" s="117" t="b">
        <f t="shared" si="2"/>
        <v>0</v>
      </c>
      <c r="P569" s="117" t="b">
        <v>1</v>
      </c>
      <c r="Q569" s="117" t="s">
        <v>368</v>
      </c>
    </row>
    <row r="570" hidden="1">
      <c r="A570" s="108"/>
      <c r="B570" s="220"/>
      <c r="C570" s="134" t="s">
        <v>290</v>
      </c>
      <c r="D570" s="220" t="str">
        <f>vlookup(M570,'Página10'!A:B,2,false)</f>
        <v>INOV00001</v>
      </c>
      <c r="E570" s="134" t="s">
        <v>110</v>
      </c>
      <c r="F570" s="221">
        <v>45014.0</v>
      </c>
      <c r="G570" s="222">
        <v>0.20833333333333334</v>
      </c>
      <c r="H570" s="134" t="s">
        <v>411</v>
      </c>
      <c r="I570" s="223" t="s">
        <v>411</v>
      </c>
      <c r="J570" s="223" t="b">
        <f t="shared" si="1"/>
        <v>1</v>
      </c>
      <c r="K570" s="145" t="s">
        <v>845</v>
      </c>
      <c r="L570" s="156"/>
      <c r="M570" s="134" t="s">
        <v>416</v>
      </c>
      <c r="N570" s="224">
        <v>279.26</v>
      </c>
      <c r="O570" s="117" t="b">
        <f t="shared" si="2"/>
        <v>1</v>
      </c>
      <c r="P570" s="117" t="b">
        <v>1</v>
      </c>
      <c r="Q570" s="117" t="s">
        <v>368</v>
      </c>
    </row>
    <row r="571" hidden="1">
      <c r="A571" s="108"/>
      <c r="B571" s="220"/>
      <c r="C571" s="134" t="s">
        <v>290</v>
      </c>
      <c r="D571" s="220" t="str">
        <f>vlookup(M571,'Página10'!A:B,2,false)</f>
        <v>INOV00001</v>
      </c>
      <c r="E571" s="134" t="s">
        <v>110</v>
      </c>
      <c r="F571" s="221">
        <v>45015.0</v>
      </c>
      <c r="G571" s="222">
        <v>0.08333333333333333</v>
      </c>
      <c r="H571" s="134" t="s">
        <v>411</v>
      </c>
      <c r="I571" s="223" t="s">
        <v>411</v>
      </c>
      <c r="J571" s="223" t="b">
        <f t="shared" si="1"/>
        <v>1</v>
      </c>
      <c r="K571" s="145" t="s">
        <v>846</v>
      </c>
      <c r="L571" s="156"/>
      <c r="M571" s="134" t="s">
        <v>416</v>
      </c>
      <c r="N571" s="224">
        <v>111.7</v>
      </c>
      <c r="O571" s="117" t="b">
        <f t="shared" si="2"/>
        <v>1</v>
      </c>
      <c r="P571" s="117" t="b">
        <v>1</v>
      </c>
      <c r="Q571" s="117" t="s">
        <v>368</v>
      </c>
    </row>
    <row r="572" hidden="1">
      <c r="A572" s="108"/>
      <c r="B572" s="220"/>
      <c r="C572" s="134" t="s">
        <v>290</v>
      </c>
      <c r="D572" s="220" t="str">
        <f>vlookup(M572,'Página10'!A:B,2,false)</f>
        <v>INOV00001</v>
      </c>
      <c r="E572" s="134" t="s">
        <v>110</v>
      </c>
      <c r="F572" s="221">
        <v>45015.0</v>
      </c>
      <c r="G572" s="222">
        <v>0.125</v>
      </c>
      <c r="H572" s="134" t="s">
        <v>474</v>
      </c>
      <c r="I572" s="223" t="s">
        <v>474</v>
      </c>
      <c r="J572" s="223" t="b">
        <f t="shared" si="1"/>
        <v>1</v>
      </c>
      <c r="K572" s="145" t="s">
        <v>838</v>
      </c>
      <c r="L572" s="156"/>
      <c r="M572" s="134" t="s">
        <v>416</v>
      </c>
      <c r="N572" s="224">
        <v>167.55</v>
      </c>
      <c r="O572" s="117" t="b">
        <f t="shared" si="2"/>
        <v>1</v>
      </c>
      <c r="P572" s="117" t="b">
        <v>1</v>
      </c>
      <c r="Q572" s="117" t="s">
        <v>368</v>
      </c>
    </row>
    <row r="573" hidden="1">
      <c r="A573" s="108"/>
      <c r="B573" s="220"/>
      <c r="C573" s="134" t="s">
        <v>290</v>
      </c>
      <c r="D573" s="220" t="str">
        <f>vlookup(M573,'Página10'!A:B,2,false)</f>
        <v>INOV00001</v>
      </c>
      <c r="E573" s="134" t="s">
        <v>110</v>
      </c>
      <c r="F573" s="221">
        <v>45016.0</v>
      </c>
      <c r="G573" s="222">
        <v>0.09375</v>
      </c>
      <c r="H573" s="134" t="s">
        <v>479</v>
      </c>
      <c r="I573" s="223" t="s">
        <v>479</v>
      </c>
      <c r="J573" s="223" t="b">
        <f t="shared" si="1"/>
        <v>1</v>
      </c>
      <c r="K573" s="145" t="s">
        <v>847</v>
      </c>
      <c r="L573" s="156"/>
      <c r="M573" s="134" t="s">
        <v>416</v>
      </c>
      <c r="N573" s="224">
        <v>0.0</v>
      </c>
      <c r="O573" s="117" t="b">
        <f t="shared" si="2"/>
        <v>0</v>
      </c>
      <c r="P573" s="117" t="b">
        <v>1</v>
      </c>
      <c r="Q573" s="117" t="s">
        <v>368</v>
      </c>
    </row>
    <row r="574" hidden="1">
      <c r="A574" s="108"/>
      <c r="B574" s="220"/>
      <c r="C574" s="134" t="s">
        <v>49</v>
      </c>
      <c r="D574" s="220" t="str">
        <f>vlookup(M574,'Página10'!A:B,2,false)</f>
        <v>INOV00004</v>
      </c>
      <c r="E574" s="134" t="s">
        <v>128</v>
      </c>
      <c r="F574" s="221">
        <v>44930.0</v>
      </c>
      <c r="G574" s="222">
        <v>0.125</v>
      </c>
      <c r="H574" s="134" t="s">
        <v>411</v>
      </c>
      <c r="I574" s="223" t="s">
        <v>411</v>
      </c>
      <c r="J574" s="223" t="b">
        <f t="shared" si="1"/>
        <v>1</v>
      </c>
      <c r="K574" s="145" t="s">
        <v>848</v>
      </c>
      <c r="L574" s="156"/>
      <c r="M574" s="134" t="s">
        <v>421</v>
      </c>
      <c r="N574" s="224">
        <v>98.63</v>
      </c>
      <c r="O574" s="117" t="b">
        <f t="shared" si="2"/>
        <v>1</v>
      </c>
      <c r="P574" s="117" t="b">
        <v>1</v>
      </c>
      <c r="Q574" s="117" t="s">
        <v>368</v>
      </c>
    </row>
    <row r="575" hidden="1">
      <c r="A575" s="108"/>
      <c r="B575" s="220"/>
      <c r="C575" s="134" t="s">
        <v>49</v>
      </c>
      <c r="D575" s="220" t="str">
        <f>vlookup(M575,'Página10'!A:B,2,false)</f>
        <v>INOV00004</v>
      </c>
      <c r="E575" s="134" t="s">
        <v>128</v>
      </c>
      <c r="F575" s="221">
        <v>44935.0</v>
      </c>
      <c r="G575" s="222">
        <v>0.125</v>
      </c>
      <c r="H575" s="134" t="s">
        <v>411</v>
      </c>
      <c r="I575" s="223" t="s">
        <v>411</v>
      </c>
      <c r="J575" s="223" t="b">
        <f t="shared" si="1"/>
        <v>1</v>
      </c>
      <c r="K575" s="145" t="s">
        <v>849</v>
      </c>
      <c r="L575" s="156"/>
      <c r="M575" s="134" t="s">
        <v>421</v>
      </c>
      <c r="N575" s="224">
        <v>98.63</v>
      </c>
      <c r="O575" s="117" t="b">
        <f t="shared" si="2"/>
        <v>1</v>
      </c>
      <c r="P575" s="117" t="b">
        <v>1</v>
      </c>
      <c r="Q575" s="117" t="s">
        <v>368</v>
      </c>
    </row>
    <row r="576" hidden="1">
      <c r="A576" s="108"/>
      <c r="B576" s="220"/>
      <c r="C576" s="134" t="s">
        <v>433</v>
      </c>
      <c r="D576" s="220" t="str">
        <f>vlookup(M576,'Página10'!A:B,2,false)</f>
        <v>INOV00019</v>
      </c>
      <c r="E576" s="134" t="s">
        <v>128</v>
      </c>
      <c r="F576" s="221">
        <v>44935.0</v>
      </c>
      <c r="G576" s="222">
        <v>0.0625</v>
      </c>
      <c r="H576" s="134" t="s">
        <v>479</v>
      </c>
      <c r="I576" s="223" t="s">
        <v>479</v>
      </c>
      <c r="J576" s="223" t="b">
        <f t="shared" si="1"/>
        <v>1</v>
      </c>
      <c r="K576" s="145" t="s">
        <v>850</v>
      </c>
      <c r="L576" s="156"/>
      <c r="M576" s="134" t="s">
        <v>432</v>
      </c>
      <c r="N576" s="224">
        <v>0.0</v>
      </c>
      <c r="O576" s="117" t="b">
        <f t="shared" si="2"/>
        <v>0</v>
      </c>
      <c r="P576" s="117" t="b">
        <v>0</v>
      </c>
      <c r="Q576" s="117" t="s">
        <v>368</v>
      </c>
    </row>
    <row r="577" hidden="1">
      <c r="A577" s="108"/>
      <c r="B577" s="220"/>
      <c r="C577" s="134" t="s">
        <v>54</v>
      </c>
      <c r="D577" s="220" t="str">
        <f>vlookup(M577,'Página10'!A:B,2,false)</f>
        <v>INOV00016</v>
      </c>
      <c r="E577" s="134" t="s">
        <v>128</v>
      </c>
      <c r="F577" s="221">
        <v>44936.0</v>
      </c>
      <c r="G577" s="222">
        <v>0.041666666666666664</v>
      </c>
      <c r="H577" s="134" t="s">
        <v>479</v>
      </c>
      <c r="I577" s="223" t="s">
        <v>479</v>
      </c>
      <c r="J577" s="223" t="b">
        <f t="shared" si="1"/>
        <v>1</v>
      </c>
      <c r="K577" s="145" t="s">
        <v>851</v>
      </c>
      <c r="L577" s="156"/>
      <c r="M577" s="134" t="s">
        <v>428</v>
      </c>
      <c r="N577" s="224">
        <v>0.0</v>
      </c>
      <c r="O577" s="117" t="b">
        <f t="shared" si="2"/>
        <v>0</v>
      </c>
      <c r="P577" s="117" t="b">
        <v>1</v>
      </c>
      <c r="Q577" s="117" t="s">
        <v>368</v>
      </c>
    </row>
    <row r="578" hidden="1">
      <c r="A578" s="108"/>
      <c r="B578" s="220"/>
      <c r="C578" s="134" t="s">
        <v>54</v>
      </c>
      <c r="D578" s="220" t="str">
        <f>vlookup(M578,'Página10'!A:B,2,false)</f>
        <v>INOV00016</v>
      </c>
      <c r="E578" s="134" t="s">
        <v>128</v>
      </c>
      <c r="F578" s="221">
        <v>44938.0</v>
      </c>
      <c r="G578" s="222">
        <v>0.08333333333333333</v>
      </c>
      <c r="H578" s="134" t="s">
        <v>475</v>
      </c>
      <c r="I578" s="223" t="s">
        <v>475</v>
      </c>
      <c r="J578" s="223" t="b">
        <f t="shared" si="1"/>
        <v>1</v>
      </c>
      <c r="K578" s="145" t="s">
        <v>852</v>
      </c>
      <c r="L578" s="156"/>
      <c r="M578" s="134" t="s">
        <v>428</v>
      </c>
      <c r="N578" s="224">
        <v>65.75</v>
      </c>
      <c r="O578" s="117" t="b">
        <f t="shared" si="2"/>
        <v>1</v>
      </c>
      <c r="P578" s="117" t="b">
        <v>1</v>
      </c>
      <c r="Q578" s="117" t="s">
        <v>368</v>
      </c>
    </row>
    <row r="579" hidden="1">
      <c r="A579" s="108"/>
      <c r="B579" s="220"/>
      <c r="C579" s="134" t="s">
        <v>49</v>
      </c>
      <c r="D579" s="220" t="str">
        <f>vlookup(M579,'Página10'!A:B,2,false)</f>
        <v>INOV00004</v>
      </c>
      <c r="E579" s="134" t="s">
        <v>128</v>
      </c>
      <c r="F579" s="221">
        <v>44942.0</v>
      </c>
      <c r="G579" s="222">
        <v>0.125</v>
      </c>
      <c r="H579" s="134" t="s">
        <v>479</v>
      </c>
      <c r="I579" s="223" t="s">
        <v>479</v>
      </c>
      <c r="J579" s="223" t="b">
        <f t="shared" si="1"/>
        <v>1</v>
      </c>
      <c r="K579" s="145" t="s">
        <v>853</v>
      </c>
      <c r="L579" s="156"/>
      <c r="M579" s="134" t="s">
        <v>421</v>
      </c>
      <c r="N579" s="224">
        <v>0.0</v>
      </c>
      <c r="O579" s="117" t="b">
        <f t="shared" si="2"/>
        <v>0</v>
      </c>
      <c r="P579" s="117" t="b">
        <v>1</v>
      </c>
      <c r="Q579" s="117" t="s">
        <v>368</v>
      </c>
    </row>
    <row r="580" hidden="1">
      <c r="A580" s="108"/>
      <c r="B580" s="220"/>
      <c r="C580" s="134" t="s">
        <v>441</v>
      </c>
      <c r="D580" s="220" t="str">
        <f>vlookup(M580,'Página10'!A:B,2,false)</f>
        <v>INOV00025</v>
      </c>
      <c r="E580" s="134" t="s">
        <v>128</v>
      </c>
      <c r="F580" s="221">
        <v>44942.0</v>
      </c>
      <c r="G580" s="222">
        <v>0.041666666666666664</v>
      </c>
      <c r="H580" s="134" t="s">
        <v>479</v>
      </c>
      <c r="I580" s="223" t="s">
        <v>479</v>
      </c>
      <c r="J580" s="223" t="b">
        <f t="shared" si="1"/>
        <v>1</v>
      </c>
      <c r="K580" s="145" t="s">
        <v>854</v>
      </c>
      <c r="L580" s="156"/>
      <c r="M580" s="134" t="s">
        <v>440</v>
      </c>
      <c r="N580" s="224">
        <v>0.0</v>
      </c>
      <c r="O580" s="117" t="b">
        <f t="shared" si="2"/>
        <v>0</v>
      </c>
      <c r="P580" s="117" t="b">
        <v>0</v>
      </c>
      <c r="Q580" s="117" t="s">
        <v>368</v>
      </c>
    </row>
    <row r="581" hidden="1">
      <c r="A581" s="108"/>
      <c r="B581" s="220"/>
      <c r="C581" s="134" t="s">
        <v>49</v>
      </c>
      <c r="D581" s="220" t="str">
        <f>vlookup(M581,'Página10'!A:B,2,false)</f>
        <v>INOV00004</v>
      </c>
      <c r="E581" s="134" t="s">
        <v>128</v>
      </c>
      <c r="F581" s="221">
        <v>44943.0</v>
      </c>
      <c r="G581" s="222">
        <v>0.08333333333333333</v>
      </c>
      <c r="H581" s="134" t="s">
        <v>411</v>
      </c>
      <c r="I581" s="223" t="s">
        <v>411</v>
      </c>
      <c r="J581" s="223" t="b">
        <f t="shared" si="1"/>
        <v>1</v>
      </c>
      <c r="K581" s="145" t="s">
        <v>855</v>
      </c>
      <c r="L581" s="156"/>
      <c r="M581" s="134" t="s">
        <v>421</v>
      </c>
      <c r="N581" s="224">
        <v>65.75</v>
      </c>
      <c r="O581" s="117" t="b">
        <f t="shared" si="2"/>
        <v>1</v>
      </c>
      <c r="P581" s="117" t="b">
        <v>1</v>
      </c>
      <c r="Q581" s="117" t="s">
        <v>368</v>
      </c>
    </row>
    <row r="582" hidden="1">
      <c r="A582" s="108"/>
      <c r="B582" s="220"/>
      <c r="C582" s="134" t="s">
        <v>54</v>
      </c>
      <c r="D582" s="220" t="str">
        <f>vlookup(M582,'Página10'!A:B,2,false)</f>
        <v>INOV00016</v>
      </c>
      <c r="E582" s="134" t="s">
        <v>128</v>
      </c>
      <c r="F582" s="221">
        <v>44946.0</v>
      </c>
      <c r="G582" s="222">
        <v>0.15625</v>
      </c>
      <c r="H582" s="134" t="s">
        <v>411</v>
      </c>
      <c r="I582" s="223" t="s">
        <v>411</v>
      </c>
      <c r="J582" s="223" t="b">
        <f t="shared" si="1"/>
        <v>1</v>
      </c>
      <c r="K582" s="145" t="s">
        <v>856</v>
      </c>
      <c r="L582" s="156"/>
      <c r="M582" s="134" t="s">
        <v>428</v>
      </c>
      <c r="N582" s="224">
        <v>123.29</v>
      </c>
      <c r="O582" s="117" t="b">
        <f t="shared" si="2"/>
        <v>1</v>
      </c>
      <c r="P582" s="117" t="b">
        <v>1</v>
      </c>
      <c r="Q582" s="117" t="s">
        <v>368</v>
      </c>
    </row>
    <row r="583" hidden="1">
      <c r="A583" s="108"/>
      <c r="B583" s="220"/>
      <c r="C583" s="134" t="s">
        <v>49</v>
      </c>
      <c r="D583" s="220" t="str">
        <f>vlookup(M583,'Página10'!A:B,2,false)</f>
        <v>INOV00004</v>
      </c>
      <c r="E583" s="134" t="s">
        <v>128</v>
      </c>
      <c r="F583" s="221">
        <v>44951.0</v>
      </c>
      <c r="G583" s="222">
        <v>0.041666666666666664</v>
      </c>
      <c r="H583" s="134" t="s">
        <v>411</v>
      </c>
      <c r="I583" s="223" t="s">
        <v>411</v>
      </c>
      <c r="J583" s="223" t="b">
        <f t="shared" si="1"/>
        <v>1</v>
      </c>
      <c r="K583" s="145" t="s">
        <v>857</v>
      </c>
      <c r="L583" s="156"/>
      <c r="M583" s="134" t="s">
        <v>421</v>
      </c>
      <c r="N583" s="224">
        <v>32.88</v>
      </c>
      <c r="O583" s="117" t="b">
        <f t="shared" si="2"/>
        <v>1</v>
      </c>
      <c r="P583" s="117" t="b">
        <v>1</v>
      </c>
      <c r="Q583" s="117" t="s">
        <v>368</v>
      </c>
    </row>
    <row r="584" hidden="1">
      <c r="A584" s="108"/>
      <c r="B584" s="220"/>
      <c r="C584" s="134" t="s">
        <v>53</v>
      </c>
      <c r="D584" s="220" t="str">
        <f>vlookup(M584,'Página10'!A:B,2,false)</f>
        <v>INOV00014</v>
      </c>
      <c r="E584" s="134" t="s">
        <v>128</v>
      </c>
      <c r="F584" s="221">
        <v>44956.0</v>
      </c>
      <c r="G584" s="222">
        <v>0.14583333333333334</v>
      </c>
      <c r="H584" s="134" t="s">
        <v>411</v>
      </c>
      <c r="I584" s="223" t="s">
        <v>411</v>
      </c>
      <c r="J584" s="223" t="b">
        <f t="shared" si="1"/>
        <v>1</v>
      </c>
      <c r="K584" s="145" t="s">
        <v>858</v>
      </c>
      <c r="L584" s="156"/>
      <c r="M584" s="134" t="s">
        <v>427</v>
      </c>
      <c r="N584" s="224">
        <v>115.07</v>
      </c>
      <c r="O584" s="117" t="b">
        <f t="shared" si="2"/>
        <v>1</v>
      </c>
      <c r="P584" s="117" t="b">
        <v>1</v>
      </c>
      <c r="Q584" s="117" t="s">
        <v>368</v>
      </c>
    </row>
    <row r="585" hidden="1">
      <c r="A585" s="108"/>
      <c r="B585" s="220"/>
      <c r="C585" s="134" t="s">
        <v>53</v>
      </c>
      <c r="D585" s="220" t="str">
        <f>vlookup(M585,'Página10'!A:B,2,false)</f>
        <v>INOV00014</v>
      </c>
      <c r="E585" s="134" t="s">
        <v>128</v>
      </c>
      <c r="F585" s="221">
        <v>44959.0</v>
      </c>
      <c r="G585" s="222">
        <v>0.020833333333333332</v>
      </c>
      <c r="H585" s="134" t="s">
        <v>479</v>
      </c>
      <c r="I585" s="223" t="s">
        <v>479</v>
      </c>
      <c r="J585" s="223" t="b">
        <f t="shared" si="1"/>
        <v>1</v>
      </c>
      <c r="K585" s="145" t="s">
        <v>859</v>
      </c>
      <c r="L585" s="156"/>
      <c r="M585" s="134" t="s">
        <v>427</v>
      </c>
      <c r="N585" s="224">
        <v>0.0</v>
      </c>
      <c r="O585" s="117" t="b">
        <f t="shared" si="2"/>
        <v>0</v>
      </c>
      <c r="P585" s="117" t="b">
        <v>1</v>
      </c>
      <c r="Q585" s="117" t="s">
        <v>368</v>
      </c>
    </row>
    <row r="586" hidden="1">
      <c r="A586" s="108"/>
      <c r="B586" s="220"/>
      <c r="C586" s="134" t="s">
        <v>441</v>
      </c>
      <c r="D586" s="220" t="str">
        <f>vlookup(M586,'Página10'!A:B,2,false)</f>
        <v>INOV00025</v>
      </c>
      <c r="E586" s="134" t="s">
        <v>128</v>
      </c>
      <c r="F586" s="221">
        <v>44964.0</v>
      </c>
      <c r="G586" s="222">
        <v>0.20833333333333334</v>
      </c>
      <c r="H586" s="134" t="s">
        <v>411</v>
      </c>
      <c r="I586" s="223" t="s">
        <v>411</v>
      </c>
      <c r="J586" s="223" t="b">
        <f t="shared" si="1"/>
        <v>1</v>
      </c>
      <c r="K586" s="145" t="s">
        <v>860</v>
      </c>
      <c r="L586" s="156"/>
      <c r="M586" s="134" t="s">
        <v>440</v>
      </c>
      <c r="N586" s="224">
        <v>0.0</v>
      </c>
      <c r="O586" s="117" t="b">
        <f t="shared" si="2"/>
        <v>1</v>
      </c>
      <c r="P586" s="117" t="b">
        <v>0</v>
      </c>
      <c r="Q586" s="117" t="s">
        <v>368</v>
      </c>
    </row>
    <row r="587" hidden="1">
      <c r="A587" s="108"/>
      <c r="B587" s="220"/>
      <c r="C587" s="134" t="s">
        <v>446</v>
      </c>
      <c r="D587" s="220" t="str">
        <f>vlookup(M587,'Página10'!A:B,2,false)</f>
        <v>INOV00028</v>
      </c>
      <c r="E587" s="134" t="s">
        <v>128</v>
      </c>
      <c r="F587" s="221">
        <v>44965.0</v>
      </c>
      <c r="G587" s="222">
        <v>0.10416666666666667</v>
      </c>
      <c r="H587" s="134" t="s">
        <v>479</v>
      </c>
      <c r="I587" s="223" t="s">
        <v>479</v>
      </c>
      <c r="J587" s="223" t="b">
        <f t="shared" si="1"/>
        <v>1</v>
      </c>
      <c r="K587" s="145" t="s">
        <v>861</v>
      </c>
      <c r="L587" s="156"/>
      <c r="M587" s="134" t="s">
        <v>445</v>
      </c>
      <c r="N587" s="224">
        <v>0.0</v>
      </c>
      <c r="O587" s="117" t="b">
        <f t="shared" si="2"/>
        <v>0</v>
      </c>
      <c r="P587" s="117" t="b">
        <v>0</v>
      </c>
      <c r="Q587" s="117" t="s">
        <v>368</v>
      </c>
    </row>
    <row r="588" hidden="1">
      <c r="A588" s="108"/>
      <c r="B588" s="220"/>
      <c r="C588" s="134" t="s">
        <v>441</v>
      </c>
      <c r="D588" s="220" t="str">
        <f>vlookup(M588,'Página10'!A:B,2,false)</f>
        <v>INOV00025</v>
      </c>
      <c r="E588" s="134" t="s">
        <v>128</v>
      </c>
      <c r="F588" s="221">
        <v>44965.0</v>
      </c>
      <c r="G588" s="222">
        <v>0.08333333333333333</v>
      </c>
      <c r="H588" s="134" t="s">
        <v>411</v>
      </c>
      <c r="I588" s="223" t="s">
        <v>411</v>
      </c>
      <c r="J588" s="223" t="b">
        <f t="shared" si="1"/>
        <v>1</v>
      </c>
      <c r="K588" s="145" t="s">
        <v>862</v>
      </c>
      <c r="L588" s="156"/>
      <c r="M588" s="134" t="s">
        <v>440</v>
      </c>
      <c r="N588" s="224">
        <v>0.0</v>
      </c>
      <c r="O588" s="117" t="b">
        <f t="shared" si="2"/>
        <v>1</v>
      </c>
      <c r="P588" s="117" t="b">
        <v>0</v>
      </c>
      <c r="Q588" s="117" t="s">
        <v>368</v>
      </c>
    </row>
    <row r="589" hidden="1">
      <c r="A589" s="108"/>
      <c r="B589" s="220"/>
      <c r="C589" s="134" t="s">
        <v>54</v>
      </c>
      <c r="D589" s="220" t="str">
        <f>vlookup(M589,'Página10'!A:B,2,false)</f>
        <v>INOV00016</v>
      </c>
      <c r="E589" s="134" t="s">
        <v>128</v>
      </c>
      <c r="F589" s="221">
        <v>44966.0</v>
      </c>
      <c r="G589" s="222">
        <v>0.041666666666666664</v>
      </c>
      <c r="H589" s="134" t="s">
        <v>479</v>
      </c>
      <c r="I589" s="223" t="s">
        <v>479</v>
      </c>
      <c r="J589" s="223" t="b">
        <f t="shared" si="1"/>
        <v>1</v>
      </c>
      <c r="K589" s="145" t="s">
        <v>863</v>
      </c>
      <c r="L589" s="156"/>
      <c r="M589" s="134" t="s">
        <v>428</v>
      </c>
      <c r="N589" s="224">
        <v>0.0</v>
      </c>
      <c r="O589" s="117" t="b">
        <f t="shared" si="2"/>
        <v>0</v>
      </c>
      <c r="P589" s="117" t="b">
        <v>1</v>
      </c>
      <c r="Q589" s="117" t="s">
        <v>368</v>
      </c>
    </row>
    <row r="590" hidden="1">
      <c r="A590" s="108"/>
      <c r="B590" s="220"/>
      <c r="C590" s="134" t="s">
        <v>441</v>
      </c>
      <c r="D590" s="220" t="str">
        <f>vlookup(M590,'Página10'!A:B,2,false)</f>
        <v>INOV00025</v>
      </c>
      <c r="E590" s="134" t="s">
        <v>128</v>
      </c>
      <c r="F590" s="221">
        <v>44966.0</v>
      </c>
      <c r="G590" s="222">
        <v>0.16666666666666666</v>
      </c>
      <c r="H590" s="134" t="s">
        <v>411</v>
      </c>
      <c r="I590" s="223" t="s">
        <v>411</v>
      </c>
      <c r="J590" s="223" t="b">
        <f t="shared" si="1"/>
        <v>1</v>
      </c>
      <c r="K590" s="145" t="s">
        <v>864</v>
      </c>
      <c r="L590" s="156"/>
      <c r="M590" s="134" t="s">
        <v>440</v>
      </c>
      <c r="N590" s="224">
        <v>0.0</v>
      </c>
      <c r="O590" s="117" t="b">
        <f t="shared" si="2"/>
        <v>1</v>
      </c>
      <c r="P590" s="117" t="b">
        <v>0</v>
      </c>
      <c r="Q590" s="117" t="s">
        <v>368</v>
      </c>
    </row>
    <row r="591" hidden="1">
      <c r="A591" s="108"/>
      <c r="B591" s="220"/>
      <c r="C591" s="134" t="s">
        <v>441</v>
      </c>
      <c r="D591" s="220" t="str">
        <f>vlookup(M591,'Página10'!A:B,2,false)</f>
        <v>INOV00025</v>
      </c>
      <c r="E591" s="134" t="s">
        <v>128</v>
      </c>
      <c r="F591" s="221">
        <v>44967.0</v>
      </c>
      <c r="G591" s="222">
        <v>0.10416666666666667</v>
      </c>
      <c r="H591" s="134" t="s">
        <v>411</v>
      </c>
      <c r="I591" s="223" t="s">
        <v>411</v>
      </c>
      <c r="J591" s="223" t="b">
        <f t="shared" si="1"/>
        <v>1</v>
      </c>
      <c r="K591" s="145" t="s">
        <v>865</v>
      </c>
      <c r="L591" s="156"/>
      <c r="M591" s="134" t="s">
        <v>440</v>
      </c>
      <c r="N591" s="224">
        <v>0.0</v>
      </c>
      <c r="O591" s="117" t="b">
        <f t="shared" si="2"/>
        <v>1</v>
      </c>
      <c r="P591" s="117" t="b">
        <v>0</v>
      </c>
      <c r="Q591" s="117" t="s">
        <v>368</v>
      </c>
    </row>
    <row r="592" hidden="1">
      <c r="A592" s="108"/>
      <c r="B592" s="220"/>
      <c r="C592" s="134" t="s">
        <v>54</v>
      </c>
      <c r="D592" s="220" t="str">
        <f>vlookup(M592,'Página10'!A:B,2,false)</f>
        <v>INOV00016</v>
      </c>
      <c r="E592" s="134" t="s">
        <v>128</v>
      </c>
      <c r="F592" s="221">
        <v>44970.0</v>
      </c>
      <c r="G592" s="222">
        <v>0.0625</v>
      </c>
      <c r="H592" s="134" t="s">
        <v>411</v>
      </c>
      <c r="I592" s="223" t="s">
        <v>411</v>
      </c>
      <c r="J592" s="223" t="b">
        <f t="shared" si="1"/>
        <v>1</v>
      </c>
      <c r="K592" s="145" t="s">
        <v>866</v>
      </c>
      <c r="L592" s="156"/>
      <c r="M592" s="134" t="s">
        <v>428</v>
      </c>
      <c r="N592" s="224">
        <v>63.82</v>
      </c>
      <c r="O592" s="117" t="b">
        <f t="shared" si="2"/>
        <v>1</v>
      </c>
      <c r="P592" s="117" t="b">
        <v>1</v>
      </c>
      <c r="Q592" s="117" t="s">
        <v>368</v>
      </c>
    </row>
    <row r="593" hidden="1">
      <c r="A593" s="108"/>
      <c r="B593" s="220"/>
      <c r="C593" s="134" t="s">
        <v>53</v>
      </c>
      <c r="D593" s="220" t="str">
        <f>vlookup(M593,'Página10'!A:B,2,false)</f>
        <v>INOV00014</v>
      </c>
      <c r="E593" s="134" t="s">
        <v>128</v>
      </c>
      <c r="F593" s="221">
        <v>44971.0</v>
      </c>
      <c r="G593" s="222">
        <v>0.5</v>
      </c>
      <c r="H593" s="134" t="s">
        <v>411</v>
      </c>
      <c r="I593" s="223" t="s">
        <v>411</v>
      </c>
      <c r="J593" s="223" t="b">
        <f t="shared" si="1"/>
        <v>1</v>
      </c>
      <c r="K593" s="145" t="s">
        <v>867</v>
      </c>
      <c r="L593" s="156"/>
      <c r="M593" s="134" t="s">
        <v>427</v>
      </c>
      <c r="N593" s="224">
        <v>510.56</v>
      </c>
      <c r="O593" s="117" t="b">
        <f t="shared" si="2"/>
        <v>1</v>
      </c>
      <c r="P593" s="117" t="b">
        <v>1</v>
      </c>
      <c r="Q593" s="117" t="s">
        <v>368</v>
      </c>
    </row>
    <row r="594">
      <c r="A594" s="108"/>
      <c r="B594" s="220"/>
      <c r="C594" s="134" t="s">
        <v>60</v>
      </c>
      <c r="D594" s="220" t="str">
        <f>vlookup(M594,'Página10'!A:B,2,false)</f>
        <v>INOV00027</v>
      </c>
      <c r="E594" s="134" t="s">
        <v>128</v>
      </c>
      <c r="F594" s="221">
        <v>44974.0</v>
      </c>
      <c r="G594" s="222">
        <v>0.08333333333333333</v>
      </c>
      <c r="H594" s="134" t="s">
        <v>475</v>
      </c>
      <c r="I594" s="223" t="s">
        <v>475</v>
      </c>
      <c r="J594" s="223" t="b">
        <f t="shared" si="1"/>
        <v>1</v>
      </c>
      <c r="K594" s="145" t="s">
        <v>868</v>
      </c>
      <c r="L594" s="156"/>
      <c r="M594" s="134" t="s">
        <v>444</v>
      </c>
      <c r="N594" s="224">
        <v>85.09</v>
      </c>
      <c r="O594" s="117" t="b">
        <f t="shared" si="2"/>
        <v>1</v>
      </c>
      <c r="P594" s="117" t="b">
        <v>1</v>
      </c>
      <c r="Q594" s="117" t="s">
        <v>368</v>
      </c>
    </row>
    <row r="595" hidden="1">
      <c r="A595" s="108"/>
      <c r="B595" s="220"/>
      <c r="C595" s="134" t="s">
        <v>441</v>
      </c>
      <c r="D595" s="220" t="str">
        <f>vlookup(M595,'Página10'!A:B,2,false)</f>
        <v>INOV00025</v>
      </c>
      <c r="E595" s="134" t="s">
        <v>128</v>
      </c>
      <c r="F595" s="221">
        <v>44980.0</v>
      </c>
      <c r="G595" s="222">
        <v>0.09375</v>
      </c>
      <c r="H595" s="134" t="s">
        <v>411</v>
      </c>
      <c r="I595" s="223" t="s">
        <v>411</v>
      </c>
      <c r="J595" s="223" t="b">
        <f t="shared" si="1"/>
        <v>1</v>
      </c>
      <c r="K595" s="145" t="s">
        <v>869</v>
      </c>
      <c r="L595" s="156"/>
      <c r="M595" s="134" t="s">
        <v>440</v>
      </c>
      <c r="N595" s="224">
        <v>0.0</v>
      </c>
      <c r="O595" s="117" t="b">
        <f t="shared" si="2"/>
        <v>1</v>
      </c>
      <c r="P595" s="117" t="b">
        <v>0</v>
      </c>
      <c r="Q595" s="117" t="s">
        <v>368</v>
      </c>
    </row>
    <row r="596" hidden="1">
      <c r="A596" s="108"/>
      <c r="B596" s="220"/>
      <c r="C596" s="134" t="s">
        <v>441</v>
      </c>
      <c r="D596" s="220" t="str">
        <f>vlookup(M596,'Página10'!A:B,2,false)</f>
        <v>INOV00025</v>
      </c>
      <c r="E596" s="134" t="s">
        <v>128</v>
      </c>
      <c r="F596" s="221">
        <v>44981.0</v>
      </c>
      <c r="G596" s="222">
        <v>0.125</v>
      </c>
      <c r="H596" s="134" t="s">
        <v>479</v>
      </c>
      <c r="I596" s="223" t="s">
        <v>479</v>
      </c>
      <c r="J596" s="223" t="b">
        <f t="shared" si="1"/>
        <v>1</v>
      </c>
      <c r="K596" s="145" t="s">
        <v>870</v>
      </c>
      <c r="L596" s="156"/>
      <c r="M596" s="134" t="s">
        <v>440</v>
      </c>
      <c r="N596" s="224">
        <v>0.0</v>
      </c>
      <c r="O596" s="117" t="b">
        <f t="shared" si="2"/>
        <v>0</v>
      </c>
      <c r="P596" s="117" t="b">
        <v>0</v>
      </c>
      <c r="Q596" s="117" t="s">
        <v>368</v>
      </c>
    </row>
    <row r="597" hidden="1">
      <c r="A597" s="108"/>
      <c r="B597" s="220"/>
      <c r="C597" s="134" t="s">
        <v>49</v>
      </c>
      <c r="D597" s="220" t="str">
        <f>vlookup(M597,'Página10'!A:B,2,false)</f>
        <v>INOV00004</v>
      </c>
      <c r="E597" s="134" t="s">
        <v>128</v>
      </c>
      <c r="F597" s="221">
        <v>44981.0</v>
      </c>
      <c r="G597" s="222">
        <v>0.020833333333333332</v>
      </c>
      <c r="H597" s="134" t="s">
        <v>479</v>
      </c>
      <c r="I597" s="223" t="s">
        <v>479</v>
      </c>
      <c r="J597" s="223" t="b">
        <f t="shared" si="1"/>
        <v>1</v>
      </c>
      <c r="K597" s="145" t="s">
        <v>871</v>
      </c>
      <c r="L597" s="156"/>
      <c r="M597" s="134" t="s">
        <v>421</v>
      </c>
      <c r="N597" s="224">
        <v>0.0</v>
      </c>
      <c r="O597" s="117" t="b">
        <f t="shared" si="2"/>
        <v>0</v>
      </c>
      <c r="P597" s="117" t="b">
        <v>1</v>
      </c>
      <c r="Q597" s="117" t="s">
        <v>368</v>
      </c>
    </row>
    <row r="598" hidden="1">
      <c r="A598" s="108"/>
      <c r="B598" s="220"/>
      <c r="C598" s="134" t="s">
        <v>54</v>
      </c>
      <c r="D598" s="220" t="str">
        <f>vlookup(M598,'Página10'!A:B,2,false)</f>
        <v>INOV00016</v>
      </c>
      <c r="E598" s="134" t="s">
        <v>128</v>
      </c>
      <c r="F598" s="221">
        <v>44985.0</v>
      </c>
      <c r="G598" s="222">
        <v>0.08333333333333333</v>
      </c>
      <c r="H598" s="134" t="s">
        <v>411</v>
      </c>
      <c r="I598" s="223" t="s">
        <v>411</v>
      </c>
      <c r="J598" s="223" t="b">
        <f t="shared" si="1"/>
        <v>1</v>
      </c>
      <c r="K598" s="145" t="s">
        <v>872</v>
      </c>
      <c r="L598" s="156"/>
      <c r="M598" s="134" t="s">
        <v>428</v>
      </c>
      <c r="N598" s="224">
        <v>85.09</v>
      </c>
      <c r="O598" s="117" t="b">
        <f t="shared" si="2"/>
        <v>1</v>
      </c>
      <c r="P598" s="117" t="b">
        <v>1</v>
      </c>
      <c r="Q598" s="117" t="s">
        <v>368</v>
      </c>
    </row>
    <row r="599" hidden="1">
      <c r="A599" s="108"/>
      <c r="B599" s="220"/>
      <c r="C599" s="134" t="s">
        <v>53</v>
      </c>
      <c r="D599" s="220" t="str">
        <f>vlookup(M599,'Página10'!A:B,2,false)</f>
        <v>INOV00014</v>
      </c>
      <c r="E599" s="134" t="s">
        <v>128</v>
      </c>
      <c r="F599" s="221">
        <v>44985.0</v>
      </c>
      <c r="G599" s="222">
        <v>0.08333333333333333</v>
      </c>
      <c r="H599" s="134" t="s">
        <v>411</v>
      </c>
      <c r="I599" s="223" t="s">
        <v>411</v>
      </c>
      <c r="J599" s="223" t="b">
        <f t="shared" si="1"/>
        <v>1</v>
      </c>
      <c r="K599" s="145" t="s">
        <v>872</v>
      </c>
      <c r="L599" s="156"/>
      <c r="M599" s="134" t="s">
        <v>427</v>
      </c>
      <c r="N599" s="224">
        <v>85.09</v>
      </c>
      <c r="O599" s="117" t="b">
        <f t="shared" si="2"/>
        <v>1</v>
      </c>
      <c r="P599" s="117" t="b">
        <v>1</v>
      </c>
      <c r="Q599" s="117" t="s">
        <v>368</v>
      </c>
    </row>
    <row r="600" hidden="1">
      <c r="A600" s="108"/>
      <c r="B600" s="220"/>
      <c r="C600" s="134" t="s">
        <v>441</v>
      </c>
      <c r="D600" s="220" t="str">
        <f>vlookup(M600,'Página10'!A:B,2,false)</f>
        <v>INOV00025</v>
      </c>
      <c r="E600" s="134" t="s">
        <v>128</v>
      </c>
      <c r="F600" s="221">
        <v>44986.0</v>
      </c>
      <c r="G600" s="222">
        <v>0.125</v>
      </c>
      <c r="H600" s="134" t="s">
        <v>479</v>
      </c>
      <c r="I600" s="223" t="s">
        <v>479</v>
      </c>
      <c r="J600" s="223" t="b">
        <f t="shared" si="1"/>
        <v>1</v>
      </c>
      <c r="K600" s="145" t="s">
        <v>873</v>
      </c>
      <c r="L600" s="156"/>
      <c r="M600" s="134" t="s">
        <v>440</v>
      </c>
      <c r="N600" s="224">
        <v>0.0</v>
      </c>
      <c r="O600" s="117" t="b">
        <f t="shared" si="2"/>
        <v>0</v>
      </c>
      <c r="P600" s="117" t="b">
        <v>0</v>
      </c>
      <c r="Q600" s="117" t="s">
        <v>368</v>
      </c>
    </row>
    <row r="601" hidden="1">
      <c r="A601" s="108"/>
      <c r="B601" s="220"/>
      <c r="C601" s="134" t="s">
        <v>54</v>
      </c>
      <c r="D601" s="220" t="str">
        <f>vlookup(M601,'Página10'!A:B,2,false)</f>
        <v>INOV00016</v>
      </c>
      <c r="E601" s="134" t="s">
        <v>128</v>
      </c>
      <c r="F601" s="221">
        <v>44986.0</v>
      </c>
      <c r="G601" s="222">
        <v>0.0625</v>
      </c>
      <c r="H601" s="134" t="s">
        <v>411</v>
      </c>
      <c r="I601" s="223" t="s">
        <v>411</v>
      </c>
      <c r="J601" s="223" t="b">
        <f t="shared" si="1"/>
        <v>1</v>
      </c>
      <c r="K601" s="145" t="s">
        <v>874</v>
      </c>
      <c r="L601" s="156"/>
      <c r="M601" s="134" t="s">
        <v>428</v>
      </c>
      <c r="N601" s="224">
        <v>47.17</v>
      </c>
      <c r="O601" s="117" t="b">
        <f t="shared" si="2"/>
        <v>1</v>
      </c>
      <c r="P601" s="117" t="b">
        <v>1</v>
      </c>
      <c r="Q601" s="117" t="s">
        <v>368</v>
      </c>
    </row>
    <row r="602" hidden="1">
      <c r="A602" s="108"/>
      <c r="B602" s="220"/>
      <c r="C602" s="134" t="s">
        <v>53</v>
      </c>
      <c r="D602" s="220" t="str">
        <f>vlookup(M602,'Página10'!A:B,2,false)</f>
        <v>INOV00014</v>
      </c>
      <c r="E602" s="134" t="s">
        <v>128</v>
      </c>
      <c r="F602" s="221">
        <v>44986.0</v>
      </c>
      <c r="G602" s="222">
        <v>0.041666666666666664</v>
      </c>
      <c r="H602" s="134" t="s">
        <v>411</v>
      </c>
      <c r="I602" s="223" t="s">
        <v>411</v>
      </c>
      <c r="J602" s="223" t="b">
        <f t="shared" si="1"/>
        <v>1</v>
      </c>
      <c r="K602" s="145" t="s">
        <v>874</v>
      </c>
      <c r="L602" s="156"/>
      <c r="M602" s="134" t="s">
        <v>427</v>
      </c>
      <c r="N602" s="224">
        <v>31.45</v>
      </c>
      <c r="O602" s="117" t="b">
        <f t="shared" si="2"/>
        <v>1</v>
      </c>
      <c r="P602" s="117" t="b">
        <v>1</v>
      </c>
      <c r="Q602" s="117" t="s">
        <v>368</v>
      </c>
    </row>
    <row r="603" hidden="1">
      <c r="A603" s="108"/>
      <c r="B603" s="220"/>
      <c r="C603" s="134" t="s">
        <v>441</v>
      </c>
      <c r="D603" s="220" t="str">
        <f>vlookup(M603,'Página10'!A:B,2,false)</f>
        <v>INOV00025</v>
      </c>
      <c r="E603" s="134" t="s">
        <v>128</v>
      </c>
      <c r="F603" s="221">
        <v>44986.0</v>
      </c>
      <c r="G603" s="222">
        <v>0.0625</v>
      </c>
      <c r="H603" s="134" t="s">
        <v>411</v>
      </c>
      <c r="I603" s="223" t="s">
        <v>411</v>
      </c>
      <c r="J603" s="223" t="b">
        <f t="shared" si="1"/>
        <v>1</v>
      </c>
      <c r="K603" s="145" t="s">
        <v>875</v>
      </c>
      <c r="L603" s="156"/>
      <c r="M603" s="134" t="s">
        <v>440</v>
      </c>
      <c r="N603" s="224">
        <v>0.0</v>
      </c>
      <c r="O603" s="117" t="b">
        <f t="shared" si="2"/>
        <v>1</v>
      </c>
      <c r="P603" s="117" t="b">
        <v>0</v>
      </c>
      <c r="Q603" s="117" t="s">
        <v>368</v>
      </c>
    </row>
    <row r="604" hidden="1">
      <c r="A604" s="108"/>
      <c r="B604" s="220"/>
      <c r="C604" s="134" t="s">
        <v>441</v>
      </c>
      <c r="D604" s="220" t="str">
        <f>vlookup(M604,'Página10'!A:B,2,false)</f>
        <v>INOV00025</v>
      </c>
      <c r="E604" s="134" t="s">
        <v>128</v>
      </c>
      <c r="F604" s="221">
        <v>44991.0</v>
      </c>
      <c r="G604" s="222">
        <v>0.08333333333333333</v>
      </c>
      <c r="H604" s="134" t="s">
        <v>475</v>
      </c>
      <c r="I604" s="223" t="s">
        <v>475</v>
      </c>
      <c r="J604" s="223" t="b">
        <f t="shared" si="1"/>
        <v>1</v>
      </c>
      <c r="K604" s="145" t="s">
        <v>876</v>
      </c>
      <c r="L604" s="156"/>
      <c r="M604" s="134" t="s">
        <v>440</v>
      </c>
      <c r="N604" s="224">
        <v>0.0</v>
      </c>
      <c r="O604" s="117" t="b">
        <f t="shared" si="2"/>
        <v>1</v>
      </c>
      <c r="P604" s="117" t="b">
        <v>0</v>
      </c>
      <c r="Q604" s="117" t="s">
        <v>368</v>
      </c>
    </row>
    <row r="605" hidden="1">
      <c r="A605" s="108"/>
      <c r="B605" s="220"/>
      <c r="C605" s="134" t="s">
        <v>53</v>
      </c>
      <c r="D605" s="220" t="str">
        <f>vlookup(M605,'Página10'!A:B,2,false)</f>
        <v>INOV00014</v>
      </c>
      <c r="E605" s="134" t="s">
        <v>128</v>
      </c>
      <c r="F605" s="221">
        <v>44992.0</v>
      </c>
      <c r="G605" s="222">
        <v>0.041666666666666664</v>
      </c>
      <c r="H605" s="134" t="s">
        <v>411</v>
      </c>
      <c r="I605" s="223" t="s">
        <v>411</v>
      </c>
      <c r="J605" s="223" t="b">
        <f t="shared" si="1"/>
        <v>1</v>
      </c>
      <c r="K605" s="145" t="s">
        <v>877</v>
      </c>
      <c r="L605" s="156"/>
      <c r="M605" s="134" t="s">
        <v>427</v>
      </c>
      <c r="N605" s="224">
        <v>31.45</v>
      </c>
      <c r="O605" s="117" t="b">
        <f t="shared" si="2"/>
        <v>1</v>
      </c>
      <c r="P605" s="117" t="b">
        <v>1</v>
      </c>
      <c r="Q605" s="117" t="s">
        <v>368</v>
      </c>
    </row>
    <row r="606" hidden="1">
      <c r="A606" s="108"/>
      <c r="B606" s="220"/>
      <c r="C606" s="134" t="s">
        <v>54</v>
      </c>
      <c r="D606" s="220" t="str">
        <f>vlookup(M606,'Página10'!A:B,2,false)</f>
        <v>INOV00016</v>
      </c>
      <c r="E606" s="134" t="s">
        <v>128</v>
      </c>
      <c r="F606" s="221">
        <v>44992.0</v>
      </c>
      <c r="G606" s="222">
        <v>0.041666666666666664</v>
      </c>
      <c r="H606" s="134" t="s">
        <v>411</v>
      </c>
      <c r="I606" s="223" t="s">
        <v>411</v>
      </c>
      <c r="J606" s="223" t="b">
        <f t="shared" si="1"/>
        <v>1</v>
      </c>
      <c r="K606" s="145" t="s">
        <v>877</v>
      </c>
      <c r="L606" s="156"/>
      <c r="M606" s="134" t="s">
        <v>428</v>
      </c>
      <c r="N606" s="224">
        <v>31.45</v>
      </c>
      <c r="O606" s="117" t="b">
        <f t="shared" si="2"/>
        <v>1</v>
      </c>
      <c r="P606" s="117" t="b">
        <v>1</v>
      </c>
      <c r="Q606" s="117" t="s">
        <v>368</v>
      </c>
    </row>
    <row r="607" hidden="1">
      <c r="A607" s="108"/>
      <c r="B607" s="220"/>
      <c r="C607" s="134" t="s">
        <v>53</v>
      </c>
      <c r="D607" s="220" t="str">
        <f>vlookup(M607,'Página10'!A:B,2,false)</f>
        <v>INOV00014</v>
      </c>
      <c r="E607" s="134" t="s">
        <v>128</v>
      </c>
      <c r="F607" s="221">
        <v>44992.0</v>
      </c>
      <c r="G607" s="222">
        <v>0.027777777777777776</v>
      </c>
      <c r="H607" s="134" t="s">
        <v>479</v>
      </c>
      <c r="I607" s="223" t="s">
        <v>479</v>
      </c>
      <c r="J607" s="223" t="b">
        <f t="shared" si="1"/>
        <v>1</v>
      </c>
      <c r="K607" s="145" t="s">
        <v>878</v>
      </c>
      <c r="L607" s="156"/>
      <c r="M607" s="134" t="s">
        <v>427</v>
      </c>
      <c r="N607" s="224">
        <v>0.0</v>
      </c>
      <c r="O607" s="117" t="b">
        <f t="shared" si="2"/>
        <v>0</v>
      </c>
      <c r="P607" s="117" t="b">
        <v>1</v>
      </c>
      <c r="Q607" s="117" t="s">
        <v>368</v>
      </c>
    </row>
    <row r="608" hidden="1">
      <c r="A608" s="108"/>
      <c r="B608" s="220"/>
      <c r="C608" s="134" t="s">
        <v>54</v>
      </c>
      <c r="D608" s="220" t="str">
        <f>vlookup(M608,'Página10'!A:B,2,false)</f>
        <v>INOV00016</v>
      </c>
      <c r="E608" s="134" t="s">
        <v>128</v>
      </c>
      <c r="F608" s="221">
        <v>44992.0</v>
      </c>
      <c r="G608" s="222">
        <v>0.020833333333333332</v>
      </c>
      <c r="H608" s="134" t="s">
        <v>479</v>
      </c>
      <c r="I608" s="223" t="s">
        <v>479</v>
      </c>
      <c r="J608" s="223" t="b">
        <f t="shared" si="1"/>
        <v>1</v>
      </c>
      <c r="K608" s="145" t="s">
        <v>879</v>
      </c>
      <c r="L608" s="156"/>
      <c r="M608" s="134" t="s">
        <v>428</v>
      </c>
      <c r="N608" s="224">
        <v>0.0</v>
      </c>
      <c r="O608" s="117" t="b">
        <f t="shared" si="2"/>
        <v>0</v>
      </c>
      <c r="P608" s="117" t="b">
        <v>1</v>
      </c>
      <c r="Q608" s="117" t="s">
        <v>368</v>
      </c>
    </row>
    <row r="609" hidden="1">
      <c r="A609" s="108"/>
      <c r="B609" s="220"/>
      <c r="C609" s="134" t="s">
        <v>53</v>
      </c>
      <c r="D609" s="220" t="str">
        <f>vlookup(M609,'Página10'!A:B,2,false)</f>
        <v>INOV00014</v>
      </c>
      <c r="E609" s="134" t="s">
        <v>128</v>
      </c>
      <c r="F609" s="221">
        <v>44993.0</v>
      </c>
      <c r="G609" s="222">
        <v>0.10416666666666667</v>
      </c>
      <c r="H609" s="134" t="s">
        <v>411</v>
      </c>
      <c r="I609" s="223" t="s">
        <v>411</v>
      </c>
      <c r="J609" s="223" t="b">
        <f t="shared" si="1"/>
        <v>1</v>
      </c>
      <c r="K609" s="145" t="s">
        <v>880</v>
      </c>
      <c r="L609" s="156"/>
      <c r="M609" s="134" t="s">
        <v>427</v>
      </c>
      <c r="N609" s="224">
        <v>78.62</v>
      </c>
      <c r="O609" s="117" t="b">
        <f t="shared" si="2"/>
        <v>1</v>
      </c>
      <c r="P609" s="117" t="b">
        <v>1</v>
      </c>
      <c r="Q609" s="117" t="s">
        <v>368</v>
      </c>
    </row>
    <row r="610" hidden="1">
      <c r="A610" s="108"/>
      <c r="B610" s="220"/>
      <c r="C610" s="134" t="s">
        <v>446</v>
      </c>
      <c r="D610" s="220" t="str">
        <f>vlookup(M610,'Página10'!A:B,2,false)</f>
        <v>INOV00028</v>
      </c>
      <c r="E610" s="134" t="s">
        <v>128</v>
      </c>
      <c r="F610" s="221">
        <v>44993.0</v>
      </c>
      <c r="G610" s="222">
        <v>0.041666666666666664</v>
      </c>
      <c r="H610" s="134" t="s">
        <v>479</v>
      </c>
      <c r="I610" s="223" t="s">
        <v>479</v>
      </c>
      <c r="J610" s="223" t="b">
        <f t="shared" si="1"/>
        <v>1</v>
      </c>
      <c r="K610" s="145" t="s">
        <v>881</v>
      </c>
      <c r="L610" s="156"/>
      <c r="M610" s="134" t="s">
        <v>445</v>
      </c>
      <c r="N610" s="224">
        <v>0.0</v>
      </c>
      <c r="O610" s="117" t="b">
        <f t="shared" si="2"/>
        <v>0</v>
      </c>
      <c r="P610" s="117" t="b">
        <v>0</v>
      </c>
      <c r="Q610" s="117" t="s">
        <v>368</v>
      </c>
    </row>
    <row r="611" hidden="1">
      <c r="A611" s="108"/>
      <c r="B611" s="220"/>
      <c r="C611" s="134" t="s">
        <v>53</v>
      </c>
      <c r="D611" s="220" t="str">
        <f>vlookup(M611,'Página10'!A:B,2,false)</f>
        <v>INOV00014</v>
      </c>
      <c r="E611" s="134" t="s">
        <v>128</v>
      </c>
      <c r="F611" s="221">
        <v>44994.0</v>
      </c>
      <c r="G611" s="222">
        <v>0.041666666666666664</v>
      </c>
      <c r="H611" s="134" t="s">
        <v>411</v>
      </c>
      <c r="I611" s="223" t="s">
        <v>411</v>
      </c>
      <c r="J611" s="223" t="b">
        <f t="shared" si="1"/>
        <v>1</v>
      </c>
      <c r="K611" s="145" t="s">
        <v>882</v>
      </c>
      <c r="L611" s="156"/>
      <c r="M611" s="134" t="s">
        <v>427</v>
      </c>
      <c r="N611" s="224">
        <v>31.45</v>
      </c>
      <c r="O611" s="117" t="b">
        <f t="shared" si="2"/>
        <v>1</v>
      </c>
      <c r="P611" s="117" t="b">
        <v>1</v>
      </c>
      <c r="Q611" s="117" t="s">
        <v>368</v>
      </c>
    </row>
    <row r="612" hidden="1">
      <c r="A612" s="108"/>
      <c r="B612" s="220"/>
      <c r="C612" s="134" t="s">
        <v>441</v>
      </c>
      <c r="D612" s="220" t="str">
        <f>vlookup(M612,'Página10'!A:B,2,false)</f>
        <v>INOV00025</v>
      </c>
      <c r="E612" s="134" t="s">
        <v>128</v>
      </c>
      <c r="F612" s="221">
        <v>45002.0</v>
      </c>
      <c r="G612" s="222">
        <v>0.15625</v>
      </c>
      <c r="H612" s="134" t="s">
        <v>411</v>
      </c>
      <c r="I612" s="223" t="s">
        <v>411</v>
      </c>
      <c r="J612" s="223" t="b">
        <f t="shared" si="1"/>
        <v>1</v>
      </c>
      <c r="K612" s="145" t="s">
        <v>883</v>
      </c>
      <c r="L612" s="156"/>
      <c r="M612" s="134" t="s">
        <v>440</v>
      </c>
      <c r="N612" s="224">
        <v>0.0</v>
      </c>
      <c r="O612" s="117" t="b">
        <f t="shared" si="2"/>
        <v>1</v>
      </c>
      <c r="P612" s="117" t="b">
        <v>0</v>
      </c>
      <c r="Q612" s="117" t="s">
        <v>368</v>
      </c>
    </row>
    <row r="613" hidden="1">
      <c r="A613" s="108"/>
      <c r="B613" s="220"/>
      <c r="C613" s="134" t="s">
        <v>54</v>
      </c>
      <c r="D613" s="220" t="str">
        <f>vlookup(M613,'Página10'!A:B,2,false)</f>
        <v>INOV00016</v>
      </c>
      <c r="E613" s="134" t="s">
        <v>128</v>
      </c>
      <c r="F613" s="221">
        <v>45005.0</v>
      </c>
      <c r="G613" s="222">
        <v>0.08333333333333333</v>
      </c>
      <c r="H613" s="134" t="s">
        <v>411</v>
      </c>
      <c r="I613" s="223" t="s">
        <v>411</v>
      </c>
      <c r="J613" s="223" t="b">
        <f t="shared" si="1"/>
        <v>1</v>
      </c>
      <c r="K613" s="145" t="s">
        <v>884</v>
      </c>
      <c r="L613" s="156"/>
      <c r="M613" s="134" t="s">
        <v>428</v>
      </c>
      <c r="N613" s="224">
        <v>62.89</v>
      </c>
      <c r="O613" s="117" t="b">
        <f t="shared" si="2"/>
        <v>1</v>
      </c>
      <c r="P613" s="117" t="b">
        <v>1</v>
      </c>
      <c r="Q613" s="117" t="s">
        <v>368</v>
      </c>
    </row>
    <row r="614" hidden="1">
      <c r="A614" s="108"/>
      <c r="B614" s="220"/>
      <c r="C614" s="134" t="s">
        <v>49</v>
      </c>
      <c r="D614" s="220" t="str">
        <f>vlookup(M614,'Página10'!A:B,2,false)</f>
        <v>INOV00004</v>
      </c>
      <c r="E614" s="134" t="s">
        <v>128</v>
      </c>
      <c r="F614" s="221">
        <v>45006.0</v>
      </c>
      <c r="G614" s="222">
        <v>0.041666666666666664</v>
      </c>
      <c r="H614" s="134" t="s">
        <v>479</v>
      </c>
      <c r="I614" s="223" t="s">
        <v>479</v>
      </c>
      <c r="J614" s="223" t="b">
        <f t="shared" si="1"/>
        <v>1</v>
      </c>
      <c r="K614" s="145" t="s">
        <v>885</v>
      </c>
      <c r="L614" s="156"/>
      <c r="M614" s="134" t="s">
        <v>421</v>
      </c>
      <c r="N614" s="224">
        <v>0.0</v>
      </c>
      <c r="O614" s="117" t="b">
        <f t="shared" si="2"/>
        <v>0</v>
      </c>
      <c r="P614" s="117" t="b">
        <v>1</v>
      </c>
      <c r="Q614" s="117" t="s">
        <v>368</v>
      </c>
    </row>
    <row r="615" hidden="1">
      <c r="A615" s="108"/>
      <c r="B615" s="220"/>
      <c r="C615" s="134" t="s">
        <v>53</v>
      </c>
      <c r="D615" s="220" t="str">
        <f>vlookup(M615,'Página10'!A:B,2,false)</f>
        <v>INOV00014</v>
      </c>
      <c r="E615" s="134" t="s">
        <v>128</v>
      </c>
      <c r="F615" s="221">
        <v>45008.0</v>
      </c>
      <c r="G615" s="222">
        <v>0.08333333333333333</v>
      </c>
      <c r="H615" s="134" t="s">
        <v>479</v>
      </c>
      <c r="I615" s="223" t="s">
        <v>479</v>
      </c>
      <c r="J615" s="223" t="b">
        <f t="shared" si="1"/>
        <v>1</v>
      </c>
      <c r="K615" s="145" t="s">
        <v>886</v>
      </c>
      <c r="L615" s="156"/>
      <c r="M615" s="134" t="s">
        <v>427</v>
      </c>
      <c r="N615" s="224">
        <v>0.0</v>
      </c>
      <c r="O615" s="117" t="b">
        <f t="shared" si="2"/>
        <v>0</v>
      </c>
      <c r="P615" s="117" t="b">
        <v>1</v>
      </c>
      <c r="Q615" s="117" t="s">
        <v>368</v>
      </c>
    </row>
    <row r="616" hidden="1">
      <c r="A616" s="108"/>
      <c r="B616" s="220"/>
      <c r="C616" s="134" t="s">
        <v>53</v>
      </c>
      <c r="D616" s="220" t="str">
        <f>vlookup(M616,'Página10'!A:B,2,false)</f>
        <v>INOV00014</v>
      </c>
      <c r="E616" s="134" t="s">
        <v>128</v>
      </c>
      <c r="F616" s="221">
        <v>45008.0</v>
      </c>
      <c r="G616" s="222">
        <v>0.10416666666666667</v>
      </c>
      <c r="H616" s="134" t="s">
        <v>411</v>
      </c>
      <c r="I616" s="223" t="s">
        <v>411</v>
      </c>
      <c r="J616" s="223" t="b">
        <f t="shared" si="1"/>
        <v>1</v>
      </c>
      <c r="K616" s="145" t="s">
        <v>887</v>
      </c>
      <c r="L616" s="156"/>
      <c r="M616" s="134" t="s">
        <v>427</v>
      </c>
      <c r="N616" s="224">
        <v>78.62</v>
      </c>
      <c r="O616" s="117" t="b">
        <f t="shared" si="2"/>
        <v>1</v>
      </c>
      <c r="P616" s="117" t="b">
        <v>1</v>
      </c>
      <c r="Q616" s="117" t="s">
        <v>368</v>
      </c>
    </row>
    <row r="617" hidden="1">
      <c r="A617" s="108"/>
      <c r="B617" s="220"/>
      <c r="C617" s="134" t="s">
        <v>53</v>
      </c>
      <c r="D617" s="220" t="str">
        <f>vlookup(M617,'Página10'!A:B,2,false)</f>
        <v>INOV00014</v>
      </c>
      <c r="E617" s="134" t="s">
        <v>128</v>
      </c>
      <c r="F617" s="221">
        <v>45009.0</v>
      </c>
      <c r="G617" s="222">
        <v>0.10416666666666667</v>
      </c>
      <c r="H617" s="134" t="s">
        <v>411</v>
      </c>
      <c r="I617" s="223" t="s">
        <v>411</v>
      </c>
      <c r="J617" s="223" t="b">
        <f t="shared" si="1"/>
        <v>1</v>
      </c>
      <c r="K617" s="145" t="s">
        <v>888</v>
      </c>
      <c r="L617" s="156"/>
      <c r="M617" s="134" t="s">
        <v>427</v>
      </c>
      <c r="N617" s="224">
        <v>78.62</v>
      </c>
      <c r="O617" s="117" t="b">
        <f t="shared" si="2"/>
        <v>1</v>
      </c>
      <c r="P617" s="117" t="b">
        <v>1</v>
      </c>
      <c r="Q617" s="117" t="s">
        <v>368</v>
      </c>
    </row>
    <row r="618" hidden="1">
      <c r="A618" s="108"/>
      <c r="B618" s="220"/>
      <c r="C618" s="134" t="s">
        <v>433</v>
      </c>
      <c r="D618" s="220" t="str">
        <f>vlookup(M618,'Página10'!A:B,2,false)</f>
        <v>INOV00019</v>
      </c>
      <c r="E618" s="134" t="s">
        <v>128</v>
      </c>
      <c r="F618" s="221">
        <v>45009.0</v>
      </c>
      <c r="G618" s="222">
        <v>0.041666666666666664</v>
      </c>
      <c r="H618" s="134" t="s">
        <v>479</v>
      </c>
      <c r="I618" s="223" t="s">
        <v>479</v>
      </c>
      <c r="J618" s="223" t="b">
        <f t="shared" si="1"/>
        <v>1</v>
      </c>
      <c r="K618" s="145" t="s">
        <v>889</v>
      </c>
      <c r="L618" s="156"/>
      <c r="M618" s="134" t="s">
        <v>432</v>
      </c>
      <c r="N618" s="224">
        <v>0.0</v>
      </c>
      <c r="O618" s="117" t="b">
        <f t="shared" si="2"/>
        <v>0</v>
      </c>
      <c r="P618" s="117" t="b">
        <v>0</v>
      </c>
      <c r="Q618" s="117" t="s">
        <v>368</v>
      </c>
    </row>
    <row r="619" hidden="1">
      <c r="A619" s="108"/>
      <c r="B619" s="220"/>
      <c r="C619" s="134" t="s">
        <v>53</v>
      </c>
      <c r="D619" s="220" t="str">
        <f>vlookup(M619,'Página10'!A:B,2,false)</f>
        <v>INOV00014</v>
      </c>
      <c r="E619" s="134" t="s">
        <v>128</v>
      </c>
      <c r="F619" s="221">
        <v>45012.0</v>
      </c>
      <c r="G619" s="222">
        <v>0.08333333333333333</v>
      </c>
      <c r="H619" s="134" t="s">
        <v>411</v>
      </c>
      <c r="I619" s="223" t="s">
        <v>411</v>
      </c>
      <c r="J619" s="223" t="b">
        <f t="shared" si="1"/>
        <v>1</v>
      </c>
      <c r="K619" s="145" t="s">
        <v>890</v>
      </c>
      <c r="L619" s="156"/>
      <c r="M619" s="134" t="s">
        <v>427</v>
      </c>
      <c r="N619" s="224">
        <v>62.89</v>
      </c>
      <c r="O619" s="117" t="b">
        <f t="shared" si="2"/>
        <v>1</v>
      </c>
      <c r="P619" s="117" t="b">
        <v>1</v>
      </c>
      <c r="Q619" s="117" t="s">
        <v>368</v>
      </c>
    </row>
    <row r="620" hidden="1">
      <c r="A620" s="108"/>
      <c r="B620" s="220"/>
      <c r="C620" s="134" t="s">
        <v>53</v>
      </c>
      <c r="D620" s="220" t="str">
        <f>vlookup(M620,'Página10'!A:B,2,false)</f>
        <v>INOV00014</v>
      </c>
      <c r="E620" s="134" t="s">
        <v>128</v>
      </c>
      <c r="F620" s="221">
        <v>45013.0</v>
      </c>
      <c r="G620" s="222">
        <v>0.08333333333333333</v>
      </c>
      <c r="H620" s="134" t="s">
        <v>411</v>
      </c>
      <c r="I620" s="223" t="s">
        <v>411</v>
      </c>
      <c r="J620" s="223" t="b">
        <f t="shared" si="1"/>
        <v>1</v>
      </c>
      <c r="K620" s="145" t="s">
        <v>891</v>
      </c>
      <c r="L620" s="156"/>
      <c r="M620" s="134" t="s">
        <v>427</v>
      </c>
      <c r="N620" s="224">
        <v>62.89</v>
      </c>
      <c r="O620" s="117" t="b">
        <f t="shared" si="2"/>
        <v>1</v>
      </c>
      <c r="P620" s="117" t="b">
        <v>1</v>
      </c>
      <c r="Q620" s="117" t="s">
        <v>368</v>
      </c>
    </row>
    <row r="621" hidden="1">
      <c r="A621" s="108"/>
      <c r="B621" s="220"/>
      <c r="C621" s="134" t="s">
        <v>54</v>
      </c>
      <c r="D621" s="220" t="str">
        <f>vlookup(M621,'Página10'!A:B,2,false)</f>
        <v>INOV00016</v>
      </c>
      <c r="E621" s="134" t="s">
        <v>128</v>
      </c>
      <c r="F621" s="221">
        <v>45013.0</v>
      </c>
      <c r="G621" s="222">
        <v>0.0625</v>
      </c>
      <c r="H621" s="134" t="s">
        <v>479</v>
      </c>
      <c r="I621" s="223" t="s">
        <v>479</v>
      </c>
      <c r="J621" s="223" t="b">
        <f t="shared" si="1"/>
        <v>1</v>
      </c>
      <c r="K621" s="145" t="s">
        <v>892</v>
      </c>
      <c r="L621" s="156"/>
      <c r="M621" s="134" t="s">
        <v>428</v>
      </c>
      <c r="N621" s="224">
        <v>0.0</v>
      </c>
      <c r="O621" s="117" t="b">
        <f t="shared" si="2"/>
        <v>0</v>
      </c>
      <c r="P621" s="117" t="b">
        <v>1</v>
      </c>
      <c r="Q621" s="117" t="s">
        <v>368</v>
      </c>
    </row>
    <row r="622" hidden="1">
      <c r="A622" s="108"/>
      <c r="B622" s="220"/>
      <c r="C622" s="134" t="s">
        <v>53</v>
      </c>
      <c r="D622" s="220" t="str">
        <f>vlookup(M622,'Página10'!A:B,2,false)</f>
        <v>INOV00014</v>
      </c>
      <c r="E622" s="134" t="s">
        <v>128</v>
      </c>
      <c r="F622" s="221">
        <v>45014.0</v>
      </c>
      <c r="G622" s="222">
        <v>0.08333333333333333</v>
      </c>
      <c r="H622" s="134" t="s">
        <v>411</v>
      </c>
      <c r="I622" s="223" t="s">
        <v>411</v>
      </c>
      <c r="J622" s="223" t="b">
        <f t="shared" si="1"/>
        <v>1</v>
      </c>
      <c r="K622" s="145" t="s">
        <v>893</v>
      </c>
      <c r="L622" s="156"/>
      <c r="M622" s="134" t="s">
        <v>427</v>
      </c>
      <c r="N622" s="224">
        <v>62.89</v>
      </c>
      <c r="O622" s="117" t="b">
        <f t="shared" si="2"/>
        <v>1</v>
      </c>
      <c r="P622" s="117" t="b">
        <v>1</v>
      </c>
      <c r="Q622" s="117" t="s">
        <v>368</v>
      </c>
    </row>
    <row r="623" hidden="1">
      <c r="A623" s="108"/>
      <c r="B623" s="220"/>
      <c r="C623" s="134" t="s">
        <v>54</v>
      </c>
      <c r="D623" s="220" t="str">
        <f>vlookup(M623,'Página10'!A:B,2,false)</f>
        <v>INOV00016</v>
      </c>
      <c r="E623" s="134" t="s">
        <v>128</v>
      </c>
      <c r="F623" s="221">
        <v>45014.0</v>
      </c>
      <c r="G623" s="222">
        <v>0.0625</v>
      </c>
      <c r="H623" s="134" t="s">
        <v>479</v>
      </c>
      <c r="I623" s="223" t="s">
        <v>479</v>
      </c>
      <c r="J623" s="223" t="b">
        <f t="shared" si="1"/>
        <v>1</v>
      </c>
      <c r="K623" s="145" t="s">
        <v>894</v>
      </c>
      <c r="L623" s="156"/>
      <c r="M623" s="134" t="s">
        <v>428</v>
      </c>
      <c r="N623" s="224">
        <v>0.0</v>
      </c>
      <c r="O623" s="117" t="b">
        <f t="shared" si="2"/>
        <v>0</v>
      </c>
      <c r="P623" s="117" t="b">
        <v>1</v>
      </c>
      <c r="Q623" s="117" t="s">
        <v>368</v>
      </c>
    </row>
    <row r="624" hidden="1">
      <c r="A624" s="108"/>
      <c r="B624" s="220"/>
      <c r="C624" s="134" t="s">
        <v>433</v>
      </c>
      <c r="D624" s="220" t="str">
        <f>vlookup(M624,'Página10'!A:B,2,false)</f>
        <v>INOV00019</v>
      </c>
      <c r="E624" s="134" t="s">
        <v>128</v>
      </c>
      <c r="F624" s="221">
        <v>45014.0</v>
      </c>
      <c r="G624" s="222">
        <v>0.08333333333333333</v>
      </c>
      <c r="H624" s="134" t="s">
        <v>411</v>
      </c>
      <c r="I624" s="223" t="s">
        <v>411</v>
      </c>
      <c r="J624" s="223" t="b">
        <f t="shared" si="1"/>
        <v>1</v>
      </c>
      <c r="K624" s="145" t="s">
        <v>895</v>
      </c>
      <c r="L624" s="156"/>
      <c r="M624" s="134" t="s">
        <v>432</v>
      </c>
      <c r="N624" s="224">
        <v>0.0</v>
      </c>
      <c r="O624" s="117" t="b">
        <f t="shared" si="2"/>
        <v>1</v>
      </c>
      <c r="P624" s="117" t="b">
        <v>0</v>
      </c>
      <c r="Q624" s="117" t="s">
        <v>368</v>
      </c>
    </row>
    <row r="625" hidden="1">
      <c r="A625" s="108"/>
      <c r="B625" s="220"/>
      <c r="C625" s="134" t="s">
        <v>441</v>
      </c>
      <c r="D625" s="220" t="str">
        <f>vlookup(M625,'Página10'!A:B,2,false)</f>
        <v>INOV00025</v>
      </c>
      <c r="E625" s="134" t="s">
        <v>128</v>
      </c>
      <c r="F625" s="221">
        <v>45015.0</v>
      </c>
      <c r="G625" s="222">
        <v>0.041666666666666664</v>
      </c>
      <c r="H625" s="134" t="s">
        <v>411</v>
      </c>
      <c r="I625" s="223" t="s">
        <v>411</v>
      </c>
      <c r="J625" s="223" t="b">
        <f t="shared" si="1"/>
        <v>1</v>
      </c>
      <c r="K625" s="145" t="s">
        <v>896</v>
      </c>
      <c r="L625" s="156"/>
      <c r="M625" s="134" t="s">
        <v>440</v>
      </c>
      <c r="N625" s="224">
        <v>0.0</v>
      </c>
      <c r="O625" s="117" t="b">
        <f t="shared" si="2"/>
        <v>1</v>
      </c>
      <c r="P625" s="117" t="b">
        <v>0</v>
      </c>
      <c r="Q625" s="117" t="s">
        <v>368</v>
      </c>
    </row>
    <row r="626" hidden="1">
      <c r="A626" s="108"/>
      <c r="B626" s="220"/>
      <c r="C626" s="134" t="s">
        <v>435</v>
      </c>
      <c r="D626" s="220" t="str">
        <f>vlookup(M626,'Página10'!A:B,2,false)</f>
        <v>INOV00020</v>
      </c>
      <c r="E626" s="134" t="s">
        <v>306</v>
      </c>
      <c r="F626" s="221">
        <v>44931.0</v>
      </c>
      <c r="G626" s="222">
        <v>0.027777777777777776</v>
      </c>
      <c r="H626" s="134" t="s">
        <v>475</v>
      </c>
      <c r="I626" s="223" t="s">
        <v>475</v>
      </c>
      <c r="J626" s="223" t="b">
        <f t="shared" si="1"/>
        <v>1</v>
      </c>
      <c r="K626" s="145" t="s">
        <v>897</v>
      </c>
      <c r="L626" s="156"/>
      <c r="M626" s="134" t="s">
        <v>434</v>
      </c>
      <c r="N626" s="224">
        <v>0.0</v>
      </c>
      <c r="O626" s="117" t="b">
        <f t="shared" si="2"/>
        <v>1</v>
      </c>
      <c r="P626" s="117" t="b">
        <v>0</v>
      </c>
      <c r="Q626" s="117" t="s">
        <v>368</v>
      </c>
    </row>
    <row r="627" hidden="1">
      <c r="A627" s="108"/>
      <c r="B627" s="220"/>
      <c r="C627" s="134" t="s">
        <v>435</v>
      </c>
      <c r="D627" s="220" t="str">
        <f>vlookup(M627,'Página10'!A:B,2,false)</f>
        <v>INOV00020</v>
      </c>
      <c r="E627" s="134" t="s">
        <v>306</v>
      </c>
      <c r="F627" s="221">
        <v>44931.0</v>
      </c>
      <c r="G627" s="222">
        <v>0.041666666666666664</v>
      </c>
      <c r="H627" s="134" t="s">
        <v>475</v>
      </c>
      <c r="I627" s="223" t="s">
        <v>475</v>
      </c>
      <c r="J627" s="223" t="b">
        <f t="shared" si="1"/>
        <v>1</v>
      </c>
      <c r="K627" s="145" t="s">
        <v>898</v>
      </c>
      <c r="L627" s="156"/>
      <c r="M627" s="134" t="s">
        <v>434</v>
      </c>
      <c r="N627" s="224">
        <v>0.0</v>
      </c>
      <c r="O627" s="117" t="b">
        <f t="shared" si="2"/>
        <v>1</v>
      </c>
      <c r="P627" s="117" t="b">
        <v>0</v>
      </c>
      <c r="Q627" s="117" t="s">
        <v>368</v>
      </c>
    </row>
    <row r="628" hidden="1">
      <c r="A628" s="108"/>
      <c r="B628" s="220"/>
      <c r="C628" s="134" t="s">
        <v>435</v>
      </c>
      <c r="D628" s="220" t="str">
        <f>vlookup(M628,'Página10'!A:B,2,false)</f>
        <v>INOV00020</v>
      </c>
      <c r="E628" s="134" t="s">
        <v>306</v>
      </c>
      <c r="F628" s="221">
        <v>44932.0</v>
      </c>
      <c r="G628" s="222">
        <v>0.08333333333333333</v>
      </c>
      <c r="H628" s="134" t="s">
        <v>475</v>
      </c>
      <c r="I628" s="223" t="s">
        <v>475</v>
      </c>
      <c r="J628" s="223" t="b">
        <f t="shared" si="1"/>
        <v>1</v>
      </c>
      <c r="K628" s="145" t="s">
        <v>897</v>
      </c>
      <c r="L628" s="156"/>
      <c r="M628" s="134" t="s">
        <v>434</v>
      </c>
      <c r="N628" s="224">
        <v>0.0</v>
      </c>
      <c r="O628" s="117" t="b">
        <f t="shared" si="2"/>
        <v>1</v>
      </c>
      <c r="P628" s="117" t="b">
        <v>0</v>
      </c>
      <c r="Q628" s="117" t="s">
        <v>368</v>
      </c>
    </row>
    <row r="629" hidden="1">
      <c r="A629" s="108"/>
      <c r="B629" s="220"/>
      <c r="C629" s="134" t="s">
        <v>435</v>
      </c>
      <c r="D629" s="220" t="str">
        <f>vlookup(M629,'Página10'!A:B,2,false)</f>
        <v>INOV00020</v>
      </c>
      <c r="E629" s="134" t="s">
        <v>306</v>
      </c>
      <c r="F629" s="221">
        <v>44935.0</v>
      </c>
      <c r="G629" s="222">
        <v>0.19444444444444445</v>
      </c>
      <c r="H629" s="134" t="s">
        <v>475</v>
      </c>
      <c r="I629" s="223" t="s">
        <v>475</v>
      </c>
      <c r="J629" s="223" t="b">
        <f t="shared" si="1"/>
        <v>1</v>
      </c>
      <c r="K629" s="145" t="s">
        <v>897</v>
      </c>
      <c r="L629" s="156"/>
      <c r="M629" s="134" t="s">
        <v>434</v>
      </c>
      <c r="N629" s="224">
        <v>0.0</v>
      </c>
      <c r="O629" s="117" t="b">
        <f t="shared" si="2"/>
        <v>1</v>
      </c>
      <c r="P629" s="117" t="b">
        <v>0</v>
      </c>
      <c r="Q629" s="117" t="s">
        <v>368</v>
      </c>
    </row>
    <row r="630" hidden="1">
      <c r="A630" s="108"/>
      <c r="B630" s="220"/>
      <c r="C630" s="134" t="s">
        <v>435</v>
      </c>
      <c r="D630" s="220" t="str">
        <f>vlookup(M630,'Página10'!A:B,2,false)</f>
        <v>INOV00020</v>
      </c>
      <c r="E630" s="134" t="s">
        <v>306</v>
      </c>
      <c r="F630" s="221">
        <v>44936.0</v>
      </c>
      <c r="G630" s="222">
        <v>0.041666666666666664</v>
      </c>
      <c r="H630" s="134" t="s">
        <v>475</v>
      </c>
      <c r="I630" s="223" t="s">
        <v>475</v>
      </c>
      <c r="J630" s="223" t="b">
        <f t="shared" si="1"/>
        <v>1</v>
      </c>
      <c r="K630" s="145" t="s">
        <v>897</v>
      </c>
      <c r="L630" s="156"/>
      <c r="M630" s="134" t="s">
        <v>434</v>
      </c>
      <c r="N630" s="224">
        <v>0.0</v>
      </c>
      <c r="O630" s="117" t="b">
        <f t="shared" si="2"/>
        <v>1</v>
      </c>
      <c r="P630" s="117" t="b">
        <v>0</v>
      </c>
      <c r="Q630" s="117" t="s">
        <v>368</v>
      </c>
    </row>
    <row r="631" hidden="1">
      <c r="A631" s="108"/>
      <c r="B631" s="220"/>
      <c r="C631" s="134" t="s">
        <v>435</v>
      </c>
      <c r="D631" s="220" t="str">
        <f>vlookup(M631,'Página10'!A:B,2,false)</f>
        <v>INOV00020</v>
      </c>
      <c r="E631" s="134" t="s">
        <v>306</v>
      </c>
      <c r="F631" s="221">
        <v>44939.0</v>
      </c>
      <c r="G631" s="222">
        <v>0.041666666666666664</v>
      </c>
      <c r="H631" s="134" t="s">
        <v>475</v>
      </c>
      <c r="I631" s="223" t="s">
        <v>475</v>
      </c>
      <c r="J631" s="223" t="b">
        <f t="shared" si="1"/>
        <v>1</v>
      </c>
      <c r="K631" s="145" t="s">
        <v>898</v>
      </c>
      <c r="L631" s="156"/>
      <c r="M631" s="134" t="s">
        <v>434</v>
      </c>
      <c r="N631" s="224">
        <v>0.0</v>
      </c>
      <c r="O631" s="117" t="b">
        <f t="shared" si="2"/>
        <v>1</v>
      </c>
      <c r="P631" s="117" t="b">
        <v>0</v>
      </c>
      <c r="Q631" s="117" t="s">
        <v>368</v>
      </c>
    </row>
    <row r="632" hidden="1">
      <c r="A632" s="108"/>
      <c r="B632" s="220"/>
      <c r="C632" s="134" t="s">
        <v>435</v>
      </c>
      <c r="D632" s="220" t="str">
        <f>vlookup(M632,'Página10'!A:B,2,false)</f>
        <v>INOV00020</v>
      </c>
      <c r="E632" s="134" t="s">
        <v>306</v>
      </c>
      <c r="F632" s="221">
        <v>44942.0</v>
      </c>
      <c r="G632" s="222">
        <v>0.041666666666666664</v>
      </c>
      <c r="H632" s="134" t="s">
        <v>475</v>
      </c>
      <c r="I632" s="223" t="s">
        <v>475</v>
      </c>
      <c r="J632" s="223" t="b">
        <f t="shared" si="1"/>
        <v>1</v>
      </c>
      <c r="K632" s="145" t="s">
        <v>898</v>
      </c>
      <c r="L632" s="156"/>
      <c r="M632" s="134" t="s">
        <v>434</v>
      </c>
      <c r="N632" s="224">
        <v>0.0</v>
      </c>
      <c r="O632" s="117" t="b">
        <f t="shared" si="2"/>
        <v>1</v>
      </c>
      <c r="P632" s="117" t="b">
        <v>0</v>
      </c>
      <c r="Q632" s="117" t="s">
        <v>368</v>
      </c>
    </row>
    <row r="633" hidden="1">
      <c r="A633" s="108"/>
      <c r="B633" s="220"/>
      <c r="C633" s="134" t="s">
        <v>435</v>
      </c>
      <c r="D633" s="220" t="str">
        <f>vlookup(M633,'Página10'!A:B,2,false)</f>
        <v>INOV00020</v>
      </c>
      <c r="E633" s="134" t="s">
        <v>306</v>
      </c>
      <c r="F633" s="221">
        <v>44951.0</v>
      </c>
      <c r="G633" s="222">
        <v>0.08333333333333333</v>
      </c>
      <c r="H633" s="134" t="s">
        <v>475</v>
      </c>
      <c r="I633" s="223" t="s">
        <v>475</v>
      </c>
      <c r="J633" s="223" t="b">
        <f t="shared" si="1"/>
        <v>1</v>
      </c>
      <c r="K633" s="145" t="s">
        <v>899</v>
      </c>
      <c r="L633" s="156"/>
      <c r="M633" s="134" t="s">
        <v>434</v>
      </c>
      <c r="N633" s="224">
        <v>0.0</v>
      </c>
      <c r="O633" s="117" t="b">
        <f t="shared" si="2"/>
        <v>1</v>
      </c>
      <c r="P633" s="117" t="b">
        <v>0</v>
      </c>
      <c r="Q633" s="117" t="s">
        <v>368</v>
      </c>
    </row>
    <row r="634" hidden="1">
      <c r="A634" s="108"/>
      <c r="B634" s="220"/>
      <c r="C634" s="134" t="s">
        <v>49</v>
      </c>
      <c r="D634" s="220" t="str">
        <f>vlookup(M634,'Página10'!A:B,2,false)</f>
        <v>INOV00004</v>
      </c>
      <c r="E634" s="134" t="s">
        <v>306</v>
      </c>
      <c r="F634" s="221">
        <v>44944.0</v>
      </c>
      <c r="G634" s="222">
        <v>0.08333333333333333</v>
      </c>
      <c r="H634" s="134" t="s">
        <v>475</v>
      </c>
      <c r="I634" s="223" t="s">
        <v>475</v>
      </c>
      <c r="J634" s="223" t="b">
        <f t="shared" si="1"/>
        <v>1</v>
      </c>
      <c r="K634" s="145" t="s">
        <v>900</v>
      </c>
      <c r="L634" s="156"/>
      <c r="M634" s="134" t="s">
        <v>421</v>
      </c>
      <c r="N634" s="224">
        <v>76.6</v>
      </c>
      <c r="O634" s="117" t="b">
        <f t="shared" si="2"/>
        <v>1</v>
      </c>
      <c r="P634" s="117" t="b">
        <v>1</v>
      </c>
      <c r="Q634" s="117" t="s">
        <v>368</v>
      </c>
    </row>
    <row r="635" hidden="1">
      <c r="A635" s="108"/>
      <c r="B635" s="220"/>
      <c r="C635" s="134" t="s">
        <v>49</v>
      </c>
      <c r="D635" s="220" t="str">
        <f>vlookup(M635,'Página10'!A:B,2,false)</f>
        <v>INOV00004</v>
      </c>
      <c r="E635" s="134" t="s">
        <v>306</v>
      </c>
      <c r="F635" s="221">
        <v>44951.0</v>
      </c>
      <c r="G635" s="222">
        <v>0.03125</v>
      </c>
      <c r="H635" s="134" t="s">
        <v>411</v>
      </c>
      <c r="I635" s="223" t="s">
        <v>411</v>
      </c>
      <c r="J635" s="223" t="b">
        <f t="shared" si="1"/>
        <v>1</v>
      </c>
      <c r="K635" s="145" t="s">
        <v>901</v>
      </c>
      <c r="L635" s="156"/>
      <c r="M635" s="134" t="s">
        <v>421</v>
      </c>
      <c r="N635" s="224">
        <v>28.73</v>
      </c>
      <c r="O635" s="117" t="b">
        <f t="shared" si="2"/>
        <v>1</v>
      </c>
      <c r="P635" s="117" t="b">
        <v>1</v>
      </c>
      <c r="Q635" s="117" t="s">
        <v>368</v>
      </c>
    </row>
    <row r="636" hidden="1">
      <c r="A636" s="108"/>
      <c r="B636" s="220"/>
      <c r="C636" s="134" t="s">
        <v>49</v>
      </c>
      <c r="D636" s="220" t="str">
        <f>vlookup(M636,'Página10'!A:B,2,false)</f>
        <v>INOV00004</v>
      </c>
      <c r="E636" s="134" t="s">
        <v>306</v>
      </c>
      <c r="F636" s="221">
        <v>44952.0</v>
      </c>
      <c r="G636" s="222">
        <v>0.125</v>
      </c>
      <c r="H636" s="134" t="s">
        <v>475</v>
      </c>
      <c r="I636" s="223" t="s">
        <v>475</v>
      </c>
      <c r="J636" s="223" t="b">
        <f t="shared" si="1"/>
        <v>1</v>
      </c>
      <c r="K636" s="145" t="s">
        <v>902</v>
      </c>
      <c r="L636" s="156"/>
      <c r="M636" s="134" t="s">
        <v>421</v>
      </c>
      <c r="N636" s="224">
        <v>114.9</v>
      </c>
      <c r="O636" s="117" t="b">
        <f t="shared" si="2"/>
        <v>1</v>
      </c>
      <c r="P636" s="117" t="b">
        <v>1</v>
      </c>
      <c r="Q636" s="117" t="s">
        <v>368</v>
      </c>
    </row>
    <row r="637" hidden="1">
      <c r="A637" s="108"/>
      <c r="B637" s="220"/>
      <c r="C637" s="134" t="s">
        <v>49</v>
      </c>
      <c r="D637" s="220" t="str">
        <f>vlookup(M637,'Página10'!A:B,2,false)</f>
        <v>INOV00004</v>
      </c>
      <c r="E637" s="134" t="s">
        <v>306</v>
      </c>
      <c r="F637" s="221">
        <v>44956.0</v>
      </c>
      <c r="G637" s="222">
        <v>0.020833333333333332</v>
      </c>
      <c r="H637" s="134" t="s">
        <v>475</v>
      </c>
      <c r="I637" s="223" t="s">
        <v>475</v>
      </c>
      <c r="J637" s="223" t="b">
        <f t="shared" si="1"/>
        <v>1</v>
      </c>
      <c r="K637" s="145" t="s">
        <v>903</v>
      </c>
      <c r="L637" s="156"/>
      <c r="M637" s="134" t="s">
        <v>421</v>
      </c>
      <c r="N637" s="224">
        <v>19.15</v>
      </c>
      <c r="O637" s="117" t="b">
        <f t="shared" si="2"/>
        <v>1</v>
      </c>
      <c r="P637" s="117" t="b">
        <v>1</v>
      </c>
      <c r="Q637" s="117" t="s">
        <v>368</v>
      </c>
    </row>
    <row r="638" hidden="1">
      <c r="A638" s="108"/>
      <c r="B638" s="220"/>
      <c r="C638" s="134" t="s">
        <v>49</v>
      </c>
      <c r="D638" s="220" t="str">
        <f>vlookup(M638,'Página10'!A:B,2,false)</f>
        <v>INOV00004</v>
      </c>
      <c r="E638" s="134" t="s">
        <v>306</v>
      </c>
      <c r="F638" s="221">
        <v>44957.0</v>
      </c>
      <c r="G638" s="222">
        <v>0.06944444444444445</v>
      </c>
      <c r="H638" s="134" t="s">
        <v>475</v>
      </c>
      <c r="I638" s="223" t="s">
        <v>475</v>
      </c>
      <c r="J638" s="223" t="b">
        <f t="shared" si="1"/>
        <v>1</v>
      </c>
      <c r="K638" s="145" t="s">
        <v>904</v>
      </c>
      <c r="L638" s="156"/>
      <c r="M638" s="134" t="s">
        <v>421</v>
      </c>
      <c r="N638" s="224">
        <v>63.83</v>
      </c>
      <c r="O638" s="117" t="b">
        <f t="shared" si="2"/>
        <v>1</v>
      </c>
      <c r="P638" s="117" t="b">
        <v>1</v>
      </c>
      <c r="Q638" s="117" t="s">
        <v>368</v>
      </c>
    </row>
    <row r="639" hidden="1">
      <c r="A639" s="108"/>
      <c r="B639" s="220"/>
      <c r="C639" s="134" t="s">
        <v>62</v>
      </c>
      <c r="D639" s="220" t="str">
        <f>vlookup(M639,'Página10'!A:B,2,false)</f>
        <v>INOV00034</v>
      </c>
      <c r="E639" s="134" t="s">
        <v>306</v>
      </c>
      <c r="F639" s="221">
        <v>44953.0</v>
      </c>
      <c r="G639" s="222">
        <v>0.0625</v>
      </c>
      <c r="H639" s="134" t="s">
        <v>475</v>
      </c>
      <c r="I639" s="223" t="s">
        <v>475</v>
      </c>
      <c r="J639" s="223" t="b">
        <f t="shared" si="1"/>
        <v>1</v>
      </c>
      <c r="K639" s="145" t="s">
        <v>905</v>
      </c>
      <c r="L639" s="156"/>
      <c r="M639" s="134" t="s">
        <v>456</v>
      </c>
      <c r="N639" s="224">
        <v>0.0</v>
      </c>
      <c r="O639" s="117" t="b">
        <f t="shared" si="2"/>
        <v>1</v>
      </c>
      <c r="P639" s="117" t="b">
        <v>1</v>
      </c>
      <c r="Q639" s="117" t="s">
        <v>368</v>
      </c>
    </row>
    <row r="640" hidden="1">
      <c r="A640" s="108"/>
      <c r="B640" s="220"/>
      <c r="C640" s="134" t="s">
        <v>49</v>
      </c>
      <c r="D640" s="220" t="str">
        <f>vlookup(M640,'Página10'!A:B,2,false)</f>
        <v>INOV00004</v>
      </c>
      <c r="E640" s="134" t="s">
        <v>306</v>
      </c>
      <c r="F640" s="221">
        <v>44958.0</v>
      </c>
      <c r="G640" s="222">
        <v>0.020833333333333332</v>
      </c>
      <c r="H640" s="134" t="s">
        <v>475</v>
      </c>
      <c r="I640" s="223" t="s">
        <v>475</v>
      </c>
      <c r="J640" s="223" t="b">
        <f t="shared" si="1"/>
        <v>1</v>
      </c>
      <c r="K640" s="145" t="s">
        <v>906</v>
      </c>
      <c r="L640" s="156"/>
      <c r="M640" s="134" t="s">
        <v>421</v>
      </c>
      <c r="N640" s="224">
        <v>24.78</v>
      </c>
      <c r="O640" s="117" t="b">
        <f t="shared" si="2"/>
        <v>1</v>
      </c>
      <c r="P640" s="117" t="b">
        <v>1</v>
      </c>
      <c r="Q640" s="117" t="s">
        <v>368</v>
      </c>
    </row>
    <row r="641" hidden="1">
      <c r="A641" s="108"/>
      <c r="B641" s="220"/>
      <c r="C641" s="134" t="s">
        <v>66</v>
      </c>
      <c r="D641" s="220" t="str">
        <f>vlookup(M641,'Página10'!A:B,2,false)</f>
        <v>INOV00038</v>
      </c>
      <c r="E641" s="134" t="s">
        <v>306</v>
      </c>
      <c r="F641" s="221">
        <v>44958.0</v>
      </c>
      <c r="G641" s="222">
        <v>0.020833333333333332</v>
      </c>
      <c r="H641" s="134" t="s">
        <v>475</v>
      </c>
      <c r="I641" s="223" t="s">
        <v>475</v>
      </c>
      <c r="J641" s="223" t="b">
        <f t="shared" si="1"/>
        <v>1</v>
      </c>
      <c r="K641" s="145" t="s">
        <v>907</v>
      </c>
      <c r="L641" s="156"/>
      <c r="M641" s="134" t="s">
        <v>460</v>
      </c>
      <c r="N641" s="224">
        <v>0.0</v>
      </c>
      <c r="O641" s="117" t="b">
        <f t="shared" si="2"/>
        <v>1</v>
      </c>
      <c r="P641" s="117" t="b">
        <v>1</v>
      </c>
      <c r="Q641" s="117" t="s">
        <v>368</v>
      </c>
    </row>
    <row r="642" hidden="1">
      <c r="A642" s="108"/>
      <c r="B642" s="220"/>
      <c r="C642" s="134" t="s">
        <v>66</v>
      </c>
      <c r="D642" s="220" t="str">
        <f>vlookup(M642,'Página10'!A:B,2,false)</f>
        <v>INOV00038</v>
      </c>
      <c r="E642" s="134" t="s">
        <v>306</v>
      </c>
      <c r="F642" s="221">
        <v>44958.0</v>
      </c>
      <c r="G642" s="222">
        <v>0.0625</v>
      </c>
      <c r="H642" s="134" t="s">
        <v>475</v>
      </c>
      <c r="I642" s="223" t="s">
        <v>475</v>
      </c>
      <c r="J642" s="223" t="b">
        <f t="shared" si="1"/>
        <v>1</v>
      </c>
      <c r="K642" s="145" t="s">
        <v>908</v>
      </c>
      <c r="L642" s="156"/>
      <c r="M642" s="134" t="s">
        <v>460</v>
      </c>
      <c r="N642" s="224">
        <v>0.0</v>
      </c>
      <c r="O642" s="117" t="b">
        <f t="shared" si="2"/>
        <v>1</v>
      </c>
      <c r="P642" s="117" t="b">
        <v>1</v>
      </c>
      <c r="Q642" s="117" t="s">
        <v>368</v>
      </c>
    </row>
    <row r="643" hidden="1">
      <c r="A643" s="108"/>
      <c r="B643" s="220"/>
      <c r="C643" s="134" t="s">
        <v>62</v>
      </c>
      <c r="D643" s="220" t="str">
        <f>vlookup(M643,'Página10'!A:B,2,false)</f>
        <v>INOV00034</v>
      </c>
      <c r="E643" s="134" t="s">
        <v>306</v>
      </c>
      <c r="F643" s="221">
        <v>44959.0</v>
      </c>
      <c r="G643" s="222">
        <v>0.020833333333333332</v>
      </c>
      <c r="H643" s="134" t="s">
        <v>475</v>
      </c>
      <c r="I643" s="223" t="s">
        <v>475</v>
      </c>
      <c r="J643" s="223" t="b">
        <f t="shared" si="1"/>
        <v>1</v>
      </c>
      <c r="K643" s="145" t="s">
        <v>909</v>
      </c>
      <c r="L643" s="156"/>
      <c r="M643" s="134" t="s">
        <v>456</v>
      </c>
      <c r="N643" s="224">
        <v>0.0</v>
      </c>
      <c r="O643" s="117" t="b">
        <f t="shared" si="2"/>
        <v>1</v>
      </c>
      <c r="P643" s="117" t="b">
        <v>1</v>
      </c>
      <c r="Q643" s="117" t="s">
        <v>368</v>
      </c>
    </row>
    <row r="644" hidden="1">
      <c r="A644" s="108"/>
      <c r="B644" s="220"/>
      <c r="C644" s="134" t="s">
        <v>59</v>
      </c>
      <c r="D644" s="220" t="str">
        <f>vlookup(M644,'Página10'!A:B,2,false)</f>
        <v>INOV00024</v>
      </c>
      <c r="E644" s="134" t="s">
        <v>306</v>
      </c>
      <c r="F644" s="221">
        <v>44960.0</v>
      </c>
      <c r="G644" s="222">
        <v>0.0625</v>
      </c>
      <c r="H644" s="134" t="s">
        <v>475</v>
      </c>
      <c r="I644" s="223" t="s">
        <v>475</v>
      </c>
      <c r="J644" s="223" t="b">
        <f t="shared" si="1"/>
        <v>1</v>
      </c>
      <c r="K644" s="145" t="s">
        <v>910</v>
      </c>
      <c r="L644" s="156"/>
      <c r="M644" s="134" t="s">
        <v>439</v>
      </c>
      <c r="N644" s="224">
        <v>74.35</v>
      </c>
      <c r="O644" s="117" t="b">
        <f t="shared" si="2"/>
        <v>1</v>
      </c>
      <c r="P644" s="117" t="b">
        <v>1</v>
      </c>
      <c r="Q644" s="117" t="s">
        <v>368</v>
      </c>
    </row>
    <row r="645" hidden="1">
      <c r="A645" s="108"/>
      <c r="B645" s="220"/>
      <c r="C645" s="134" t="s">
        <v>66</v>
      </c>
      <c r="D645" s="220" t="str">
        <f>vlookup(M645,'Página10'!A:B,2,false)</f>
        <v>INOV00038</v>
      </c>
      <c r="E645" s="134" t="s">
        <v>306</v>
      </c>
      <c r="F645" s="221">
        <v>44963.0</v>
      </c>
      <c r="G645" s="222">
        <v>0.041666666666666664</v>
      </c>
      <c r="H645" s="134" t="s">
        <v>475</v>
      </c>
      <c r="I645" s="223" t="s">
        <v>475</v>
      </c>
      <c r="J645" s="223" t="b">
        <f t="shared" si="1"/>
        <v>1</v>
      </c>
      <c r="K645" s="145" t="s">
        <v>911</v>
      </c>
      <c r="L645" s="156"/>
      <c r="M645" s="134" t="s">
        <v>460</v>
      </c>
      <c r="N645" s="224">
        <v>0.0</v>
      </c>
      <c r="O645" s="117" t="b">
        <f t="shared" si="2"/>
        <v>1</v>
      </c>
      <c r="P645" s="117" t="b">
        <v>1</v>
      </c>
      <c r="Q645" s="117" t="s">
        <v>368</v>
      </c>
    </row>
    <row r="646" hidden="1">
      <c r="A646" s="108"/>
      <c r="B646" s="220"/>
      <c r="C646" s="134" t="s">
        <v>66</v>
      </c>
      <c r="D646" s="220" t="str">
        <f>vlookup(M646,'Página10'!A:B,2,false)</f>
        <v>INOV00038</v>
      </c>
      <c r="E646" s="134" t="s">
        <v>306</v>
      </c>
      <c r="F646" s="221">
        <v>44963.0</v>
      </c>
      <c r="G646" s="222">
        <v>0.14583333333333334</v>
      </c>
      <c r="H646" s="134" t="s">
        <v>475</v>
      </c>
      <c r="I646" s="223" t="s">
        <v>475</v>
      </c>
      <c r="J646" s="223" t="b">
        <f t="shared" si="1"/>
        <v>1</v>
      </c>
      <c r="K646" s="145" t="s">
        <v>912</v>
      </c>
      <c r="L646" s="156"/>
      <c r="M646" s="134" t="s">
        <v>460</v>
      </c>
      <c r="N646" s="224">
        <v>0.0</v>
      </c>
      <c r="O646" s="117" t="b">
        <f t="shared" si="2"/>
        <v>1</v>
      </c>
      <c r="P646" s="117" t="b">
        <v>1</v>
      </c>
      <c r="Q646" s="117" t="s">
        <v>368</v>
      </c>
    </row>
    <row r="647" hidden="1">
      <c r="A647" s="108"/>
      <c r="B647" s="220"/>
      <c r="C647" s="134" t="s">
        <v>66</v>
      </c>
      <c r="D647" s="220" t="str">
        <f>vlookup(M647,'Página10'!A:B,2,false)</f>
        <v>INOV00038</v>
      </c>
      <c r="E647" s="134" t="s">
        <v>306</v>
      </c>
      <c r="F647" s="221">
        <v>44965.0</v>
      </c>
      <c r="G647" s="222">
        <v>0.041666666666666664</v>
      </c>
      <c r="H647" s="134" t="s">
        <v>475</v>
      </c>
      <c r="I647" s="223" t="s">
        <v>475</v>
      </c>
      <c r="J647" s="223" t="b">
        <f t="shared" si="1"/>
        <v>1</v>
      </c>
      <c r="K647" s="145" t="s">
        <v>913</v>
      </c>
      <c r="L647" s="156"/>
      <c r="M647" s="134" t="s">
        <v>460</v>
      </c>
      <c r="N647" s="224">
        <v>0.0</v>
      </c>
      <c r="O647" s="117" t="b">
        <f t="shared" si="2"/>
        <v>1</v>
      </c>
      <c r="P647" s="117" t="b">
        <v>1</v>
      </c>
      <c r="Q647" s="117" t="s">
        <v>368</v>
      </c>
    </row>
    <row r="648" hidden="1">
      <c r="A648" s="108"/>
      <c r="B648" s="220"/>
      <c r="C648" s="134" t="s">
        <v>290</v>
      </c>
      <c r="D648" s="220" t="str">
        <f>vlookup(M648,'Página10'!A:B,2,false)</f>
        <v>INOV00001</v>
      </c>
      <c r="E648" s="134" t="s">
        <v>306</v>
      </c>
      <c r="F648" s="221">
        <v>44966.0</v>
      </c>
      <c r="G648" s="222">
        <v>0.10416666666666667</v>
      </c>
      <c r="H648" s="134" t="s">
        <v>475</v>
      </c>
      <c r="I648" s="223" t="s">
        <v>475</v>
      </c>
      <c r="J648" s="223" t="b">
        <f t="shared" si="1"/>
        <v>1</v>
      </c>
      <c r="K648" s="145" t="s">
        <v>914</v>
      </c>
      <c r="L648" s="156"/>
      <c r="M648" s="134" t="s">
        <v>416</v>
      </c>
      <c r="N648" s="224">
        <v>123.91</v>
      </c>
      <c r="O648" s="117" t="b">
        <f t="shared" si="2"/>
        <v>1</v>
      </c>
      <c r="P648" s="117" t="b">
        <v>1</v>
      </c>
      <c r="Q648" s="117" t="s">
        <v>368</v>
      </c>
    </row>
    <row r="649" hidden="1">
      <c r="A649" s="108"/>
      <c r="B649" s="220"/>
      <c r="C649" s="134" t="s">
        <v>290</v>
      </c>
      <c r="D649" s="220" t="str">
        <f>vlookup(M649,'Página10'!A:B,2,false)</f>
        <v>INOV00001</v>
      </c>
      <c r="E649" s="134" t="s">
        <v>306</v>
      </c>
      <c r="F649" s="221">
        <v>44970.0</v>
      </c>
      <c r="G649" s="222">
        <v>0.16666666666666666</v>
      </c>
      <c r="H649" s="134" t="s">
        <v>475</v>
      </c>
      <c r="I649" s="223" t="s">
        <v>475</v>
      </c>
      <c r="J649" s="223" t="b">
        <f t="shared" si="1"/>
        <v>1</v>
      </c>
      <c r="K649" s="145" t="s">
        <v>915</v>
      </c>
      <c r="L649" s="156"/>
      <c r="M649" s="134" t="s">
        <v>416</v>
      </c>
      <c r="N649" s="224">
        <v>198.26</v>
      </c>
      <c r="O649" s="117" t="b">
        <f t="shared" si="2"/>
        <v>1</v>
      </c>
      <c r="P649" s="117" t="b">
        <v>1</v>
      </c>
      <c r="Q649" s="117" t="s">
        <v>368</v>
      </c>
    </row>
    <row r="650" hidden="1">
      <c r="A650" s="108"/>
      <c r="B650" s="220"/>
      <c r="C650" s="134" t="s">
        <v>290</v>
      </c>
      <c r="D650" s="220" t="str">
        <f>vlookup(M650,'Página10'!A:B,2,false)</f>
        <v>INOV00001</v>
      </c>
      <c r="E650" s="134" t="s">
        <v>306</v>
      </c>
      <c r="F650" s="221">
        <v>44971.0</v>
      </c>
      <c r="G650" s="222">
        <v>0.08333333333333333</v>
      </c>
      <c r="H650" s="134" t="s">
        <v>475</v>
      </c>
      <c r="I650" s="223" t="s">
        <v>475</v>
      </c>
      <c r="J650" s="223" t="b">
        <f t="shared" si="1"/>
        <v>1</v>
      </c>
      <c r="K650" s="145" t="s">
        <v>915</v>
      </c>
      <c r="L650" s="156"/>
      <c r="M650" s="134" t="s">
        <v>416</v>
      </c>
      <c r="N650" s="224">
        <v>99.13</v>
      </c>
      <c r="O650" s="117" t="b">
        <f t="shared" si="2"/>
        <v>1</v>
      </c>
      <c r="P650" s="117" t="b">
        <v>1</v>
      </c>
      <c r="Q650" s="117" t="s">
        <v>368</v>
      </c>
    </row>
    <row r="651" hidden="1">
      <c r="A651" s="108"/>
      <c r="B651" s="220"/>
      <c r="C651" s="134" t="s">
        <v>290</v>
      </c>
      <c r="D651" s="220" t="str">
        <f>vlookup(M651,'Página10'!A:B,2,false)</f>
        <v>INOV00001</v>
      </c>
      <c r="E651" s="134" t="s">
        <v>306</v>
      </c>
      <c r="F651" s="221">
        <v>44972.0</v>
      </c>
      <c r="G651" s="222">
        <v>0.041666666666666664</v>
      </c>
      <c r="H651" s="134" t="s">
        <v>475</v>
      </c>
      <c r="I651" s="223" t="s">
        <v>475</v>
      </c>
      <c r="J651" s="223" t="b">
        <f t="shared" si="1"/>
        <v>1</v>
      </c>
      <c r="K651" s="145" t="s">
        <v>915</v>
      </c>
      <c r="L651" s="156"/>
      <c r="M651" s="134" t="s">
        <v>416</v>
      </c>
      <c r="N651" s="224">
        <v>49.57</v>
      </c>
      <c r="O651" s="117" t="b">
        <f t="shared" si="2"/>
        <v>1</v>
      </c>
      <c r="P651" s="117" t="b">
        <v>1</v>
      </c>
      <c r="Q651" s="117" t="s">
        <v>368</v>
      </c>
    </row>
    <row r="652" hidden="1">
      <c r="A652" s="108"/>
      <c r="B652" s="220"/>
      <c r="C652" s="134" t="s">
        <v>290</v>
      </c>
      <c r="D652" s="220" t="str">
        <f>vlookup(M652,'Página10'!A:B,2,false)</f>
        <v>INOV00001</v>
      </c>
      <c r="E652" s="134" t="s">
        <v>306</v>
      </c>
      <c r="F652" s="221">
        <v>44972.0</v>
      </c>
      <c r="G652" s="222">
        <v>0.041666666666666664</v>
      </c>
      <c r="H652" s="134" t="s">
        <v>475</v>
      </c>
      <c r="I652" s="223" t="s">
        <v>475</v>
      </c>
      <c r="J652" s="223" t="b">
        <f t="shared" si="1"/>
        <v>1</v>
      </c>
      <c r="K652" s="145" t="s">
        <v>915</v>
      </c>
      <c r="L652" s="156"/>
      <c r="M652" s="134" t="s">
        <v>416</v>
      </c>
      <c r="N652" s="224">
        <v>49.57</v>
      </c>
      <c r="O652" s="117" t="b">
        <f t="shared" si="2"/>
        <v>1</v>
      </c>
      <c r="P652" s="117" t="b">
        <v>1</v>
      </c>
      <c r="Q652" s="117" t="s">
        <v>368</v>
      </c>
    </row>
    <row r="653" hidden="1">
      <c r="A653" s="108"/>
      <c r="B653" s="220"/>
      <c r="C653" s="134" t="s">
        <v>290</v>
      </c>
      <c r="D653" s="220" t="str">
        <f>vlookup(M653,'Página10'!A:B,2,false)</f>
        <v>INOV00001</v>
      </c>
      <c r="E653" s="134" t="s">
        <v>306</v>
      </c>
      <c r="F653" s="221">
        <v>44980.0</v>
      </c>
      <c r="G653" s="222">
        <v>0.16666666666666666</v>
      </c>
      <c r="H653" s="134" t="s">
        <v>475</v>
      </c>
      <c r="I653" s="223" t="s">
        <v>475</v>
      </c>
      <c r="J653" s="223" t="b">
        <f t="shared" si="1"/>
        <v>1</v>
      </c>
      <c r="K653" s="145" t="s">
        <v>915</v>
      </c>
      <c r="L653" s="156"/>
      <c r="M653" s="134" t="s">
        <v>416</v>
      </c>
      <c r="N653" s="224">
        <v>198.26</v>
      </c>
      <c r="O653" s="117" t="b">
        <f t="shared" si="2"/>
        <v>1</v>
      </c>
      <c r="P653" s="117" t="b">
        <v>1</v>
      </c>
      <c r="Q653" s="117" t="s">
        <v>368</v>
      </c>
    </row>
    <row r="654" hidden="1">
      <c r="A654" s="108"/>
      <c r="B654" s="220"/>
      <c r="C654" s="134" t="s">
        <v>290</v>
      </c>
      <c r="D654" s="220" t="str">
        <f>vlookup(M654,'Página10'!A:B,2,false)</f>
        <v>INOV00001</v>
      </c>
      <c r="E654" s="134" t="s">
        <v>306</v>
      </c>
      <c r="F654" s="221">
        <v>44984.0</v>
      </c>
      <c r="G654" s="222">
        <v>0.10416666666666667</v>
      </c>
      <c r="H654" s="134" t="s">
        <v>475</v>
      </c>
      <c r="I654" s="223" t="s">
        <v>475</v>
      </c>
      <c r="J654" s="223" t="b">
        <f t="shared" si="1"/>
        <v>1</v>
      </c>
      <c r="K654" s="145" t="s">
        <v>916</v>
      </c>
      <c r="L654" s="156"/>
      <c r="M654" s="134" t="s">
        <v>416</v>
      </c>
      <c r="N654" s="224">
        <v>123.91</v>
      </c>
      <c r="O654" s="117" t="b">
        <f t="shared" si="2"/>
        <v>1</v>
      </c>
      <c r="P654" s="117" t="b">
        <v>1</v>
      </c>
      <c r="Q654" s="117" t="s">
        <v>368</v>
      </c>
    </row>
    <row r="655" hidden="1">
      <c r="A655" s="108"/>
      <c r="B655" s="220"/>
      <c r="C655" s="134" t="s">
        <v>290</v>
      </c>
      <c r="D655" s="220" t="str">
        <f>vlookup(M655,'Página10'!A:B,2,false)</f>
        <v>INOV00001</v>
      </c>
      <c r="E655" s="134" t="s">
        <v>306</v>
      </c>
      <c r="F655" s="221">
        <v>44984.0</v>
      </c>
      <c r="G655" s="222">
        <v>0.041666666666666664</v>
      </c>
      <c r="H655" s="134" t="s">
        <v>475</v>
      </c>
      <c r="I655" s="223" t="s">
        <v>475</v>
      </c>
      <c r="J655" s="223" t="b">
        <f t="shared" si="1"/>
        <v>1</v>
      </c>
      <c r="K655" s="145" t="s">
        <v>916</v>
      </c>
      <c r="L655" s="156"/>
      <c r="M655" s="134" t="s">
        <v>416</v>
      </c>
      <c r="N655" s="224">
        <v>49.57</v>
      </c>
      <c r="O655" s="117" t="b">
        <f t="shared" si="2"/>
        <v>1</v>
      </c>
      <c r="P655" s="117" t="b">
        <v>1</v>
      </c>
      <c r="Q655" s="117" t="s">
        <v>368</v>
      </c>
    </row>
    <row r="656" hidden="1">
      <c r="A656" s="108"/>
      <c r="B656" s="220"/>
      <c r="C656" s="134" t="s">
        <v>290</v>
      </c>
      <c r="D656" s="220" t="str">
        <f>vlookup(M656,'Página10'!A:B,2,false)</f>
        <v>INOV00001</v>
      </c>
      <c r="E656" s="134" t="s">
        <v>306</v>
      </c>
      <c r="F656" s="221">
        <v>44985.0</v>
      </c>
      <c r="G656" s="222">
        <v>0.020833333333333332</v>
      </c>
      <c r="H656" s="134" t="s">
        <v>475</v>
      </c>
      <c r="I656" s="223" t="s">
        <v>475</v>
      </c>
      <c r="J656" s="223" t="b">
        <f t="shared" si="1"/>
        <v>1</v>
      </c>
      <c r="K656" s="145" t="s">
        <v>916</v>
      </c>
      <c r="L656" s="156"/>
      <c r="M656" s="134" t="s">
        <v>416</v>
      </c>
      <c r="N656" s="224">
        <v>24.78</v>
      </c>
      <c r="O656" s="117" t="b">
        <f t="shared" si="2"/>
        <v>1</v>
      </c>
      <c r="P656" s="117" t="b">
        <v>1</v>
      </c>
      <c r="Q656" s="117" t="s">
        <v>368</v>
      </c>
    </row>
    <row r="657" hidden="1">
      <c r="A657" s="108"/>
      <c r="B657" s="220"/>
      <c r="C657" s="134" t="s">
        <v>49</v>
      </c>
      <c r="D657" s="220" t="str">
        <f>vlookup(M657,'Página10'!A:B,2,false)</f>
        <v>INOV00004</v>
      </c>
      <c r="E657" s="134" t="s">
        <v>306</v>
      </c>
      <c r="F657" s="221">
        <v>44972.0</v>
      </c>
      <c r="G657" s="222">
        <v>0.125</v>
      </c>
      <c r="H657" s="134" t="s">
        <v>475</v>
      </c>
      <c r="I657" s="223" t="s">
        <v>475</v>
      </c>
      <c r="J657" s="223" t="b">
        <f t="shared" si="1"/>
        <v>1</v>
      </c>
      <c r="K657" s="145" t="s">
        <v>917</v>
      </c>
      <c r="L657" s="156"/>
      <c r="M657" s="134" t="s">
        <v>421</v>
      </c>
      <c r="N657" s="224">
        <v>148.7</v>
      </c>
      <c r="O657" s="117" t="b">
        <f t="shared" si="2"/>
        <v>1</v>
      </c>
      <c r="P657" s="117" t="b">
        <v>1</v>
      </c>
      <c r="Q657" s="117" t="s">
        <v>368</v>
      </c>
    </row>
    <row r="658" hidden="1">
      <c r="A658" s="108"/>
      <c r="B658" s="220"/>
      <c r="C658" s="134" t="s">
        <v>49</v>
      </c>
      <c r="D658" s="220" t="str">
        <f>vlookup(M658,'Página10'!A:B,2,false)</f>
        <v>INOV00004</v>
      </c>
      <c r="E658" s="134" t="s">
        <v>306</v>
      </c>
      <c r="F658" s="221">
        <v>44973.0</v>
      </c>
      <c r="G658" s="222">
        <v>0.041666666666666664</v>
      </c>
      <c r="H658" s="134" t="s">
        <v>475</v>
      </c>
      <c r="I658" s="223" t="s">
        <v>475</v>
      </c>
      <c r="J658" s="223" t="b">
        <f t="shared" si="1"/>
        <v>1</v>
      </c>
      <c r="K658" s="145" t="s">
        <v>906</v>
      </c>
      <c r="L658" s="156"/>
      <c r="M658" s="134" t="s">
        <v>421</v>
      </c>
      <c r="N658" s="224">
        <v>49.57</v>
      </c>
      <c r="O658" s="117" t="b">
        <f t="shared" si="2"/>
        <v>1</v>
      </c>
      <c r="P658" s="117" t="b">
        <v>1</v>
      </c>
      <c r="Q658" s="117" t="s">
        <v>368</v>
      </c>
    </row>
    <row r="659" hidden="1">
      <c r="A659" s="108"/>
      <c r="B659" s="220"/>
      <c r="C659" s="134" t="s">
        <v>49</v>
      </c>
      <c r="D659" s="220" t="str">
        <f>vlookup(M659,'Página10'!A:B,2,false)</f>
        <v>INOV00004</v>
      </c>
      <c r="E659" s="134" t="s">
        <v>306</v>
      </c>
      <c r="F659" s="221">
        <v>44974.0</v>
      </c>
      <c r="G659" s="222">
        <v>0.08333333333333333</v>
      </c>
      <c r="H659" s="134" t="s">
        <v>475</v>
      </c>
      <c r="I659" s="223" t="s">
        <v>475</v>
      </c>
      <c r="J659" s="223" t="b">
        <f t="shared" si="1"/>
        <v>1</v>
      </c>
      <c r="K659" s="145" t="s">
        <v>917</v>
      </c>
      <c r="L659" s="156"/>
      <c r="M659" s="134" t="s">
        <v>421</v>
      </c>
      <c r="N659" s="224">
        <v>99.13</v>
      </c>
      <c r="O659" s="117" t="b">
        <f t="shared" si="2"/>
        <v>1</v>
      </c>
      <c r="P659" s="117" t="b">
        <v>1</v>
      </c>
      <c r="Q659" s="117" t="s">
        <v>368</v>
      </c>
    </row>
    <row r="660" hidden="1">
      <c r="A660" s="108"/>
      <c r="B660" s="220"/>
      <c r="C660" s="134" t="s">
        <v>59</v>
      </c>
      <c r="D660" s="220" t="str">
        <f>vlookup(M660,'Página10'!A:B,2,false)</f>
        <v>INOV00024</v>
      </c>
      <c r="E660" s="134" t="s">
        <v>306</v>
      </c>
      <c r="F660" s="221">
        <v>44980.0</v>
      </c>
      <c r="G660" s="222">
        <v>0.041666666666666664</v>
      </c>
      <c r="H660" s="134" t="s">
        <v>475</v>
      </c>
      <c r="I660" s="223" t="s">
        <v>475</v>
      </c>
      <c r="J660" s="223" t="b">
        <f t="shared" si="1"/>
        <v>1</v>
      </c>
      <c r="K660" s="145" t="s">
        <v>906</v>
      </c>
      <c r="L660" s="156"/>
      <c r="M660" s="134" t="s">
        <v>439</v>
      </c>
      <c r="N660" s="224">
        <v>49.57</v>
      </c>
      <c r="O660" s="117" t="b">
        <f t="shared" si="2"/>
        <v>1</v>
      </c>
      <c r="P660" s="117" t="b">
        <v>1</v>
      </c>
      <c r="Q660" s="117" t="s">
        <v>368</v>
      </c>
    </row>
    <row r="661" hidden="1">
      <c r="A661" s="108"/>
      <c r="B661" s="220"/>
      <c r="C661" s="134" t="s">
        <v>290</v>
      </c>
      <c r="D661" s="220" t="str">
        <f>vlookup(M661,'Página10'!A:B,2,false)</f>
        <v>INOV00001</v>
      </c>
      <c r="E661" s="134" t="s">
        <v>306</v>
      </c>
      <c r="F661" s="221">
        <v>44981.0</v>
      </c>
      <c r="G661" s="222">
        <v>0.020833333333333332</v>
      </c>
      <c r="H661" s="134" t="s">
        <v>475</v>
      </c>
      <c r="I661" s="223" t="s">
        <v>475</v>
      </c>
      <c r="J661" s="223" t="b">
        <f t="shared" si="1"/>
        <v>1</v>
      </c>
      <c r="K661" s="145" t="s">
        <v>918</v>
      </c>
      <c r="L661" s="156"/>
      <c r="M661" s="134" t="s">
        <v>416</v>
      </c>
      <c r="N661" s="224">
        <v>24.78</v>
      </c>
      <c r="O661" s="117" t="b">
        <f t="shared" si="2"/>
        <v>1</v>
      </c>
      <c r="P661" s="117" t="b">
        <v>1</v>
      </c>
      <c r="Q661" s="117" t="s">
        <v>368</v>
      </c>
    </row>
    <row r="662" hidden="1">
      <c r="A662" s="108"/>
      <c r="B662" s="220"/>
      <c r="C662" s="134" t="s">
        <v>49</v>
      </c>
      <c r="D662" s="220" t="str">
        <f>vlookup(M662,'Página10'!A:B,2,false)</f>
        <v>INOV00004</v>
      </c>
      <c r="E662" s="134" t="s">
        <v>306</v>
      </c>
      <c r="F662" s="221">
        <v>44981.0</v>
      </c>
      <c r="G662" s="222">
        <v>0.020833333333333332</v>
      </c>
      <c r="H662" s="134" t="s">
        <v>475</v>
      </c>
      <c r="I662" s="223" t="s">
        <v>475</v>
      </c>
      <c r="J662" s="223" t="b">
        <f t="shared" si="1"/>
        <v>1</v>
      </c>
      <c r="K662" s="145" t="s">
        <v>919</v>
      </c>
      <c r="L662" s="156"/>
      <c r="M662" s="134" t="s">
        <v>421</v>
      </c>
      <c r="N662" s="224">
        <v>24.78</v>
      </c>
      <c r="O662" s="117" t="b">
        <f t="shared" si="2"/>
        <v>1</v>
      </c>
      <c r="P662" s="117" t="b">
        <v>1</v>
      </c>
      <c r="Q662" s="117" t="s">
        <v>368</v>
      </c>
    </row>
    <row r="663" hidden="1">
      <c r="A663" s="108"/>
      <c r="B663" s="220"/>
      <c r="C663" s="134" t="s">
        <v>62</v>
      </c>
      <c r="D663" s="220" t="str">
        <f>vlookup(M663,'Página10'!A:B,2,false)</f>
        <v>INOV00034</v>
      </c>
      <c r="E663" s="134" t="s">
        <v>306</v>
      </c>
      <c r="F663" s="221">
        <v>44984.0</v>
      </c>
      <c r="G663" s="222">
        <v>0.0625</v>
      </c>
      <c r="H663" s="134" t="s">
        <v>475</v>
      </c>
      <c r="I663" s="223" t="s">
        <v>475</v>
      </c>
      <c r="J663" s="223" t="b">
        <f t="shared" si="1"/>
        <v>1</v>
      </c>
      <c r="K663" s="145" t="s">
        <v>920</v>
      </c>
      <c r="L663" s="156"/>
      <c r="M663" s="134" t="s">
        <v>456</v>
      </c>
      <c r="N663" s="224">
        <v>0.0</v>
      </c>
      <c r="O663" s="117" t="b">
        <f t="shared" si="2"/>
        <v>1</v>
      </c>
      <c r="P663" s="117" t="b">
        <v>1</v>
      </c>
      <c r="Q663" s="117" t="s">
        <v>368</v>
      </c>
    </row>
    <row r="664" hidden="1">
      <c r="A664" s="108"/>
      <c r="B664" s="220"/>
      <c r="C664" s="134" t="s">
        <v>62</v>
      </c>
      <c r="D664" s="220" t="str">
        <f>vlookup(M664,'Página10'!A:B,2,false)</f>
        <v>INOV00034</v>
      </c>
      <c r="E664" s="134" t="s">
        <v>306</v>
      </c>
      <c r="F664" s="221">
        <v>44985.0</v>
      </c>
      <c r="G664" s="222">
        <v>0.10416666666666667</v>
      </c>
      <c r="H664" s="134" t="s">
        <v>475</v>
      </c>
      <c r="I664" s="223" t="s">
        <v>475</v>
      </c>
      <c r="J664" s="223" t="b">
        <f t="shared" si="1"/>
        <v>1</v>
      </c>
      <c r="K664" s="145" t="s">
        <v>920</v>
      </c>
      <c r="L664" s="156"/>
      <c r="M664" s="134" t="s">
        <v>456</v>
      </c>
      <c r="N664" s="224">
        <v>0.0</v>
      </c>
      <c r="O664" s="117" t="b">
        <f t="shared" si="2"/>
        <v>1</v>
      </c>
      <c r="P664" s="117" t="b">
        <v>1</v>
      </c>
      <c r="Q664" s="117" t="s">
        <v>368</v>
      </c>
    </row>
    <row r="665" hidden="1">
      <c r="A665" s="108"/>
      <c r="B665" s="220"/>
      <c r="C665" s="134" t="s">
        <v>62</v>
      </c>
      <c r="D665" s="220" t="str">
        <f>vlookup(M665,'Página10'!A:B,2,false)</f>
        <v>INOV00034</v>
      </c>
      <c r="E665" s="134" t="s">
        <v>306</v>
      </c>
      <c r="F665" s="221">
        <v>44985.0</v>
      </c>
      <c r="G665" s="222">
        <v>0.19791666666666666</v>
      </c>
      <c r="H665" s="134" t="s">
        <v>475</v>
      </c>
      <c r="I665" s="223" t="s">
        <v>475</v>
      </c>
      <c r="J665" s="223" t="b">
        <f t="shared" si="1"/>
        <v>1</v>
      </c>
      <c r="K665" s="145" t="s">
        <v>920</v>
      </c>
      <c r="L665" s="156"/>
      <c r="M665" s="134" t="s">
        <v>456</v>
      </c>
      <c r="N665" s="224">
        <v>0.0</v>
      </c>
      <c r="O665" s="117" t="b">
        <f t="shared" si="2"/>
        <v>1</v>
      </c>
      <c r="P665" s="117" t="b">
        <v>1</v>
      </c>
      <c r="Q665" s="117" t="s">
        <v>368</v>
      </c>
    </row>
    <row r="666" hidden="1">
      <c r="A666" s="108"/>
      <c r="B666" s="220"/>
      <c r="C666" s="134" t="s">
        <v>62</v>
      </c>
      <c r="D666" s="220" t="str">
        <f>vlookup(M666,'Página10'!A:B,2,false)</f>
        <v>INOV00034</v>
      </c>
      <c r="E666" s="134" t="s">
        <v>306</v>
      </c>
      <c r="F666" s="221">
        <v>44986.0</v>
      </c>
      <c r="G666" s="222">
        <v>0.041666666666666664</v>
      </c>
      <c r="H666" s="134" t="s">
        <v>475</v>
      </c>
      <c r="I666" s="223" t="s">
        <v>475</v>
      </c>
      <c r="J666" s="223" t="b">
        <f t="shared" si="1"/>
        <v>1</v>
      </c>
      <c r="K666" s="145" t="s">
        <v>921</v>
      </c>
      <c r="L666" s="156"/>
      <c r="M666" s="134" t="s">
        <v>456</v>
      </c>
      <c r="N666" s="224">
        <v>0.0</v>
      </c>
      <c r="O666" s="117" t="b">
        <f t="shared" si="2"/>
        <v>1</v>
      </c>
      <c r="P666" s="117" t="b">
        <v>1</v>
      </c>
      <c r="Q666" s="117" t="s">
        <v>368</v>
      </c>
    </row>
    <row r="667" hidden="1">
      <c r="A667" s="108"/>
      <c r="B667" s="220"/>
      <c r="C667" s="134" t="s">
        <v>62</v>
      </c>
      <c r="D667" s="220" t="str">
        <f>vlookup(M667,'Página10'!A:B,2,false)</f>
        <v>INOV00034</v>
      </c>
      <c r="E667" s="134" t="s">
        <v>306</v>
      </c>
      <c r="F667" s="221">
        <v>44987.0</v>
      </c>
      <c r="G667" s="222">
        <v>0.041666666666666664</v>
      </c>
      <c r="H667" s="134" t="s">
        <v>475</v>
      </c>
      <c r="I667" s="223" t="s">
        <v>475</v>
      </c>
      <c r="J667" s="223" t="b">
        <f t="shared" si="1"/>
        <v>1</v>
      </c>
      <c r="K667" s="145" t="s">
        <v>921</v>
      </c>
      <c r="L667" s="156"/>
      <c r="M667" s="134" t="s">
        <v>456</v>
      </c>
      <c r="N667" s="224">
        <v>0.0</v>
      </c>
      <c r="O667" s="117" t="b">
        <f t="shared" si="2"/>
        <v>1</v>
      </c>
      <c r="P667" s="117" t="b">
        <v>1</v>
      </c>
      <c r="Q667" s="117" t="s">
        <v>368</v>
      </c>
    </row>
    <row r="668" hidden="1">
      <c r="A668" s="108"/>
      <c r="B668" s="220"/>
      <c r="C668" s="134" t="s">
        <v>49</v>
      </c>
      <c r="D668" s="220" t="str">
        <f>vlookup(M668,'Página10'!A:B,2,false)</f>
        <v>INOV00004</v>
      </c>
      <c r="E668" s="134" t="s">
        <v>306</v>
      </c>
      <c r="F668" s="221">
        <v>44992.0</v>
      </c>
      <c r="G668" s="222">
        <v>0.041666666666666664</v>
      </c>
      <c r="H668" s="134" t="s">
        <v>475</v>
      </c>
      <c r="I668" s="223" t="s">
        <v>475</v>
      </c>
      <c r="J668" s="223" t="b">
        <f t="shared" si="1"/>
        <v>1</v>
      </c>
      <c r="K668" s="145" t="s">
        <v>922</v>
      </c>
      <c r="L668" s="156"/>
      <c r="M668" s="134" t="s">
        <v>421</v>
      </c>
      <c r="N668" s="224">
        <v>36.64</v>
      </c>
      <c r="O668" s="117" t="b">
        <f t="shared" si="2"/>
        <v>1</v>
      </c>
      <c r="P668" s="117" t="b">
        <v>1</v>
      </c>
      <c r="Q668" s="117" t="s">
        <v>368</v>
      </c>
    </row>
    <row r="669" hidden="1">
      <c r="A669" s="108"/>
      <c r="B669" s="220"/>
      <c r="C669" s="134" t="s">
        <v>62</v>
      </c>
      <c r="D669" s="220" t="str">
        <f>vlookup(M669,'Página10'!A:B,2,false)</f>
        <v>INOV00034</v>
      </c>
      <c r="E669" s="134" t="s">
        <v>306</v>
      </c>
      <c r="F669" s="221">
        <v>44992.0</v>
      </c>
      <c r="G669" s="222">
        <v>0.020833333333333332</v>
      </c>
      <c r="H669" s="134" t="s">
        <v>475</v>
      </c>
      <c r="I669" s="223" t="s">
        <v>475</v>
      </c>
      <c r="J669" s="223" t="b">
        <f t="shared" si="1"/>
        <v>1</v>
      </c>
      <c r="K669" s="145" t="s">
        <v>923</v>
      </c>
      <c r="L669" s="156"/>
      <c r="M669" s="134" t="s">
        <v>456</v>
      </c>
      <c r="N669" s="224">
        <v>0.0</v>
      </c>
      <c r="O669" s="117" t="b">
        <f t="shared" si="2"/>
        <v>1</v>
      </c>
      <c r="P669" s="117" t="b">
        <v>1</v>
      </c>
      <c r="Q669" s="117" t="s">
        <v>368</v>
      </c>
    </row>
    <row r="670" hidden="1">
      <c r="A670" s="108"/>
      <c r="B670" s="220"/>
      <c r="C670" s="134" t="s">
        <v>49</v>
      </c>
      <c r="D670" s="220" t="str">
        <f>vlookup(M670,'Página10'!A:B,2,false)</f>
        <v>INOV00004</v>
      </c>
      <c r="E670" s="134" t="s">
        <v>306</v>
      </c>
      <c r="F670" s="221">
        <v>44992.0</v>
      </c>
      <c r="G670" s="222">
        <v>0.041666666666666664</v>
      </c>
      <c r="H670" s="134" t="s">
        <v>475</v>
      </c>
      <c r="I670" s="223" t="s">
        <v>475</v>
      </c>
      <c r="J670" s="223" t="b">
        <f t="shared" si="1"/>
        <v>1</v>
      </c>
      <c r="K670" s="145" t="s">
        <v>924</v>
      </c>
      <c r="L670" s="156"/>
      <c r="M670" s="134" t="s">
        <v>421</v>
      </c>
      <c r="N670" s="224">
        <v>36.64</v>
      </c>
      <c r="O670" s="117" t="b">
        <f t="shared" si="2"/>
        <v>1</v>
      </c>
      <c r="P670" s="117" t="b">
        <v>1</v>
      </c>
      <c r="Q670" s="117" t="s">
        <v>368</v>
      </c>
    </row>
    <row r="671">
      <c r="A671" s="108"/>
      <c r="B671" s="220"/>
      <c r="C671" s="134" t="s">
        <v>60</v>
      </c>
      <c r="D671" s="220" t="str">
        <f>vlookup(M671,'Página10'!A:B,2,false)</f>
        <v>INOV00027</v>
      </c>
      <c r="E671" s="134" t="s">
        <v>306</v>
      </c>
      <c r="F671" s="221">
        <v>44993.0</v>
      </c>
      <c r="G671" s="222">
        <v>0.041666666666666664</v>
      </c>
      <c r="H671" s="134" t="s">
        <v>475</v>
      </c>
      <c r="I671" s="223" t="s">
        <v>475</v>
      </c>
      <c r="J671" s="223" t="b">
        <f t="shared" si="1"/>
        <v>1</v>
      </c>
      <c r="K671" s="145" t="s">
        <v>925</v>
      </c>
      <c r="L671" s="156"/>
      <c r="M671" s="134" t="s">
        <v>444</v>
      </c>
      <c r="N671" s="224">
        <v>36.64</v>
      </c>
      <c r="O671" s="117" t="b">
        <f t="shared" si="2"/>
        <v>1</v>
      </c>
      <c r="P671" s="117" t="b">
        <v>1</v>
      </c>
      <c r="Q671" s="117" t="s">
        <v>368</v>
      </c>
    </row>
    <row r="672">
      <c r="A672" s="108"/>
      <c r="B672" s="220"/>
      <c r="C672" s="134" t="s">
        <v>60</v>
      </c>
      <c r="D672" s="220" t="str">
        <f>vlookup(M672,'Página10'!A:B,2,false)</f>
        <v>INOV00027</v>
      </c>
      <c r="E672" s="134" t="s">
        <v>306</v>
      </c>
      <c r="F672" s="221">
        <v>44993.0</v>
      </c>
      <c r="G672" s="222">
        <v>0.08333333333333333</v>
      </c>
      <c r="H672" s="134" t="s">
        <v>475</v>
      </c>
      <c r="I672" s="223" t="s">
        <v>475</v>
      </c>
      <c r="J672" s="223" t="b">
        <f t="shared" si="1"/>
        <v>1</v>
      </c>
      <c r="K672" s="145" t="s">
        <v>926</v>
      </c>
      <c r="L672" s="156"/>
      <c r="M672" s="134" t="s">
        <v>444</v>
      </c>
      <c r="N672" s="224">
        <v>73.27</v>
      </c>
      <c r="O672" s="117" t="b">
        <f t="shared" si="2"/>
        <v>1</v>
      </c>
      <c r="P672" s="117" t="b">
        <v>1</v>
      </c>
      <c r="Q672" s="117" t="s">
        <v>368</v>
      </c>
    </row>
    <row r="673" hidden="1">
      <c r="A673" s="108"/>
      <c r="B673" s="220"/>
      <c r="C673" s="134" t="s">
        <v>62</v>
      </c>
      <c r="D673" s="220" t="str">
        <f>vlookup(M673,'Página10'!A:B,2,false)</f>
        <v>INOV00034</v>
      </c>
      <c r="E673" s="134" t="s">
        <v>306</v>
      </c>
      <c r="F673" s="221">
        <v>44994.0</v>
      </c>
      <c r="G673" s="222">
        <v>0.020833333333333332</v>
      </c>
      <c r="H673" s="134" t="s">
        <v>475</v>
      </c>
      <c r="I673" s="223" t="s">
        <v>475</v>
      </c>
      <c r="J673" s="223" t="b">
        <f t="shared" si="1"/>
        <v>1</v>
      </c>
      <c r="K673" s="145" t="s">
        <v>927</v>
      </c>
      <c r="L673" s="156"/>
      <c r="M673" s="134" t="s">
        <v>456</v>
      </c>
      <c r="N673" s="224">
        <v>0.0</v>
      </c>
      <c r="O673" s="117" t="b">
        <f t="shared" si="2"/>
        <v>1</v>
      </c>
      <c r="P673" s="117" t="b">
        <v>1</v>
      </c>
      <c r="Q673" s="117" t="s">
        <v>368</v>
      </c>
    </row>
    <row r="674" hidden="1">
      <c r="A674" s="108"/>
      <c r="B674" s="220"/>
      <c r="C674" s="134" t="s">
        <v>59</v>
      </c>
      <c r="D674" s="220" t="str">
        <f>vlookup(M674,'Página10'!A:B,2,false)</f>
        <v>INOV00024</v>
      </c>
      <c r="E674" s="134" t="s">
        <v>306</v>
      </c>
      <c r="F674" s="221">
        <v>44995.0</v>
      </c>
      <c r="G674" s="222">
        <v>0.020833333333333332</v>
      </c>
      <c r="H674" s="134" t="s">
        <v>475</v>
      </c>
      <c r="I674" s="223" t="s">
        <v>475</v>
      </c>
      <c r="J674" s="223" t="b">
        <f t="shared" si="1"/>
        <v>1</v>
      </c>
      <c r="K674" s="145" t="s">
        <v>928</v>
      </c>
      <c r="L674" s="156"/>
      <c r="M674" s="134" t="s">
        <v>439</v>
      </c>
      <c r="N674" s="224">
        <v>18.32</v>
      </c>
      <c r="O674" s="117" t="b">
        <f t="shared" si="2"/>
        <v>1</v>
      </c>
      <c r="P674" s="117" t="b">
        <v>1</v>
      </c>
      <c r="Q674" s="117" t="s">
        <v>368</v>
      </c>
    </row>
    <row r="675">
      <c r="A675" s="108"/>
      <c r="B675" s="220"/>
      <c r="C675" s="134" t="s">
        <v>60</v>
      </c>
      <c r="D675" s="220" t="str">
        <f>vlookup(M675,'Página10'!A:B,2,false)</f>
        <v>INOV00027</v>
      </c>
      <c r="E675" s="134" t="s">
        <v>306</v>
      </c>
      <c r="F675" s="221">
        <v>44995.0</v>
      </c>
      <c r="G675" s="222">
        <v>0.041666666666666664</v>
      </c>
      <c r="H675" s="134" t="s">
        <v>475</v>
      </c>
      <c r="I675" s="223" t="s">
        <v>475</v>
      </c>
      <c r="J675" s="223" t="b">
        <f t="shared" si="1"/>
        <v>1</v>
      </c>
      <c r="K675" s="145" t="s">
        <v>929</v>
      </c>
      <c r="L675" s="156"/>
      <c r="M675" s="134" t="s">
        <v>444</v>
      </c>
      <c r="N675" s="224">
        <v>36.64</v>
      </c>
      <c r="O675" s="117" t="b">
        <f t="shared" si="2"/>
        <v>1</v>
      </c>
      <c r="P675" s="117" t="b">
        <v>1</v>
      </c>
      <c r="Q675" s="117" t="s">
        <v>368</v>
      </c>
    </row>
    <row r="676">
      <c r="A676" s="108"/>
      <c r="B676" s="220"/>
      <c r="C676" s="134" t="s">
        <v>60</v>
      </c>
      <c r="D676" s="220" t="str">
        <f>vlookup(M676,'Página10'!A:B,2,false)</f>
        <v>INOV00027</v>
      </c>
      <c r="E676" s="134" t="s">
        <v>306</v>
      </c>
      <c r="F676" s="221">
        <v>44999.0</v>
      </c>
      <c r="G676" s="222">
        <v>0.08333333333333333</v>
      </c>
      <c r="H676" s="134" t="s">
        <v>475</v>
      </c>
      <c r="I676" s="223" t="s">
        <v>475</v>
      </c>
      <c r="J676" s="223" t="b">
        <f t="shared" si="1"/>
        <v>1</v>
      </c>
      <c r="K676" s="145" t="s">
        <v>930</v>
      </c>
      <c r="L676" s="156"/>
      <c r="M676" s="134" t="s">
        <v>444</v>
      </c>
      <c r="N676" s="224">
        <v>73.27</v>
      </c>
      <c r="O676" s="117" t="b">
        <f t="shared" si="2"/>
        <v>1</v>
      </c>
      <c r="P676" s="117" t="b">
        <v>1</v>
      </c>
      <c r="Q676" s="117" t="s">
        <v>368</v>
      </c>
    </row>
    <row r="677" hidden="1">
      <c r="A677" s="108"/>
      <c r="B677" s="220"/>
      <c r="C677" s="134" t="s">
        <v>62</v>
      </c>
      <c r="D677" s="220" t="str">
        <f>vlookup(M677,'Página10'!A:B,2,false)</f>
        <v>INOV00034</v>
      </c>
      <c r="E677" s="134" t="s">
        <v>306</v>
      </c>
      <c r="F677" s="221">
        <v>45000.0</v>
      </c>
      <c r="G677" s="222">
        <v>0.020833333333333332</v>
      </c>
      <c r="H677" s="134" t="s">
        <v>475</v>
      </c>
      <c r="I677" s="223" t="s">
        <v>475</v>
      </c>
      <c r="J677" s="223" t="b">
        <f t="shared" si="1"/>
        <v>1</v>
      </c>
      <c r="K677" s="145" t="s">
        <v>931</v>
      </c>
      <c r="L677" s="156"/>
      <c r="M677" s="134" t="s">
        <v>456</v>
      </c>
      <c r="N677" s="224">
        <v>0.0</v>
      </c>
      <c r="O677" s="117" t="b">
        <f t="shared" si="2"/>
        <v>1</v>
      </c>
      <c r="P677" s="117" t="b">
        <v>1</v>
      </c>
      <c r="Q677" s="117" t="s">
        <v>368</v>
      </c>
    </row>
    <row r="678">
      <c r="A678" s="108"/>
      <c r="B678" s="220"/>
      <c r="C678" s="134" t="s">
        <v>60</v>
      </c>
      <c r="D678" s="220" t="str">
        <f>vlookup(M678,'Página10'!A:B,2,false)</f>
        <v>INOV00027</v>
      </c>
      <c r="E678" s="134" t="s">
        <v>306</v>
      </c>
      <c r="F678" s="221">
        <v>45001.0</v>
      </c>
      <c r="G678" s="222">
        <v>0.020833333333333332</v>
      </c>
      <c r="H678" s="134" t="s">
        <v>475</v>
      </c>
      <c r="I678" s="223" t="s">
        <v>475</v>
      </c>
      <c r="J678" s="223" t="b">
        <f t="shared" si="1"/>
        <v>1</v>
      </c>
      <c r="K678" s="145" t="s">
        <v>932</v>
      </c>
      <c r="L678" s="156"/>
      <c r="M678" s="134" t="s">
        <v>444</v>
      </c>
      <c r="N678" s="224">
        <v>18.32</v>
      </c>
      <c r="O678" s="117" t="b">
        <f t="shared" si="2"/>
        <v>1</v>
      </c>
      <c r="P678" s="117" t="b">
        <v>1</v>
      </c>
      <c r="Q678" s="117" t="s">
        <v>368</v>
      </c>
    </row>
    <row r="679" hidden="1">
      <c r="A679" s="108"/>
      <c r="B679" s="220"/>
      <c r="C679" s="134" t="s">
        <v>62</v>
      </c>
      <c r="D679" s="220" t="str">
        <f>vlookup(M679,'Página10'!A:B,2,false)</f>
        <v>INOV00034</v>
      </c>
      <c r="E679" s="134" t="s">
        <v>306</v>
      </c>
      <c r="F679" s="221">
        <v>45001.0</v>
      </c>
      <c r="G679" s="222">
        <v>0.041666666666666664</v>
      </c>
      <c r="H679" s="134" t="s">
        <v>475</v>
      </c>
      <c r="I679" s="223" t="s">
        <v>475</v>
      </c>
      <c r="J679" s="223" t="b">
        <f t="shared" si="1"/>
        <v>1</v>
      </c>
      <c r="K679" s="145" t="s">
        <v>933</v>
      </c>
      <c r="L679" s="156"/>
      <c r="M679" s="134" t="s">
        <v>456</v>
      </c>
      <c r="N679" s="224">
        <v>0.0</v>
      </c>
      <c r="O679" s="117" t="b">
        <f t="shared" si="2"/>
        <v>1</v>
      </c>
      <c r="P679" s="117" t="b">
        <v>1</v>
      </c>
      <c r="Q679" s="117" t="s">
        <v>368</v>
      </c>
    </row>
    <row r="680" hidden="1">
      <c r="A680" s="108"/>
      <c r="B680" s="220"/>
      <c r="C680" s="134" t="s">
        <v>441</v>
      </c>
      <c r="D680" s="220" t="str">
        <f>vlookup(M680,'Página10'!A:B,2,false)</f>
        <v>INOV00025</v>
      </c>
      <c r="E680" s="134" t="s">
        <v>306</v>
      </c>
      <c r="F680" s="221">
        <v>45002.0</v>
      </c>
      <c r="G680" s="222">
        <v>0.0798611111111111</v>
      </c>
      <c r="H680" s="134" t="s">
        <v>411</v>
      </c>
      <c r="I680" s="223" t="s">
        <v>411</v>
      </c>
      <c r="J680" s="223" t="b">
        <f t="shared" si="1"/>
        <v>1</v>
      </c>
      <c r="K680" s="145" t="s">
        <v>934</v>
      </c>
      <c r="L680" s="156"/>
      <c r="M680" s="134" t="s">
        <v>440</v>
      </c>
      <c r="N680" s="224">
        <v>0.0</v>
      </c>
      <c r="O680" s="117" t="b">
        <f t="shared" si="2"/>
        <v>1</v>
      </c>
      <c r="P680" s="117" t="b">
        <v>0</v>
      </c>
      <c r="Q680" s="117" t="s">
        <v>368</v>
      </c>
    </row>
    <row r="681" hidden="1">
      <c r="A681" s="108"/>
      <c r="B681" s="220"/>
      <c r="C681" s="134" t="s">
        <v>59</v>
      </c>
      <c r="D681" s="220" t="str">
        <f>vlookup(M681,'Página10'!A:B,2,false)</f>
        <v>INOV00024</v>
      </c>
      <c r="E681" s="134" t="s">
        <v>306</v>
      </c>
      <c r="F681" s="221">
        <v>45002.0</v>
      </c>
      <c r="G681" s="222">
        <v>0.0625</v>
      </c>
      <c r="H681" s="134" t="s">
        <v>475</v>
      </c>
      <c r="I681" s="223" t="s">
        <v>475</v>
      </c>
      <c r="J681" s="223" t="b">
        <f t="shared" si="1"/>
        <v>1</v>
      </c>
      <c r="K681" s="145" t="s">
        <v>935</v>
      </c>
      <c r="L681" s="156"/>
      <c r="M681" s="134" t="s">
        <v>439</v>
      </c>
      <c r="N681" s="224">
        <v>54.95</v>
      </c>
      <c r="O681" s="117" t="b">
        <f t="shared" si="2"/>
        <v>1</v>
      </c>
      <c r="P681" s="117" t="b">
        <v>1</v>
      </c>
      <c r="Q681" s="117" t="s">
        <v>368</v>
      </c>
    </row>
    <row r="682" hidden="1">
      <c r="A682" s="108"/>
      <c r="B682" s="220"/>
      <c r="C682" s="134" t="s">
        <v>59</v>
      </c>
      <c r="D682" s="220" t="str">
        <f>vlookup(M682,'Página10'!A:B,2,false)</f>
        <v>INOV00024</v>
      </c>
      <c r="E682" s="134" t="s">
        <v>306</v>
      </c>
      <c r="F682" s="221">
        <v>45005.0</v>
      </c>
      <c r="G682" s="222">
        <v>0.020833333333333332</v>
      </c>
      <c r="H682" s="134" t="s">
        <v>475</v>
      </c>
      <c r="I682" s="223" t="s">
        <v>475</v>
      </c>
      <c r="J682" s="223" t="b">
        <f t="shared" si="1"/>
        <v>1</v>
      </c>
      <c r="K682" s="145" t="s">
        <v>935</v>
      </c>
      <c r="L682" s="156"/>
      <c r="M682" s="134" t="s">
        <v>439</v>
      </c>
      <c r="N682" s="224">
        <v>18.32</v>
      </c>
      <c r="O682" s="117" t="b">
        <f t="shared" si="2"/>
        <v>1</v>
      </c>
      <c r="P682" s="117" t="b">
        <v>1</v>
      </c>
      <c r="Q682" s="117" t="s">
        <v>368</v>
      </c>
    </row>
    <row r="683">
      <c r="A683" s="108"/>
      <c r="B683" s="220"/>
      <c r="C683" s="134" t="s">
        <v>60</v>
      </c>
      <c r="D683" s="220" t="str">
        <f>vlookup(M683,'Página10'!A:B,2,false)</f>
        <v>INOV00027</v>
      </c>
      <c r="E683" s="134" t="s">
        <v>306</v>
      </c>
      <c r="F683" s="221">
        <v>45007.0</v>
      </c>
      <c r="G683" s="222">
        <v>0.020833333333333332</v>
      </c>
      <c r="H683" s="134" t="s">
        <v>475</v>
      </c>
      <c r="I683" s="223" t="s">
        <v>475</v>
      </c>
      <c r="J683" s="223" t="b">
        <f t="shared" si="1"/>
        <v>1</v>
      </c>
      <c r="K683" s="145" t="s">
        <v>932</v>
      </c>
      <c r="L683" s="156"/>
      <c r="M683" s="134" t="s">
        <v>444</v>
      </c>
      <c r="N683" s="224">
        <v>18.32</v>
      </c>
      <c r="O683" s="117" t="b">
        <f t="shared" si="2"/>
        <v>1</v>
      </c>
      <c r="P683" s="117" t="b">
        <v>1</v>
      </c>
      <c r="Q683" s="117" t="s">
        <v>368</v>
      </c>
    </row>
    <row r="684" hidden="1">
      <c r="A684" s="108"/>
      <c r="B684" s="220"/>
      <c r="C684" s="134" t="s">
        <v>435</v>
      </c>
      <c r="D684" s="220" t="str">
        <f>vlookup(M684,'Página10'!A:B,2,false)</f>
        <v>INOV00020</v>
      </c>
      <c r="E684" s="134" t="s">
        <v>306</v>
      </c>
      <c r="F684" s="221">
        <v>45007.0</v>
      </c>
      <c r="G684" s="222">
        <v>0.08333333333333333</v>
      </c>
      <c r="H684" s="134" t="s">
        <v>411</v>
      </c>
      <c r="I684" s="223" t="s">
        <v>411</v>
      </c>
      <c r="J684" s="223" t="b">
        <f t="shared" si="1"/>
        <v>1</v>
      </c>
      <c r="K684" s="145" t="s">
        <v>926</v>
      </c>
      <c r="L684" s="156"/>
      <c r="M684" s="134" t="s">
        <v>434</v>
      </c>
      <c r="N684" s="224">
        <v>0.0</v>
      </c>
      <c r="O684" s="117" t="b">
        <f t="shared" si="2"/>
        <v>1</v>
      </c>
      <c r="P684" s="117" t="b">
        <v>0</v>
      </c>
      <c r="Q684" s="117" t="s">
        <v>368</v>
      </c>
    </row>
    <row r="685" hidden="1">
      <c r="A685" s="108"/>
      <c r="B685" s="220"/>
      <c r="C685" s="134" t="s">
        <v>435</v>
      </c>
      <c r="D685" s="220" t="str">
        <f>vlookup(M685,'Página10'!A:B,2,false)</f>
        <v>INOV00020</v>
      </c>
      <c r="E685" s="134" t="s">
        <v>306</v>
      </c>
      <c r="F685" s="221">
        <v>45008.0</v>
      </c>
      <c r="G685" s="222">
        <v>0.08333333333333333</v>
      </c>
      <c r="H685" s="134" t="s">
        <v>411</v>
      </c>
      <c r="I685" s="223" t="s">
        <v>411</v>
      </c>
      <c r="J685" s="223" t="b">
        <f t="shared" si="1"/>
        <v>1</v>
      </c>
      <c r="K685" s="145" t="s">
        <v>926</v>
      </c>
      <c r="L685" s="156"/>
      <c r="M685" s="134" t="s">
        <v>434</v>
      </c>
      <c r="N685" s="224">
        <v>0.0</v>
      </c>
      <c r="O685" s="117" t="b">
        <f t="shared" si="2"/>
        <v>1</v>
      </c>
      <c r="P685" s="117" t="b">
        <v>0</v>
      </c>
      <c r="Q685" s="117" t="s">
        <v>368</v>
      </c>
    </row>
    <row r="686">
      <c r="A686" s="108"/>
      <c r="B686" s="220"/>
      <c r="C686" s="134" t="s">
        <v>60</v>
      </c>
      <c r="D686" s="220" t="str">
        <f>vlookup(M686,'Página10'!A:B,2,false)</f>
        <v>INOV00027</v>
      </c>
      <c r="E686" s="134" t="s">
        <v>306</v>
      </c>
      <c r="F686" s="221">
        <v>45009.0</v>
      </c>
      <c r="G686" s="222">
        <v>0.10416666666666667</v>
      </c>
      <c r="H686" s="134" t="s">
        <v>475</v>
      </c>
      <c r="I686" s="223" t="s">
        <v>475</v>
      </c>
      <c r="J686" s="223" t="b">
        <f t="shared" si="1"/>
        <v>1</v>
      </c>
      <c r="K686" s="145" t="s">
        <v>936</v>
      </c>
      <c r="L686" s="156"/>
      <c r="M686" s="134" t="s">
        <v>444</v>
      </c>
      <c r="N686" s="224">
        <v>91.59</v>
      </c>
      <c r="O686" s="117" t="b">
        <f t="shared" si="2"/>
        <v>1</v>
      </c>
      <c r="P686" s="117" t="b">
        <v>1</v>
      </c>
      <c r="Q686" s="117" t="s">
        <v>368</v>
      </c>
    </row>
    <row r="687" hidden="1">
      <c r="A687" s="108"/>
      <c r="B687" s="220"/>
      <c r="C687" s="134" t="s">
        <v>50</v>
      </c>
      <c r="D687" s="220" t="str">
        <f>vlookup(M687,'Página10'!A:B,2,false)</f>
        <v>INOV00006</v>
      </c>
      <c r="E687" s="134" t="s">
        <v>306</v>
      </c>
      <c r="F687" s="221">
        <v>45009.0</v>
      </c>
      <c r="G687" s="222">
        <v>0.020833333333333332</v>
      </c>
      <c r="H687" s="134" t="s">
        <v>411</v>
      </c>
      <c r="I687" s="223" t="s">
        <v>411</v>
      </c>
      <c r="J687" s="223" t="b">
        <f t="shared" si="1"/>
        <v>1</v>
      </c>
      <c r="K687" s="145" t="s">
        <v>937</v>
      </c>
      <c r="L687" s="156"/>
      <c r="M687" s="134" t="s">
        <v>422</v>
      </c>
      <c r="N687" s="224">
        <v>18.32</v>
      </c>
      <c r="O687" s="117" t="b">
        <f t="shared" si="2"/>
        <v>1</v>
      </c>
      <c r="P687" s="117" t="b">
        <v>1</v>
      </c>
      <c r="Q687" s="117" t="s">
        <v>368</v>
      </c>
    </row>
    <row r="688">
      <c r="A688" s="108"/>
      <c r="B688" s="220"/>
      <c r="C688" s="134" t="s">
        <v>60</v>
      </c>
      <c r="D688" s="220" t="str">
        <f>vlookup(M688,'Página10'!A:B,2,false)</f>
        <v>INOV00027</v>
      </c>
      <c r="E688" s="134" t="s">
        <v>306</v>
      </c>
      <c r="F688" s="221">
        <v>45012.0</v>
      </c>
      <c r="G688" s="222">
        <v>0.020833333333333332</v>
      </c>
      <c r="H688" s="134" t="s">
        <v>475</v>
      </c>
      <c r="I688" s="223" t="s">
        <v>475</v>
      </c>
      <c r="J688" s="223" t="b">
        <f t="shared" si="1"/>
        <v>1</v>
      </c>
      <c r="K688" s="145" t="s">
        <v>938</v>
      </c>
      <c r="L688" s="156"/>
      <c r="M688" s="134" t="s">
        <v>444</v>
      </c>
      <c r="N688" s="224">
        <v>18.32</v>
      </c>
      <c r="O688" s="117" t="b">
        <f t="shared" si="2"/>
        <v>1</v>
      </c>
      <c r="P688" s="117" t="b">
        <v>1</v>
      </c>
      <c r="Q688" s="117" t="s">
        <v>368</v>
      </c>
    </row>
    <row r="689" hidden="1">
      <c r="A689" s="108"/>
      <c r="B689" s="220"/>
      <c r="C689" s="134" t="s">
        <v>59</v>
      </c>
      <c r="D689" s="220" t="str">
        <f>vlookup(M689,'Página10'!A:B,2,false)</f>
        <v>INOV00024</v>
      </c>
      <c r="E689" s="134" t="s">
        <v>306</v>
      </c>
      <c r="F689" s="221">
        <v>45012.0</v>
      </c>
      <c r="G689" s="222">
        <v>0.041666666666666664</v>
      </c>
      <c r="H689" s="134" t="s">
        <v>475</v>
      </c>
      <c r="I689" s="223" t="s">
        <v>475</v>
      </c>
      <c r="J689" s="223" t="b">
        <f t="shared" si="1"/>
        <v>1</v>
      </c>
      <c r="K689" s="145" t="s">
        <v>939</v>
      </c>
      <c r="L689" s="156"/>
      <c r="M689" s="134" t="s">
        <v>439</v>
      </c>
      <c r="N689" s="224">
        <v>36.64</v>
      </c>
      <c r="O689" s="117" t="b">
        <f t="shared" si="2"/>
        <v>1</v>
      </c>
      <c r="P689" s="117" t="b">
        <v>1</v>
      </c>
      <c r="Q689" s="117" t="s">
        <v>368</v>
      </c>
    </row>
    <row r="690" hidden="1">
      <c r="A690" s="108"/>
      <c r="B690" s="220"/>
      <c r="C690" s="134" t="s">
        <v>435</v>
      </c>
      <c r="D690" s="220" t="str">
        <f>vlookup(M690,'Página10'!A:B,2,false)</f>
        <v>INOV00020</v>
      </c>
      <c r="E690" s="134" t="s">
        <v>306</v>
      </c>
      <c r="F690" s="221">
        <v>45013.0</v>
      </c>
      <c r="G690" s="222">
        <v>0.08333333333333333</v>
      </c>
      <c r="H690" s="134" t="s">
        <v>411</v>
      </c>
      <c r="I690" s="223" t="s">
        <v>411</v>
      </c>
      <c r="J690" s="223" t="b">
        <f t="shared" si="1"/>
        <v>1</v>
      </c>
      <c r="K690" s="145" t="s">
        <v>940</v>
      </c>
      <c r="L690" s="156"/>
      <c r="M690" s="134" t="s">
        <v>434</v>
      </c>
      <c r="N690" s="224">
        <v>0.0</v>
      </c>
      <c r="O690" s="117" t="b">
        <f t="shared" si="2"/>
        <v>1</v>
      </c>
      <c r="P690" s="117" t="b">
        <v>0</v>
      </c>
      <c r="Q690" s="117" t="s">
        <v>368</v>
      </c>
    </row>
    <row r="691" hidden="1">
      <c r="A691" s="108"/>
      <c r="B691" s="220"/>
      <c r="C691" s="134" t="s">
        <v>435</v>
      </c>
      <c r="D691" s="220" t="str">
        <f>vlookup(M691,'Página10'!A:B,2,false)</f>
        <v>INOV00020</v>
      </c>
      <c r="E691" s="134" t="s">
        <v>306</v>
      </c>
      <c r="F691" s="221">
        <v>45014.0</v>
      </c>
      <c r="G691" s="222">
        <v>0.08333333333333333</v>
      </c>
      <c r="H691" s="134" t="s">
        <v>411</v>
      </c>
      <c r="I691" s="223" t="s">
        <v>411</v>
      </c>
      <c r="J691" s="223" t="b">
        <f t="shared" si="1"/>
        <v>1</v>
      </c>
      <c r="K691" s="145" t="s">
        <v>940</v>
      </c>
      <c r="L691" s="156"/>
      <c r="M691" s="134" t="s">
        <v>434</v>
      </c>
      <c r="N691" s="224">
        <v>0.0</v>
      </c>
      <c r="O691" s="117" t="b">
        <f t="shared" si="2"/>
        <v>1</v>
      </c>
      <c r="P691" s="117" t="b">
        <v>0</v>
      </c>
      <c r="Q691" s="117" t="s">
        <v>368</v>
      </c>
    </row>
    <row r="692" hidden="1">
      <c r="A692" s="108"/>
      <c r="B692" s="220"/>
      <c r="C692" s="134" t="s">
        <v>448</v>
      </c>
      <c r="D692" s="220" t="str">
        <f>vlookup(M692,'Página10'!A:B,2,false)</f>
        <v>INOV00029</v>
      </c>
      <c r="E692" s="134" t="s">
        <v>306</v>
      </c>
      <c r="F692" s="221">
        <v>45013.0</v>
      </c>
      <c r="G692" s="222">
        <v>0.041666666666666664</v>
      </c>
      <c r="H692" s="134" t="s">
        <v>475</v>
      </c>
      <c r="I692" s="223" t="s">
        <v>475</v>
      </c>
      <c r="J692" s="223" t="b">
        <f t="shared" si="1"/>
        <v>1</v>
      </c>
      <c r="K692" s="145" t="s">
        <v>941</v>
      </c>
      <c r="L692" s="156"/>
      <c r="M692" s="134" t="s">
        <v>447</v>
      </c>
      <c r="N692" s="224">
        <v>0.0</v>
      </c>
      <c r="O692" s="117" t="b">
        <f t="shared" si="2"/>
        <v>1</v>
      </c>
      <c r="P692" s="117" t="b">
        <v>0</v>
      </c>
      <c r="Q692" s="117" t="s">
        <v>368</v>
      </c>
    </row>
    <row r="693" hidden="1">
      <c r="A693" s="108"/>
      <c r="B693" s="220"/>
      <c r="C693" s="134" t="s">
        <v>435</v>
      </c>
      <c r="D693" s="220" t="str">
        <f>vlookup(M693,'Página10'!A:B,2,false)</f>
        <v>INOV00020</v>
      </c>
      <c r="E693" s="134" t="s">
        <v>306</v>
      </c>
      <c r="F693" s="221">
        <v>45015.0</v>
      </c>
      <c r="G693" s="222">
        <v>0.020833333333333332</v>
      </c>
      <c r="H693" s="134" t="s">
        <v>411</v>
      </c>
      <c r="I693" s="223" t="s">
        <v>411</v>
      </c>
      <c r="J693" s="223" t="b">
        <f t="shared" si="1"/>
        <v>1</v>
      </c>
      <c r="K693" s="145" t="s">
        <v>942</v>
      </c>
      <c r="L693" s="156"/>
      <c r="M693" s="134" t="s">
        <v>434</v>
      </c>
      <c r="N693" s="224">
        <v>0.0</v>
      </c>
      <c r="O693" s="117" t="b">
        <f t="shared" si="2"/>
        <v>1</v>
      </c>
      <c r="P693" s="117" t="b">
        <v>0</v>
      </c>
      <c r="Q693" s="117" t="s">
        <v>368</v>
      </c>
    </row>
    <row r="694" hidden="1">
      <c r="A694" s="108"/>
      <c r="B694" s="220"/>
      <c r="C694" s="134" t="s">
        <v>59</v>
      </c>
      <c r="D694" s="220" t="str">
        <f>vlookup(M694,'Página10'!A:B,2,false)</f>
        <v>INOV00024</v>
      </c>
      <c r="E694" s="134" t="s">
        <v>306</v>
      </c>
      <c r="F694" s="221">
        <v>45016.0</v>
      </c>
      <c r="G694" s="222">
        <v>0.020833333333333332</v>
      </c>
      <c r="H694" s="134" t="s">
        <v>475</v>
      </c>
      <c r="I694" s="223" t="s">
        <v>475</v>
      </c>
      <c r="J694" s="223" t="b">
        <f t="shared" si="1"/>
        <v>1</v>
      </c>
      <c r="K694" s="145" t="s">
        <v>943</v>
      </c>
      <c r="L694" s="156"/>
      <c r="M694" s="134" t="s">
        <v>439</v>
      </c>
      <c r="N694" s="224">
        <v>18.32</v>
      </c>
      <c r="O694" s="117" t="b">
        <f t="shared" si="2"/>
        <v>1</v>
      </c>
      <c r="P694" s="117" t="b">
        <v>1</v>
      </c>
      <c r="Q694" s="117" t="s">
        <v>368</v>
      </c>
    </row>
    <row r="695" hidden="1">
      <c r="A695" s="108"/>
      <c r="B695" s="220"/>
      <c r="C695" s="134" t="s">
        <v>59</v>
      </c>
      <c r="D695" s="220" t="str">
        <f>vlookup(M695,'Página10'!A:B,2,false)</f>
        <v>INOV00024</v>
      </c>
      <c r="E695" s="134" t="s">
        <v>306</v>
      </c>
      <c r="F695" s="221">
        <v>45016.0</v>
      </c>
      <c r="G695" s="222">
        <v>0.020833333333333332</v>
      </c>
      <c r="H695" s="134" t="s">
        <v>475</v>
      </c>
      <c r="I695" s="223" t="s">
        <v>475</v>
      </c>
      <c r="J695" s="223" t="b">
        <f t="shared" si="1"/>
        <v>1</v>
      </c>
      <c r="K695" s="145" t="s">
        <v>928</v>
      </c>
      <c r="L695" s="156"/>
      <c r="M695" s="134" t="s">
        <v>439</v>
      </c>
      <c r="N695" s="224">
        <v>18.32</v>
      </c>
      <c r="O695" s="117" t="b">
        <f t="shared" si="2"/>
        <v>1</v>
      </c>
      <c r="P695" s="117" t="b">
        <v>1</v>
      </c>
      <c r="Q695" s="117" t="s">
        <v>368</v>
      </c>
    </row>
    <row r="696">
      <c r="A696" s="108"/>
      <c r="B696" s="220"/>
      <c r="C696" s="134" t="s">
        <v>60</v>
      </c>
      <c r="D696" s="220" t="str">
        <f>vlookup(M696,'Página10'!A:B,2,false)</f>
        <v>INOV00027</v>
      </c>
      <c r="E696" s="134" t="s">
        <v>306</v>
      </c>
      <c r="F696" s="221">
        <v>45016.0</v>
      </c>
      <c r="G696" s="222">
        <v>0.041666666666666664</v>
      </c>
      <c r="H696" s="134" t="s">
        <v>411</v>
      </c>
      <c r="I696" s="223" t="s">
        <v>411</v>
      </c>
      <c r="J696" s="223" t="b">
        <f t="shared" si="1"/>
        <v>1</v>
      </c>
      <c r="K696" s="145" t="s">
        <v>944</v>
      </c>
      <c r="L696" s="156"/>
      <c r="M696" s="134" t="s">
        <v>444</v>
      </c>
      <c r="N696" s="224">
        <v>36.64</v>
      </c>
      <c r="O696" s="117" t="b">
        <f t="shared" si="2"/>
        <v>1</v>
      </c>
      <c r="P696" s="117" t="b">
        <v>1</v>
      </c>
      <c r="Q696" s="117" t="s">
        <v>368</v>
      </c>
    </row>
    <row r="697" hidden="1">
      <c r="A697" s="108"/>
      <c r="B697" s="220"/>
      <c r="C697" s="220" t="s">
        <v>69</v>
      </c>
      <c r="D697" s="220" t="str">
        <f>vlookup(M697,'Página10'!A:B,2,false)</f>
        <v>INOV00041</v>
      </c>
      <c r="E697" s="134" t="s">
        <v>113</v>
      </c>
      <c r="F697" s="221">
        <v>45020.0</v>
      </c>
      <c r="G697" s="222">
        <v>0.041666666666666664</v>
      </c>
      <c r="H697" s="134" t="s">
        <v>475</v>
      </c>
      <c r="I697" s="223" t="s">
        <v>475</v>
      </c>
      <c r="J697" s="223" t="b">
        <f t="shared" si="1"/>
        <v>1</v>
      </c>
      <c r="K697" s="145" t="s">
        <v>945</v>
      </c>
      <c r="L697" s="156"/>
      <c r="M697" s="134" t="s">
        <v>463</v>
      </c>
      <c r="N697" s="224">
        <v>0.0</v>
      </c>
      <c r="O697" s="117" t="b">
        <f t="shared" si="2"/>
        <v>1</v>
      </c>
      <c r="P697" s="117" t="b">
        <v>1</v>
      </c>
      <c r="Q697" s="117" t="s">
        <v>368</v>
      </c>
    </row>
    <row r="698" hidden="1">
      <c r="A698" s="108"/>
      <c r="B698" s="220"/>
      <c r="C698" s="220" t="s">
        <v>441</v>
      </c>
      <c r="D698" s="220" t="str">
        <f>vlookup(M698,'Página10'!A:B,2,false)</f>
        <v>INOV00025</v>
      </c>
      <c r="E698" s="134" t="s">
        <v>113</v>
      </c>
      <c r="F698" s="221">
        <v>45020.0</v>
      </c>
      <c r="G698" s="222">
        <v>0.020833333333333332</v>
      </c>
      <c r="H698" s="134" t="s">
        <v>411</v>
      </c>
      <c r="I698" s="223" t="s">
        <v>411</v>
      </c>
      <c r="J698" s="223" t="b">
        <f t="shared" si="1"/>
        <v>1</v>
      </c>
      <c r="K698" s="145" t="s">
        <v>511</v>
      </c>
      <c r="L698" s="156"/>
      <c r="M698" s="134" t="s">
        <v>440</v>
      </c>
      <c r="N698" s="150">
        <f>if(and(O698=TRUE,P698=TRUE), VLOOKUP($E698,PESSOAL!$B$35:$S$45,MONTH($F698)+6,false)*G698*24,0)</f>
        <v>0</v>
      </c>
      <c r="O698" s="117" t="b">
        <f t="shared" si="2"/>
        <v>1</v>
      </c>
      <c r="P698" s="117" t="b">
        <v>0</v>
      </c>
      <c r="Q698" s="117" t="s">
        <v>368</v>
      </c>
    </row>
    <row r="699" hidden="1">
      <c r="A699" s="108"/>
      <c r="B699" s="220"/>
      <c r="C699" s="220" t="s">
        <v>59</v>
      </c>
      <c r="D699" s="220" t="str">
        <f>vlookup(M699,'Página10'!A:B,2,false)</f>
        <v>INOV00024</v>
      </c>
      <c r="E699" s="134" t="s">
        <v>113</v>
      </c>
      <c r="F699" s="221">
        <v>45020.0</v>
      </c>
      <c r="G699" s="222">
        <v>0.020833333333333332</v>
      </c>
      <c r="H699" s="134" t="s">
        <v>475</v>
      </c>
      <c r="I699" s="223" t="s">
        <v>475</v>
      </c>
      <c r="J699" s="223" t="b">
        <f t="shared" si="1"/>
        <v>1</v>
      </c>
      <c r="K699" s="145" t="s">
        <v>946</v>
      </c>
      <c r="L699" s="156"/>
      <c r="M699" s="134" t="s">
        <v>439</v>
      </c>
      <c r="N699" s="150">
        <f>if(and(O699=TRUE,P699=TRUE), VLOOKUP($E699,PESSOAL!$B$35:$S$45,MONTH($F699)+6,false)*G699*24,0)</f>
        <v>184.3081316</v>
      </c>
      <c r="O699" s="117" t="b">
        <f t="shared" si="2"/>
        <v>1</v>
      </c>
      <c r="P699" s="117" t="b">
        <v>1</v>
      </c>
      <c r="Q699" s="117" t="s">
        <v>368</v>
      </c>
    </row>
    <row r="700" hidden="1">
      <c r="A700" s="108"/>
      <c r="B700" s="220"/>
      <c r="C700" s="220" t="s">
        <v>290</v>
      </c>
      <c r="D700" s="220" t="str">
        <f>vlookup(M700,'Página10'!A:B,2,false)</f>
        <v>INOV00001</v>
      </c>
      <c r="E700" s="134" t="s">
        <v>113</v>
      </c>
      <c r="F700" s="221">
        <v>45027.0</v>
      </c>
      <c r="G700" s="222">
        <v>0.020833333333333332</v>
      </c>
      <c r="H700" s="134" t="s">
        <v>411</v>
      </c>
      <c r="I700" s="223" t="s">
        <v>411</v>
      </c>
      <c r="J700" s="223" t="b">
        <f t="shared" si="1"/>
        <v>1</v>
      </c>
      <c r="K700" s="145" t="s">
        <v>947</v>
      </c>
      <c r="L700" s="156"/>
      <c r="M700" s="134" t="s">
        <v>416</v>
      </c>
      <c r="N700" s="150">
        <f>if(and(O700=TRUE,P700=TRUE), VLOOKUP($E700,PESSOAL!$B$35:$S$45,MONTH($F700)+6,false)*G700*24,0)</f>
        <v>184.3081316</v>
      </c>
      <c r="O700" s="117" t="b">
        <f t="shared" si="2"/>
        <v>1</v>
      </c>
      <c r="P700" s="117" t="b">
        <v>1</v>
      </c>
      <c r="Q700" s="117" t="s">
        <v>368</v>
      </c>
    </row>
    <row r="701" hidden="1">
      <c r="A701" s="108"/>
      <c r="B701" s="220"/>
      <c r="C701" s="220" t="s">
        <v>49</v>
      </c>
      <c r="D701" s="220" t="str">
        <f>vlookup(M701,'Página10'!A:B,2,false)</f>
        <v>INOV00004</v>
      </c>
      <c r="E701" s="134" t="s">
        <v>113</v>
      </c>
      <c r="F701" s="221">
        <v>45030.0</v>
      </c>
      <c r="G701" s="222">
        <v>0.041666666666666664</v>
      </c>
      <c r="H701" s="134" t="s">
        <v>411</v>
      </c>
      <c r="I701" s="223" t="s">
        <v>411</v>
      </c>
      <c r="J701" s="223" t="b">
        <f t="shared" si="1"/>
        <v>1</v>
      </c>
      <c r="K701" s="145" t="s">
        <v>948</v>
      </c>
      <c r="L701" s="156"/>
      <c r="M701" s="134" t="s">
        <v>421</v>
      </c>
      <c r="N701" s="150">
        <f>if(and(O701=TRUE,P701=TRUE), VLOOKUP($E701,PESSOAL!$B$35:$S$45,MONTH($F701)+6,false)*G701*24,0)</f>
        <v>368.6162633</v>
      </c>
      <c r="O701" s="117" t="b">
        <f t="shared" si="2"/>
        <v>1</v>
      </c>
      <c r="P701" s="117" t="b">
        <v>1</v>
      </c>
      <c r="Q701" s="117" t="s">
        <v>368</v>
      </c>
    </row>
    <row r="702" hidden="1">
      <c r="A702" s="108"/>
      <c r="B702" s="220"/>
      <c r="C702" s="220" t="s">
        <v>435</v>
      </c>
      <c r="D702" s="220" t="str">
        <f>vlookup(M702,'Página10'!A:B,2,false)</f>
        <v>INOV00020</v>
      </c>
      <c r="E702" s="134" t="s">
        <v>113</v>
      </c>
      <c r="F702" s="221">
        <v>45030.0</v>
      </c>
      <c r="G702" s="222">
        <v>0.020833333333333332</v>
      </c>
      <c r="H702" s="134" t="s">
        <v>411</v>
      </c>
      <c r="I702" s="223" t="s">
        <v>411</v>
      </c>
      <c r="J702" s="223" t="b">
        <f t="shared" si="1"/>
        <v>1</v>
      </c>
      <c r="K702" s="145" t="s">
        <v>949</v>
      </c>
      <c r="L702" s="156"/>
      <c r="M702" s="134" t="s">
        <v>434</v>
      </c>
      <c r="N702" s="150">
        <f>if(and(O702=TRUE,P702=TRUE), VLOOKUP($E702,PESSOAL!$B$35:$S$45,MONTH($F702)+6,false)*G702*24,0)</f>
        <v>0</v>
      </c>
      <c r="O702" s="117" t="b">
        <f t="shared" si="2"/>
        <v>1</v>
      </c>
      <c r="P702" s="117" t="b">
        <v>0</v>
      </c>
      <c r="Q702" s="117" t="s">
        <v>368</v>
      </c>
    </row>
    <row r="703" hidden="1">
      <c r="A703" s="108"/>
      <c r="B703" s="220"/>
      <c r="C703" s="220" t="s">
        <v>433</v>
      </c>
      <c r="D703" s="220" t="str">
        <f>vlookup(M703,'Página10'!A:B,2,false)</f>
        <v>INOV00019</v>
      </c>
      <c r="E703" s="134" t="s">
        <v>113</v>
      </c>
      <c r="F703" s="221">
        <v>45030.0</v>
      </c>
      <c r="G703" s="222">
        <v>0.020833333333333332</v>
      </c>
      <c r="H703" s="134" t="s">
        <v>411</v>
      </c>
      <c r="I703" s="223" t="s">
        <v>411</v>
      </c>
      <c r="J703" s="223" t="b">
        <f t="shared" si="1"/>
        <v>1</v>
      </c>
      <c r="K703" s="145" t="s">
        <v>948</v>
      </c>
      <c r="L703" s="156"/>
      <c r="M703" s="134" t="s">
        <v>432</v>
      </c>
      <c r="N703" s="150">
        <f>if(and(O703=TRUE,P703=TRUE), VLOOKUP($E703,PESSOAL!$B$35:$S$45,MONTH($F703)+6,false)*G703*24,0)</f>
        <v>0</v>
      </c>
      <c r="O703" s="117" t="b">
        <f t="shared" si="2"/>
        <v>1</v>
      </c>
      <c r="P703" s="117" t="b">
        <v>0</v>
      </c>
      <c r="Q703" s="117" t="s">
        <v>368</v>
      </c>
    </row>
    <row r="704" hidden="1">
      <c r="A704" s="108"/>
      <c r="B704" s="220"/>
      <c r="C704" s="220" t="s">
        <v>56</v>
      </c>
      <c r="D704" s="220" t="str">
        <f>vlookup(M704,'Página10'!A:B,2,false)</f>
        <v>INOV00021</v>
      </c>
      <c r="E704" s="134" t="s">
        <v>113</v>
      </c>
      <c r="F704" s="221">
        <v>45041.0</v>
      </c>
      <c r="G704" s="222">
        <v>0.020833333333333332</v>
      </c>
      <c r="H704" s="134" t="s">
        <v>411</v>
      </c>
      <c r="I704" s="223" t="s">
        <v>411</v>
      </c>
      <c r="J704" s="223" t="b">
        <f t="shared" si="1"/>
        <v>1</v>
      </c>
      <c r="K704" s="145" t="s">
        <v>950</v>
      </c>
      <c r="L704" s="156"/>
      <c r="M704" s="134" t="s">
        <v>436</v>
      </c>
      <c r="N704" s="150">
        <f>if(and(O704=TRUE,P704=TRUE), VLOOKUP($E704,PESSOAL!$B$35:$S$45,MONTH($F704)+6,false)*G704*24,0)</f>
        <v>184.3081316</v>
      </c>
      <c r="O704" s="117" t="b">
        <f t="shared" si="2"/>
        <v>1</v>
      </c>
      <c r="P704" s="117" t="b">
        <v>1</v>
      </c>
      <c r="Q704" s="117" t="s">
        <v>368</v>
      </c>
    </row>
    <row r="705" hidden="1">
      <c r="A705" s="108"/>
      <c r="B705" s="220"/>
      <c r="C705" s="220" t="s">
        <v>290</v>
      </c>
      <c r="D705" s="220" t="str">
        <f>vlookup(M705,'Página10'!A:B,2,false)</f>
        <v>INOV00001</v>
      </c>
      <c r="E705" s="134" t="s">
        <v>113</v>
      </c>
      <c r="F705" s="221">
        <v>45042.0</v>
      </c>
      <c r="G705" s="222">
        <v>0.0625</v>
      </c>
      <c r="H705" s="134" t="s">
        <v>479</v>
      </c>
      <c r="I705" s="223" t="s">
        <v>479</v>
      </c>
      <c r="J705" s="223" t="b">
        <f t="shared" si="1"/>
        <v>1</v>
      </c>
      <c r="K705" s="145" t="s">
        <v>951</v>
      </c>
      <c r="L705" s="156"/>
      <c r="M705" s="134" t="s">
        <v>416</v>
      </c>
      <c r="N705" s="150">
        <f>if(and(O705=TRUE,P705=TRUE), VLOOKUP($E705,PESSOAL!$B$35:$S$45,MONTH($F705)+6,false)*G705*24,0)</f>
        <v>0</v>
      </c>
      <c r="O705" s="117" t="b">
        <f t="shared" si="2"/>
        <v>0</v>
      </c>
      <c r="P705" s="117" t="b">
        <v>1</v>
      </c>
      <c r="Q705" s="117" t="s">
        <v>368</v>
      </c>
    </row>
    <row r="706" hidden="1">
      <c r="A706" s="108"/>
      <c r="B706" s="220"/>
      <c r="C706" s="220" t="s">
        <v>69</v>
      </c>
      <c r="D706" s="220" t="str">
        <f>vlookup(M706,'Página10'!A:B,2,false)</f>
        <v>INOV00041</v>
      </c>
      <c r="E706" s="134" t="s">
        <v>113</v>
      </c>
      <c r="F706" s="221">
        <v>45044.0</v>
      </c>
      <c r="G706" s="222">
        <v>0.0625</v>
      </c>
      <c r="H706" s="134" t="s">
        <v>411</v>
      </c>
      <c r="I706" s="223" t="s">
        <v>411</v>
      </c>
      <c r="J706" s="223" t="b">
        <f t="shared" si="1"/>
        <v>1</v>
      </c>
      <c r="K706" s="145" t="s">
        <v>952</v>
      </c>
      <c r="L706" s="156"/>
      <c r="M706" s="134" t="s">
        <v>463</v>
      </c>
      <c r="N706" s="224">
        <v>0.0</v>
      </c>
      <c r="O706" s="117" t="b">
        <f t="shared" si="2"/>
        <v>1</v>
      </c>
      <c r="P706" s="117" t="b">
        <v>1</v>
      </c>
      <c r="Q706" s="117" t="s">
        <v>368</v>
      </c>
    </row>
    <row r="707" hidden="1">
      <c r="A707" s="108"/>
      <c r="B707" s="220"/>
      <c r="C707" s="220" t="s">
        <v>56</v>
      </c>
      <c r="D707" s="220" t="str">
        <f>vlookup(M707,'Página10'!A:B,2,false)</f>
        <v>INOV00021</v>
      </c>
      <c r="E707" s="134" t="s">
        <v>113</v>
      </c>
      <c r="F707" s="221">
        <v>45044.0</v>
      </c>
      <c r="G707" s="222">
        <v>0.020833333333333332</v>
      </c>
      <c r="H707" s="134" t="s">
        <v>411</v>
      </c>
      <c r="I707" s="223" t="s">
        <v>411</v>
      </c>
      <c r="J707" s="223" t="b">
        <f t="shared" si="1"/>
        <v>1</v>
      </c>
      <c r="K707" s="145" t="s">
        <v>953</v>
      </c>
      <c r="L707" s="156"/>
      <c r="M707" s="134" t="s">
        <v>436</v>
      </c>
      <c r="N707" s="150">
        <f>if(and(O707=TRUE,P707=TRUE), VLOOKUP($E707,PESSOAL!$B$35:$S$45,MONTH($F707)+6,false)*G707*24,0)</f>
        <v>184.3081316</v>
      </c>
      <c r="O707" s="117" t="b">
        <f t="shared" si="2"/>
        <v>1</v>
      </c>
      <c r="P707" s="117" t="b">
        <v>1</v>
      </c>
      <c r="Q707" s="117" t="s">
        <v>368</v>
      </c>
    </row>
    <row r="708" hidden="1">
      <c r="A708" s="108"/>
      <c r="B708" s="220"/>
      <c r="C708" s="220" t="s">
        <v>65</v>
      </c>
      <c r="D708" s="220" t="str">
        <f>vlookup(M708,'Página10'!A:B,2,false)</f>
        <v>INOV00037</v>
      </c>
      <c r="E708" s="134" t="s">
        <v>113</v>
      </c>
      <c r="F708" s="221">
        <v>45051.0</v>
      </c>
      <c r="G708" s="222">
        <v>0.020833333333333332</v>
      </c>
      <c r="H708" s="134" t="s">
        <v>475</v>
      </c>
      <c r="I708" s="223" t="s">
        <v>475</v>
      </c>
      <c r="J708" s="223" t="b">
        <f t="shared" si="1"/>
        <v>1</v>
      </c>
      <c r="K708" s="145" t="s">
        <v>954</v>
      </c>
      <c r="L708" s="156"/>
      <c r="M708" s="134" t="s">
        <v>459</v>
      </c>
      <c r="N708" s="150">
        <f>if(and(O708=TRUE,P708=TRUE), VLOOKUP($E708,PESSOAL!$B$35:$S$45,MONTH($F708)+6,false)*G708*24,0)</f>
        <v>150.7975622</v>
      </c>
      <c r="O708" s="117" t="b">
        <f t="shared" si="2"/>
        <v>1</v>
      </c>
      <c r="P708" s="117" t="b">
        <v>1</v>
      </c>
      <c r="Q708" s="117" t="s">
        <v>368</v>
      </c>
    </row>
    <row r="709" hidden="1">
      <c r="A709" s="108"/>
      <c r="B709" s="220"/>
      <c r="C709" s="220" t="s">
        <v>56</v>
      </c>
      <c r="D709" s="220" t="str">
        <f>vlookup(M709,'Página10'!A:B,2,false)</f>
        <v>INOV00021</v>
      </c>
      <c r="E709" s="134" t="s">
        <v>113</v>
      </c>
      <c r="F709" s="221">
        <v>45058.0</v>
      </c>
      <c r="G709" s="222">
        <v>0.041666666666666664</v>
      </c>
      <c r="H709" s="134" t="s">
        <v>411</v>
      </c>
      <c r="I709" s="223" t="s">
        <v>411</v>
      </c>
      <c r="J709" s="223" t="b">
        <f t="shared" si="1"/>
        <v>1</v>
      </c>
      <c r="K709" s="145" t="s">
        <v>955</v>
      </c>
      <c r="L709" s="156"/>
      <c r="M709" s="134" t="s">
        <v>436</v>
      </c>
      <c r="N709" s="150">
        <f>if(and(O709=TRUE,P709=TRUE), VLOOKUP($E709,PESSOAL!$B$35:$S$45,MONTH($F709)+6,false)*G709*24,0)</f>
        <v>301.5951245</v>
      </c>
      <c r="O709" s="117" t="b">
        <f t="shared" si="2"/>
        <v>1</v>
      </c>
      <c r="P709" s="117" t="b">
        <v>1</v>
      </c>
      <c r="Q709" s="117" t="s">
        <v>368</v>
      </c>
    </row>
    <row r="710" hidden="1">
      <c r="A710" s="108"/>
      <c r="B710" s="220"/>
      <c r="C710" s="220" t="s">
        <v>49</v>
      </c>
      <c r="D710" s="220" t="str">
        <f>vlookup(M710,'Página10'!A:B,2,false)</f>
        <v>INOV00004</v>
      </c>
      <c r="E710" s="134" t="s">
        <v>113</v>
      </c>
      <c r="F710" s="221">
        <v>45061.0</v>
      </c>
      <c r="G710" s="222">
        <v>0.041666666666666664</v>
      </c>
      <c r="H710" s="134" t="s">
        <v>479</v>
      </c>
      <c r="I710" s="223" t="s">
        <v>479</v>
      </c>
      <c r="J710" s="223" t="b">
        <f t="shared" si="1"/>
        <v>1</v>
      </c>
      <c r="K710" s="145" t="s">
        <v>956</v>
      </c>
      <c r="L710" s="156"/>
      <c r="M710" s="134" t="s">
        <v>421</v>
      </c>
      <c r="N710" s="150">
        <f>if(and(O710=TRUE,P710=TRUE), VLOOKUP($E710,PESSOAL!$B$35:$S$45,MONTH($F710)+6,false)*G710*24,0)</f>
        <v>0</v>
      </c>
      <c r="O710" s="117" t="b">
        <f t="shared" si="2"/>
        <v>0</v>
      </c>
      <c r="P710" s="117" t="b">
        <v>1</v>
      </c>
      <c r="Q710" s="117" t="s">
        <v>368</v>
      </c>
    </row>
    <row r="711" hidden="1">
      <c r="A711" s="108"/>
      <c r="B711" s="220"/>
      <c r="C711" s="220" t="s">
        <v>69</v>
      </c>
      <c r="D711" s="220" t="str">
        <f>vlookup(M711,'Página10'!A:B,2,false)</f>
        <v>INOV00041</v>
      </c>
      <c r="E711" s="134" t="s">
        <v>113</v>
      </c>
      <c r="F711" s="221">
        <v>45061.0</v>
      </c>
      <c r="G711" s="222">
        <v>0.041666666666666664</v>
      </c>
      <c r="H711" s="134" t="s">
        <v>411</v>
      </c>
      <c r="I711" s="223" t="s">
        <v>411</v>
      </c>
      <c r="J711" s="223" t="b">
        <f t="shared" si="1"/>
        <v>1</v>
      </c>
      <c r="K711" s="145" t="s">
        <v>957</v>
      </c>
      <c r="L711" s="156"/>
      <c r="M711" s="134" t="s">
        <v>463</v>
      </c>
      <c r="N711" s="224">
        <v>0.0</v>
      </c>
      <c r="O711" s="117" t="b">
        <f t="shared" si="2"/>
        <v>1</v>
      </c>
      <c r="P711" s="117" t="b">
        <v>1</v>
      </c>
      <c r="Q711" s="117" t="s">
        <v>368</v>
      </c>
    </row>
    <row r="712" hidden="1">
      <c r="A712" s="108"/>
      <c r="B712" s="220"/>
      <c r="C712" s="220" t="s">
        <v>435</v>
      </c>
      <c r="D712" s="220" t="str">
        <f>vlookup(M712,'Página10'!A:B,2,false)</f>
        <v>INOV00020</v>
      </c>
      <c r="E712" s="134" t="s">
        <v>113</v>
      </c>
      <c r="F712" s="221">
        <v>45064.0</v>
      </c>
      <c r="G712" s="222">
        <v>0.041666666666666664</v>
      </c>
      <c r="H712" s="134" t="s">
        <v>411</v>
      </c>
      <c r="I712" s="223" t="s">
        <v>411</v>
      </c>
      <c r="J712" s="223" t="b">
        <f t="shared" si="1"/>
        <v>1</v>
      </c>
      <c r="K712" s="145" t="s">
        <v>957</v>
      </c>
      <c r="L712" s="156"/>
      <c r="M712" s="134" t="s">
        <v>434</v>
      </c>
      <c r="N712" s="150">
        <f>if(and(O712=TRUE,P712=TRUE), VLOOKUP($E712,PESSOAL!$B$35:$S$45,MONTH($F712)+6,false)*G712*24,0)</f>
        <v>0</v>
      </c>
      <c r="O712" s="117" t="b">
        <f t="shared" si="2"/>
        <v>1</v>
      </c>
      <c r="P712" s="117" t="b">
        <v>0</v>
      </c>
      <c r="Q712" s="117" t="s">
        <v>368</v>
      </c>
    </row>
    <row r="713" hidden="1">
      <c r="A713" s="108"/>
      <c r="B713" s="220"/>
      <c r="C713" s="220" t="s">
        <v>69</v>
      </c>
      <c r="D713" s="220" t="str">
        <f>vlookup(M713,'Página10'!A:B,2,false)</f>
        <v>INOV00041</v>
      </c>
      <c r="E713" s="134" t="s">
        <v>113</v>
      </c>
      <c r="F713" s="221">
        <v>45065.0</v>
      </c>
      <c r="G713" s="222">
        <v>0.041666666666666664</v>
      </c>
      <c r="H713" s="134" t="s">
        <v>411</v>
      </c>
      <c r="I713" s="223" t="s">
        <v>411</v>
      </c>
      <c r="J713" s="223" t="b">
        <f t="shared" si="1"/>
        <v>1</v>
      </c>
      <c r="K713" s="145" t="s">
        <v>957</v>
      </c>
      <c r="L713" s="156"/>
      <c r="M713" s="134" t="s">
        <v>463</v>
      </c>
      <c r="N713" s="224">
        <v>0.0</v>
      </c>
      <c r="O713" s="117" t="b">
        <f t="shared" si="2"/>
        <v>1</v>
      </c>
      <c r="P713" s="117" t="b">
        <v>1</v>
      </c>
      <c r="Q713" s="117" t="s">
        <v>368</v>
      </c>
    </row>
    <row r="714" hidden="1">
      <c r="A714" s="108"/>
      <c r="B714" s="220"/>
      <c r="C714" s="220" t="s">
        <v>69</v>
      </c>
      <c r="D714" s="220" t="str">
        <f>vlookup(M714,'Página10'!A:B,2,false)</f>
        <v>INOV00041</v>
      </c>
      <c r="E714" s="134" t="s">
        <v>113</v>
      </c>
      <c r="F714" s="221">
        <v>45077.0</v>
      </c>
      <c r="G714" s="222">
        <v>0.041666666666666664</v>
      </c>
      <c r="H714" s="134" t="s">
        <v>411</v>
      </c>
      <c r="I714" s="223" t="s">
        <v>411</v>
      </c>
      <c r="J714" s="223" t="b">
        <f t="shared" si="1"/>
        <v>1</v>
      </c>
      <c r="K714" s="145" t="s">
        <v>957</v>
      </c>
      <c r="L714" s="156"/>
      <c r="M714" s="134" t="s">
        <v>463</v>
      </c>
      <c r="N714" s="224">
        <v>0.0</v>
      </c>
      <c r="O714" s="117" t="b">
        <f t="shared" si="2"/>
        <v>1</v>
      </c>
      <c r="P714" s="117" t="b">
        <v>1</v>
      </c>
      <c r="Q714" s="117" t="s">
        <v>368</v>
      </c>
    </row>
    <row r="715" hidden="1">
      <c r="A715" s="108"/>
      <c r="B715" s="220"/>
      <c r="C715" s="220" t="s">
        <v>50</v>
      </c>
      <c r="D715" s="220" t="str">
        <f>vlookup(M715,'Página10'!A:B,2,false)</f>
        <v>INOV00006</v>
      </c>
      <c r="E715" s="134" t="s">
        <v>113</v>
      </c>
      <c r="F715" s="221">
        <v>45079.0</v>
      </c>
      <c r="G715" s="222">
        <v>0.041666666666666664</v>
      </c>
      <c r="H715" s="134" t="s">
        <v>411</v>
      </c>
      <c r="I715" s="223" t="s">
        <v>411</v>
      </c>
      <c r="J715" s="223" t="b">
        <f t="shared" si="1"/>
        <v>1</v>
      </c>
      <c r="K715" s="145" t="s">
        <v>958</v>
      </c>
      <c r="L715" s="156"/>
      <c r="M715" s="134" t="s">
        <v>422</v>
      </c>
      <c r="N715" s="150">
        <f>if(and(O715=TRUE,P715=TRUE), VLOOKUP($E715,PESSOAL!$B$35:$S$45,MONTH($F715)+6,false)*G715*24,0)</f>
        <v>330.1748324</v>
      </c>
      <c r="O715" s="117" t="b">
        <f t="shared" si="2"/>
        <v>1</v>
      </c>
      <c r="P715" s="117" t="b">
        <v>1</v>
      </c>
      <c r="Q715" s="117" t="s">
        <v>368</v>
      </c>
    </row>
    <row r="716" hidden="1">
      <c r="A716" s="108"/>
      <c r="B716" s="220"/>
      <c r="C716" s="220" t="s">
        <v>290</v>
      </c>
      <c r="D716" s="220" t="str">
        <f>vlookup(M716,'Página10'!A:B,2,false)</f>
        <v>INOV00001</v>
      </c>
      <c r="E716" s="134" t="s">
        <v>113</v>
      </c>
      <c r="F716" s="221">
        <v>45052.0</v>
      </c>
      <c r="G716" s="222">
        <v>0.020833333333333332</v>
      </c>
      <c r="H716" s="134" t="s">
        <v>411</v>
      </c>
      <c r="I716" s="223" t="s">
        <v>411</v>
      </c>
      <c r="J716" s="223" t="b">
        <f t="shared" si="1"/>
        <v>1</v>
      </c>
      <c r="K716" s="145" t="s">
        <v>959</v>
      </c>
      <c r="L716" s="156"/>
      <c r="M716" s="134" t="s">
        <v>416</v>
      </c>
      <c r="N716" s="150">
        <f>if(and(O716=TRUE,P716=TRUE), VLOOKUP($E716,PESSOAL!$B$35:$S$45,MONTH($F716)+6,false)*G716*24,0)</f>
        <v>150.7975622</v>
      </c>
      <c r="O716" s="117" t="b">
        <f t="shared" si="2"/>
        <v>1</v>
      </c>
      <c r="P716" s="117" t="b">
        <v>1</v>
      </c>
      <c r="Q716" s="117" t="s">
        <v>368</v>
      </c>
    </row>
    <row r="717" hidden="1">
      <c r="A717" s="108"/>
      <c r="B717" s="220"/>
      <c r="C717" s="220" t="s">
        <v>57</v>
      </c>
      <c r="D717" s="220" t="str">
        <f>vlookup(M717,'Página10'!A:B,2,false)</f>
        <v>INOV00022</v>
      </c>
      <c r="E717" s="134" t="s">
        <v>113</v>
      </c>
      <c r="F717" s="221">
        <v>45099.0</v>
      </c>
      <c r="G717" s="222">
        <v>0.020833333333333332</v>
      </c>
      <c r="H717" s="134" t="s">
        <v>475</v>
      </c>
      <c r="I717" s="223" t="s">
        <v>475</v>
      </c>
      <c r="J717" s="223" t="b">
        <f t="shared" si="1"/>
        <v>1</v>
      </c>
      <c r="K717" s="145" t="s">
        <v>960</v>
      </c>
      <c r="L717" s="156"/>
      <c r="M717" s="134" t="s">
        <v>437</v>
      </c>
      <c r="N717" s="150">
        <f>if(and(O717=TRUE,P717=TRUE), VLOOKUP($E717,PESSOAL!$B$35:$S$45,MONTH($F717)+6,false)*G717*24,0)</f>
        <v>165.0874162</v>
      </c>
      <c r="O717" s="117" t="b">
        <f t="shared" si="2"/>
        <v>1</v>
      </c>
      <c r="P717" s="117" t="b">
        <v>1</v>
      </c>
      <c r="Q717" s="117" t="s">
        <v>368</v>
      </c>
    </row>
    <row r="718" hidden="1">
      <c r="A718" s="108"/>
      <c r="B718" s="220"/>
      <c r="C718" s="220" t="s">
        <v>55</v>
      </c>
      <c r="D718" s="220" t="str">
        <f>vlookup(M718,'Página10'!A:B,2,false)</f>
        <v>INOV00017</v>
      </c>
      <c r="E718" s="134" t="s">
        <v>113</v>
      </c>
      <c r="F718" s="221">
        <v>45104.0</v>
      </c>
      <c r="G718" s="222">
        <v>0.041666666666666664</v>
      </c>
      <c r="H718" s="134" t="s">
        <v>411</v>
      </c>
      <c r="I718" s="223" t="s">
        <v>411</v>
      </c>
      <c r="J718" s="223" t="b">
        <f t="shared" si="1"/>
        <v>1</v>
      </c>
      <c r="K718" s="145" t="s">
        <v>961</v>
      </c>
      <c r="L718" s="156"/>
      <c r="M718" s="134" t="s">
        <v>429</v>
      </c>
      <c r="N718" s="150">
        <f>if(and(O718=TRUE,P718=TRUE), VLOOKUP($E718,PESSOAL!$B$35:$S$45,MONTH($F718)+6,false)*G718*24,0)</f>
        <v>330.1748324</v>
      </c>
      <c r="O718" s="117" t="b">
        <f t="shared" si="2"/>
        <v>1</v>
      </c>
      <c r="P718" s="117" t="b">
        <v>1</v>
      </c>
      <c r="Q718" s="117" t="s">
        <v>368</v>
      </c>
    </row>
    <row r="719" hidden="1">
      <c r="A719" s="108"/>
      <c r="B719" s="220"/>
      <c r="C719" s="220" t="s">
        <v>57</v>
      </c>
      <c r="D719" s="220" t="str">
        <f>vlookup(M719,'Página10'!A:B,2,false)</f>
        <v>INOV00022</v>
      </c>
      <c r="E719" s="134" t="s">
        <v>144</v>
      </c>
      <c r="F719" s="221">
        <v>45019.0</v>
      </c>
      <c r="G719" s="222">
        <v>0.0625</v>
      </c>
      <c r="H719" s="134" t="s">
        <v>475</v>
      </c>
      <c r="I719" s="223" t="s">
        <v>475</v>
      </c>
      <c r="J719" s="223" t="b">
        <f t="shared" si="1"/>
        <v>1</v>
      </c>
      <c r="K719" s="145" t="s">
        <v>962</v>
      </c>
      <c r="L719" s="156"/>
      <c r="M719" s="134" t="s">
        <v>437</v>
      </c>
      <c r="N719" s="150">
        <f>if(and(O719=TRUE,P719=TRUE), VLOOKUP($E719,PESSOAL!$B$35:$S$45,MONTH($F719)+6,false)*G719*24,0)</f>
        <v>81.78269288</v>
      </c>
      <c r="O719" s="117" t="b">
        <f t="shared" si="2"/>
        <v>1</v>
      </c>
      <c r="P719" s="117" t="b">
        <v>1</v>
      </c>
      <c r="Q719" s="117" t="s">
        <v>368</v>
      </c>
    </row>
    <row r="720" hidden="1">
      <c r="A720" s="108"/>
      <c r="B720" s="220"/>
      <c r="C720" s="220" t="s">
        <v>448</v>
      </c>
      <c r="D720" s="220" t="str">
        <f>vlookup(M720,'Página10'!A:B,2,false)</f>
        <v>INOV00029</v>
      </c>
      <c r="E720" s="134" t="s">
        <v>144</v>
      </c>
      <c r="F720" s="221">
        <v>45019.0</v>
      </c>
      <c r="G720" s="222">
        <v>0.08333333333333333</v>
      </c>
      <c r="H720" s="134" t="s">
        <v>475</v>
      </c>
      <c r="I720" s="223" t="s">
        <v>475</v>
      </c>
      <c r="J720" s="223" t="b">
        <f t="shared" si="1"/>
        <v>1</v>
      </c>
      <c r="K720" s="145" t="s">
        <v>962</v>
      </c>
      <c r="L720" s="156"/>
      <c r="M720" s="134" t="s">
        <v>447</v>
      </c>
      <c r="N720" s="150">
        <f>if(and(O720=TRUE,P720=TRUE), VLOOKUP($E720,PESSOAL!$B$35:$S$45,MONTH($F720)+6,false)*G720*24,0)</f>
        <v>0</v>
      </c>
      <c r="O720" s="117" t="b">
        <f t="shared" si="2"/>
        <v>1</v>
      </c>
      <c r="P720" s="117" t="b">
        <v>0</v>
      </c>
      <c r="Q720" s="117" t="s">
        <v>368</v>
      </c>
    </row>
    <row r="721" hidden="1">
      <c r="A721" s="108"/>
      <c r="B721" s="220"/>
      <c r="C721" s="220" t="s">
        <v>69</v>
      </c>
      <c r="D721" s="220" t="str">
        <f>vlookup(M721,'Página10'!A:B,2,false)</f>
        <v>INOV00041</v>
      </c>
      <c r="E721" s="134" t="s">
        <v>144</v>
      </c>
      <c r="F721" s="221">
        <v>45020.0</v>
      </c>
      <c r="G721" s="222">
        <v>0.125</v>
      </c>
      <c r="H721" s="134" t="s">
        <v>475</v>
      </c>
      <c r="I721" s="223" t="s">
        <v>475</v>
      </c>
      <c r="J721" s="223" t="b">
        <f t="shared" si="1"/>
        <v>1</v>
      </c>
      <c r="K721" s="145" t="s">
        <v>518</v>
      </c>
      <c r="L721" s="156"/>
      <c r="M721" s="134" t="s">
        <v>463</v>
      </c>
      <c r="N721" s="224">
        <v>0.0</v>
      </c>
      <c r="O721" s="117" t="b">
        <f t="shared" si="2"/>
        <v>1</v>
      </c>
      <c r="P721" s="117" t="b">
        <v>1</v>
      </c>
      <c r="Q721" s="117" t="s">
        <v>368</v>
      </c>
    </row>
    <row r="722" hidden="1">
      <c r="A722" s="108"/>
      <c r="B722" s="220"/>
      <c r="C722" s="220" t="s">
        <v>59</v>
      </c>
      <c r="D722" s="220" t="str">
        <f>vlookup(M722,'Página10'!A:B,2,false)</f>
        <v>INOV00024</v>
      </c>
      <c r="E722" s="134" t="s">
        <v>144</v>
      </c>
      <c r="F722" s="221">
        <v>45020.0</v>
      </c>
      <c r="G722" s="222">
        <v>0.041666666666666664</v>
      </c>
      <c r="H722" s="134" t="s">
        <v>475</v>
      </c>
      <c r="I722" s="223" t="s">
        <v>475</v>
      </c>
      <c r="J722" s="223" t="b">
        <f t="shared" si="1"/>
        <v>1</v>
      </c>
      <c r="K722" s="145" t="s">
        <v>963</v>
      </c>
      <c r="L722" s="156"/>
      <c r="M722" s="134" t="s">
        <v>439</v>
      </c>
      <c r="N722" s="150">
        <f>if(and(O722=TRUE,P722=TRUE), VLOOKUP($E722,PESSOAL!$B$35:$S$45,MONTH($F722)+6,false)*G722*24,0)</f>
        <v>54.52179525</v>
      </c>
      <c r="O722" s="117" t="b">
        <f t="shared" si="2"/>
        <v>1</v>
      </c>
      <c r="P722" s="117" t="b">
        <v>1</v>
      </c>
      <c r="Q722" s="117" t="s">
        <v>368</v>
      </c>
    </row>
    <row r="723" hidden="1">
      <c r="A723" s="108"/>
      <c r="B723" s="220"/>
      <c r="C723" s="220" t="s">
        <v>59</v>
      </c>
      <c r="D723" s="220" t="str">
        <f>vlookup(M723,'Página10'!A:B,2,false)</f>
        <v>INOV00024</v>
      </c>
      <c r="E723" s="134" t="s">
        <v>144</v>
      </c>
      <c r="F723" s="221">
        <v>45021.0</v>
      </c>
      <c r="G723" s="222">
        <v>0.041666666666666664</v>
      </c>
      <c r="H723" s="134" t="s">
        <v>475</v>
      </c>
      <c r="I723" s="223" t="s">
        <v>475</v>
      </c>
      <c r="J723" s="223" t="b">
        <f t="shared" si="1"/>
        <v>1</v>
      </c>
      <c r="K723" s="145" t="s">
        <v>526</v>
      </c>
      <c r="L723" s="156"/>
      <c r="M723" s="134" t="s">
        <v>439</v>
      </c>
      <c r="N723" s="150">
        <f>if(and(O723=TRUE,P723=TRUE), VLOOKUP($E723,PESSOAL!$B$35:$S$45,MONTH($F723)+6,false)*G723*24,0)</f>
        <v>54.52179525</v>
      </c>
      <c r="O723" s="117" t="b">
        <f t="shared" si="2"/>
        <v>1</v>
      </c>
      <c r="P723" s="117" t="b">
        <v>1</v>
      </c>
      <c r="Q723" s="117" t="s">
        <v>368</v>
      </c>
    </row>
    <row r="724" hidden="1">
      <c r="A724" s="108"/>
      <c r="B724" s="220"/>
      <c r="C724" s="220" t="s">
        <v>448</v>
      </c>
      <c r="D724" s="220" t="str">
        <f>vlookup(M724,'Página10'!A:B,2,false)</f>
        <v>INOV00029</v>
      </c>
      <c r="E724" s="134" t="s">
        <v>144</v>
      </c>
      <c r="F724" s="221">
        <v>45021.0</v>
      </c>
      <c r="G724" s="222">
        <v>0.08333333333333333</v>
      </c>
      <c r="H724" s="134" t="s">
        <v>475</v>
      </c>
      <c r="I724" s="223" t="s">
        <v>475</v>
      </c>
      <c r="J724" s="223" t="b">
        <f t="shared" si="1"/>
        <v>1</v>
      </c>
      <c r="K724" s="145" t="s">
        <v>964</v>
      </c>
      <c r="L724" s="156"/>
      <c r="M724" s="134" t="s">
        <v>447</v>
      </c>
      <c r="N724" s="150">
        <f>if(and(O724=TRUE,P724=TRUE), VLOOKUP($E724,PESSOAL!$B$35:$S$45,MONTH($F724)+6,false)*G724*24,0)</f>
        <v>0</v>
      </c>
      <c r="O724" s="117" t="b">
        <f t="shared" si="2"/>
        <v>1</v>
      </c>
      <c r="P724" s="117" t="b">
        <v>0</v>
      </c>
      <c r="Q724" s="117" t="s">
        <v>368</v>
      </c>
    </row>
    <row r="725" hidden="1">
      <c r="A725" s="108"/>
      <c r="B725" s="220"/>
      <c r="C725" s="220" t="s">
        <v>69</v>
      </c>
      <c r="D725" s="220" t="str">
        <f>vlookup(M725,'Página10'!A:B,2,false)</f>
        <v>INOV00041</v>
      </c>
      <c r="E725" s="134" t="s">
        <v>144</v>
      </c>
      <c r="F725" s="221">
        <v>45021.0</v>
      </c>
      <c r="G725" s="222">
        <v>0.08333333333333333</v>
      </c>
      <c r="H725" s="134" t="s">
        <v>475</v>
      </c>
      <c r="I725" s="223" t="s">
        <v>475</v>
      </c>
      <c r="J725" s="223" t="b">
        <f t="shared" si="1"/>
        <v>1</v>
      </c>
      <c r="K725" s="145" t="s">
        <v>518</v>
      </c>
      <c r="L725" s="156"/>
      <c r="M725" s="134" t="s">
        <v>463</v>
      </c>
      <c r="N725" s="224">
        <v>0.0</v>
      </c>
      <c r="O725" s="117" t="b">
        <f t="shared" si="2"/>
        <v>1</v>
      </c>
      <c r="P725" s="117" t="b">
        <v>1</v>
      </c>
      <c r="Q725" s="117" t="s">
        <v>368</v>
      </c>
    </row>
    <row r="726" hidden="1">
      <c r="A726" s="108"/>
      <c r="B726" s="220"/>
      <c r="C726" s="220" t="s">
        <v>69</v>
      </c>
      <c r="D726" s="220" t="str">
        <f>vlookup(M726,'Página10'!A:B,2,false)</f>
        <v>INOV00041</v>
      </c>
      <c r="E726" s="134" t="s">
        <v>144</v>
      </c>
      <c r="F726" s="221">
        <v>45021.0</v>
      </c>
      <c r="G726" s="222">
        <v>0.08333333333333333</v>
      </c>
      <c r="H726" s="134" t="s">
        <v>475</v>
      </c>
      <c r="I726" s="223" t="s">
        <v>475</v>
      </c>
      <c r="J726" s="223" t="b">
        <f t="shared" si="1"/>
        <v>1</v>
      </c>
      <c r="K726" s="145" t="s">
        <v>518</v>
      </c>
      <c r="L726" s="156"/>
      <c r="M726" s="134" t="s">
        <v>463</v>
      </c>
      <c r="N726" s="224">
        <v>0.0</v>
      </c>
      <c r="O726" s="117" t="b">
        <f t="shared" si="2"/>
        <v>1</v>
      </c>
      <c r="P726" s="117" t="b">
        <v>1</v>
      </c>
      <c r="Q726" s="117" t="s">
        <v>368</v>
      </c>
    </row>
    <row r="727" hidden="1">
      <c r="A727" s="108"/>
      <c r="B727" s="220"/>
      <c r="C727" s="220" t="s">
        <v>59</v>
      </c>
      <c r="D727" s="220" t="str">
        <f>vlookup(M727,'Página10'!A:B,2,false)</f>
        <v>INOV00024</v>
      </c>
      <c r="E727" s="134" t="s">
        <v>144</v>
      </c>
      <c r="F727" s="221">
        <v>45021.0</v>
      </c>
      <c r="G727" s="222">
        <v>0.041666666666666664</v>
      </c>
      <c r="H727" s="134" t="s">
        <v>411</v>
      </c>
      <c r="I727" s="223" t="s">
        <v>411</v>
      </c>
      <c r="J727" s="223" t="b">
        <f t="shared" si="1"/>
        <v>1</v>
      </c>
      <c r="K727" s="145" t="s">
        <v>965</v>
      </c>
      <c r="L727" s="156"/>
      <c r="M727" s="134" t="s">
        <v>439</v>
      </c>
      <c r="N727" s="150">
        <f>if(and(O727=TRUE,P727=TRUE), VLOOKUP($E727,PESSOAL!$B$35:$S$45,MONTH($F727)+6,false)*G727*24,0)</f>
        <v>54.52179525</v>
      </c>
      <c r="O727" s="117" t="b">
        <f t="shared" si="2"/>
        <v>1</v>
      </c>
      <c r="P727" s="117" t="b">
        <v>1</v>
      </c>
      <c r="Q727" s="117" t="s">
        <v>368</v>
      </c>
    </row>
    <row r="728" hidden="1">
      <c r="A728" s="108"/>
      <c r="B728" s="220"/>
      <c r="C728" s="220" t="s">
        <v>448</v>
      </c>
      <c r="D728" s="220" t="str">
        <f>vlookup(M728,'Página10'!A:B,2,false)</f>
        <v>INOV00029</v>
      </c>
      <c r="E728" s="134" t="s">
        <v>144</v>
      </c>
      <c r="F728" s="221">
        <v>45026.0</v>
      </c>
      <c r="G728" s="222">
        <v>0.125</v>
      </c>
      <c r="H728" s="134" t="s">
        <v>475</v>
      </c>
      <c r="I728" s="223" t="s">
        <v>475</v>
      </c>
      <c r="J728" s="223" t="b">
        <f t="shared" si="1"/>
        <v>1</v>
      </c>
      <c r="K728" s="145" t="s">
        <v>964</v>
      </c>
      <c r="L728" s="156"/>
      <c r="M728" s="134" t="s">
        <v>447</v>
      </c>
      <c r="N728" s="150">
        <f>if(and(O728=TRUE,P728=TRUE), VLOOKUP($E728,PESSOAL!$B$35:$S$45,MONTH($F728)+6,false)*G728*24,0)</f>
        <v>0</v>
      </c>
      <c r="O728" s="117" t="b">
        <f t="shared" si="2"/>
        <v>1</v>
      </c>
      <c r="P728" s="117" t="b">
        <v>0</v>
      </c>
      <c r="Q728" s="117" t="s">
        <v>368</v>
      </c>
    </row>
    <row r="729" hidden="1">
      <c r="A729" s="108"/>
      <c r="B729" s="220"/>
      <c r="C729" s="220" t="s">
        <v>448</v>
      </c>
      <c r="D729" s="220" t="str">
        <f>vlookup(M729,'Página10'!A:B,2,false)</f>
        <v>INOV00029</v>
      </c>
      <c r="E729" s="134" t="s">
        <v>144</v>
      </c>
      <c r="F729" s="221">
        <v>45027.0</v>
      </c>
      <c r="G729" s="222">
        <v>0.125</v>
      </c>
      <c r="H729" s="134" t="s">
        <v>475</v>
      </c>
      <c r="I729" s="223" t="s">
        <v>475</v>
      </c>
      <c r="J729" s="223" t="b">
        <f t="shared" si="1"/>
        <v>1</v>
      </c>
      <c r="K729" s="145" t="s">
        <v>964</v>
      </c>
      <c r="L729" s="156"/>
      <c r="M729" s="134" t="s">
        <v>447</v>
      </c>
      <c r="N729" s="150">
        <f>if(and(O729=TRUE,P729=TRUE), VLOOKUP($E729,PESSOAL!$B$35:$S$45,MONTH($F729)+6,false)*G729*24,0)</f>
        <v>0</v>
      </c>
      <c r="O729" s="117" t="b">
        <f t="shared" si="2"/>
        <v>1</v>
      </c>
      <c r="P729" s="117" t="b">
        <v>0</v>
      </c>
      <c r="Q729" s="117" t="s">
        <v>368</v>
      </c>
    </row>
    <row r="730" hidden="1">
      <c r="A730" s="108"/>
      <c r="B730" s="220"/>
      <c r="C730" s="220" t="s">
        <v>69</v>
      </c>
      <c r="D730" s="220" t="str">
        <f>vlookup(M730,'Página10'!A:B,2,false)</f>
        <v>INOV00041</v>
      </c>
      <c r="E730" s="134" t="s">
        <v>144</v>
      </c>
      <c r="F730" s="221">
        <v>45027.0</v>
      </c>
      <c r="G730" s="222">
        <v>0.125</v>
      </c>
      <c r="H730" s="134" t="s">
        <v>475</v>
      </c>
      <c r="I730" s="223" t="s">
        <v>475</v>
      </c>
      <c r="J730" s="223" t="b">
        <f t="shared" si="1"/>
        <v>1</v>
      </c>
      <c r="K730" s="145" t="s">
        <v>518</v>
      </c>
      <c r="L730" s="156"/>
      <c r="M730" s="134" t="s">
        <v>463</v>
      </c>
      <c r="N730" s="224">
        <v>0.0</v>
      </c>
      <c r="O730" s="117" t="b">
        <f t="shared" si="2"/>
        <v>1</v>
      </c>
      <c r="P730" s="117" t="b">
        <v>1</v>
      </c>
      <c r="Q730" s="117" t="s">
        <v>368</v>
      </c>
    </row>
    <row r="731" hidden="1">
      <c r="A731" s="108"/>
      <c r="B731" s="220"/>
      <c r="C731" s="220" t="s">
        <v>69</v>
      </c>
      <c r="D731" s="220" t="str">
        <f>vlookup(M731,'Página10'!A:B,2,false)</f>
        <v>INOV00041</v>
      </c>
      <c r="E731" s="134" t="s">
        <v>144</v>
      </c>
      <c r="F731" s="221">
        <v>45029.0</v>
      </c>
      <c r="G731" s="222">
        <v>0.16666666666666666</v>
      </c>
      <c r="H731" s="134" t="s">
        <v>475</v>
      </c>
      <c r="I731" s="223" t="s">
        <v>475</v>
      </c>
      <c r="J731" s="223" t="b">
        <f t="shared" si="1"/>
        <v>1</v>
      </c>
      <c r="K731" s="145" t="s">
        <v>518</v>
      </c>
      <c r="L731" s="156"/>
      <c r="M731" s="134" t="s">
        <v>463</v>
      </c>
      <c r="N731" s="224">
        <v>0.0</v>
      </c>
      <c r="O731" s="117" t="b">
        <f t="shared" si="2"/>
        <v>1</v>
      </c>
      <c r="P731" s="117" t="b">
        <v>1</v>
      </c>
      <c r="Q731" s="117" t="s">
        <v>368</v>
      </c>
    </row>
    <row r="732" hidden="1">
      <c r="A732" s="108"/>
      <c r="B732" s="220"/>
      <c r="C732" s="220" t="s">
        <v>69</v>
      </c>
      <c r="D732" s="220" t="str">
        <f>vlookup(M732,'Página10'!A:B,2,false)</f>
        <v>INOV00041</v>
      </c>
      <c r="E732" s="134" t="s">
        <v>144</v>
      </c>
      <c r="F732" s="221">
        <v>45030.0</v>
      </c>
      <c r="G732" s="222">
        <v>0.125</v>
      </c>
      <c r="H732" s="134" t="s">
        <v>475</v>
      </c>
      <c r="I732" s="223" t="s">
        <v>475</v>
      </c>
      <c r="J732" s="223" t="b">
        <f t="shared" si="1"/>
        <v>1</v>
      </c>
      <c r="K732" s="145" t="s">
        <v>518</v>
      </c>
      <c r="L732" s="156"/>
      <c r="M732" s="134" t="s">
        <v>463</v>
      </c>
      <c r="N732" s="224">
        <v>0.0</v>
      </c>
      <c r="O732" s="117" t="b">
        <f t="shared" si="2"/>
        <v>1</v>
      </c>
      <c r="P732" s="117" t="b">
        <v>1</v>
      </c>
      <c r="Q732" s="117" t="s">
        <v>368</v>
      </c>
    </row>
    <row r="733" hidden="1">
      <c r="A733" s="108"/>
      <c r="B733" s="220"/>
      <c r="C733" s="220" t="s">
        <v>69</v>
      </c>
      <c r="D733" s="220" t="str">
        <f>vlookup(M733,'Página10'!A:B,2,false)</f>
        <v>INOV00041</v>
      </c>
      <c r="E733" s="134" t="s">
        <v>144</v>
      </c>
      <c r="F733" s="221">
        <v>45034.0</v>
      </c>
      <c r="G733" s="222">
        <v>0.08333333333333333</v>
      </c>
      <c r="H733" s="134" t="s">
        <v>475</v>
      </c>
      <c r="I733" s="223" t="s">
        <v>475</v>
      </c>
      <c r="J733" s="223" t="b">
        <f t="shared" si="1"/>
        <v>1</v>
      </c>
      <c r="K733" s="145" t="s">
        <v>966</v>
      </c>
      <c r="L733" s="156"/>
      <c r="M733" s="134" t="s">
        <v>463</v>
      </c>
      <c r="N733" s="224">
        <v>0.0</v>
      </c>
      <c r="O733" s="117" t="b">
        <f t="shared" si="2"/>
        <v>1</v>
      </c>
      <c r="P733" s="117" t="b">
        <v>1</v>
      </c>
      <c r="Q733" s="117" t="s">
        <v>368</v>
      </c>
    </row>
    <row r="734" hidden="1">
      <c r="A734" s="108"/>
      <c r="B734" s="220"/>
      <c r="C734" s="220" t="s">
        <v>69</v>
      </c>
      <c r="D734" s="220" t="str">
        <f>vlookup(M734,'Página10'!A:B,2,false)</f>
        <v>INOV00041</v>
      </c>
      <c r="E734" s="134" t="s">
        <v>144</v>
      </c>
      <c r="F734" s="221">
        <v>45034.0</v>
      </c>
      <c r="G734" s="222">
        <v>0.08333333333333333</v>
      </c>
      <c r="H734" s="134" t="s">
        <v>475</v>
      </c>
      <c r="I734" s="223" t="s">
        <v>475</v>
      </c>
      <c r="J734" s="223" t="b">
        <f t="shared" si="1"/>
        <v>1</v>
      </c>
      <c r="K734" s="145" t="s">
        <v>518</v>
      </c>
      <c r="L734" s="156"/>
      <c r="M734" s="134" t="s">
        <v>463</v>
      </c>
      <c r="N734" s="224">
        <v>0.0</v>
      </c>
      <c r="O734" s="117" t="b">
        <f t="shared" si="2"/>
        <v>1</v>
      </c>
      <c r="P734" s="117" t="b">
        <v>1</v>
      </c>
      <c r="Q734" s="117" t="s">
        <v>368</v>
      </c>
    </row>
    <row r="735" hidden="1">
      <c r="A735" s="108"/>
      <c r="B735" s="220"/>
      <c r="C735" s="220" t="s">
        <v>69</v>
      </c>
      <c r="D735" s="220" t="str">
        <f>vlookup(M735,'Página10'!A:B,2,false)</f>
        <v>INOV00041</v>
      </c>
      <c r="E735" s="134" t="s">
        <v>144</v>
      </c>
      <c r="F735" s="221">
        <v>45035.0</v>
      </c>
      <c r="G735" s="222">
        <v>0.16666666666666666</v>
      </c>
      <c r="H735" s="134" t="s">
        <v>475</v>
      </c>
      <c r="I735" s="223" t="s">
        <v>475</v>
      </c>
      <c r="J735" s="223" t="b">
        <f t="shared" si="1"/>
        <v>1</v>
      </c>
      <c r="K735" s="145" t="s">
        <v>518</v>
      </c>
      <c r="L735" s="156"/>
      <c r="M735" s="134" t="s">
        <v>463</v>
      </c>
      <c r="N735" s="224">
        <v>0.0</v>
      </c>
      <c r="O735" s="117" t="b">
        <f t="shared" si="2"/>
        <v>1</v>
      </c>
      <c r="P735" s="117" t="b">
        <v>1</v>
      </c>
      <c r="Q735" s="117" t="s">
        <v>368</v>
      </c>
    </row>
    <row r="736" hidden="1">
      <c r="A736" s="108"/>
      <c r="B736" s="220"/>
      <c r="C736" s="220" t="s">
        <v>69</v>
      </c>
      <c r="D736" s="220" t="str">
        <f>vlookup(M736,'Página10'!A:B,2,false)</f>
        <v>INOV00041</v>
      </c>
      <c r="E736" s="134" t="s">
        <v>144</v>
      </c>
      <c r="F736" s="221">
        <v>45036.0</v>
      </c>
      <c r="G736" s="222">
        <v>0.16666666666666666</v>
      </c>
      <c r="H736" s="134" t="s">
        <v>475</v>
      </c>
      <c r="I736" s="223" t="s">
        <v>475</v>
      </c>
      <c r="J736" s="223" t="b">
        <f t="shared" si="1"/>
        <v>1</v>
      </c>
      <c r="K736" s="145" t="s">
        <v>966</v>
      </c>
      <c r="L736" s="156"/>
      <c r="M736" s="134" t="s">
        <v>463</v>
      </c>
      <c r="N736" s="224">
        <v>0.0</v>
      </c>
      <c r="O736" s="117" t="b">
        <f t="shared" si="2"/>
        <v>1</v>
      </c>
      <c r="P736" s="117" t="b">
        <v>1</v>
      </c>
      <c r="Q736" s="117" t="s">
        <v>368</v>
      </c>
    </row>
    <row r="737" hidden="1">
      <c r="A737" s="108"/>
      <c r="B737" s="220"/>
      <c r="C737" s="220" t="s">
        <v>69</v>
      </c>
      <c r="D737" s="220" t="str">
        <f>vlookup(M737,'Página10'!A:B,2,false)</f>
        <v>INOV00041</v>
      </c>
      <c r="E737" s="134" t="s">
        <v>144</v>
      </c>
      <c r="F737" s="221">
        <v>45040.0</v>
      </c>
      <c r="G737" s="222">
        <v>0.16666666666666666</v>
      </c>
      <c r="H737" s="134" t="s">
        <v>475</v>
      </c>
      <c r="I737" s="223" t="s">
        <v>475</v>
      </c>
      <c r="J737" s="223" t="b">
        <f t="shared" si="1"/>
        <v>1</v>
      </c>
      <c r="K737" s="145" t="s">
        <v>518</v>
      </c>
      <c r="L737" s="156"/>
      <c r="M737" s="134" t="s">
        <v>463</v>
      </c>
      <c r="N737" s="224">
        <v>0.0</v>
      </c>
      <c r="O737" s="117" t="b">
        <f t="shared" si="2"/>
        <v>1</v>
      </c>
      <c r="P737" s="117" t="b">
        <v>1</v>
      </c>
      <c r="Q737" s="117" t="s">
        <v>368</v>
      </c>
    </row>
    <row r="738" hidden="1">
      <c r="A738" s="108"/>
      <c r="B738" s="220"/>
      <c r="C738" s="220" t="s">
        <v>69</v>
      </c>
      <c r="D738" s="220" t="str">
        <f>vlookup(M738,'Página10'!A:B,2,false)</f>
        <v>INOV00041</v>
      </c>
      <c r="E738" s="134" t="s">
        <v>144</v>
      </c>
      <c r="F738" s="221">
        <v>45041.0</v>
      </c>
      <c r="G738" s="222">
        <v>0.1875</v>
      </c>
      <c r="H738" s="134" t="s">
        <v>475</v>
      </c>
      <c r="I738" s="223" t="s">
        <v>475</v>
      </c>
      <c r="J738" s="223" t="b">
        <f t="shared" si="1"/>
        <v>1</v>
      </c>
      <c r="K738" s="145" t="s">
        <v>518</v>
      </c>
      <c r="L738" s="156"/>
      <c r="M738" s="134" t="s">
        <v>463</v>
      </c>
      <c r="N738" s="224">
        <v>0.0</v>
      </c>
      <c r="O738" s="117" t="b">
        <f t="shared" si="2"/>
        <v>1</v>
      </c>
      <c r="P738" s="117" t="b">
        <v>1</v>
      </c>
      <c r="Q738" s="117" t="s">
        <v>368</v>
      </c>
    </row>
    <row r="739" hidden="1">
      <c r="A739" s="108"/>
      <c r="B739" s="220"/>
      <c r="C739" s="220" t="s">
        <v>69</v>
      </c>
      <c r="D739" s="220" t="str">
        <f>vlookup(M739,'Página10'!A:B,2,false)</f>
        <v>INOV00041</v>
      </c>
      <c r="E739" s="134" t="s">
        <v>144</v>
      </c>
      <c r="F739" s="221">
        <v>45042.0</v>
      </c>
      <c r="G739" s="222">
        <v>0.08333333333333333</v>
      </c>
      <c r="H739" s="134" t="s">
        <v>475</v>
      </c>
      <c r="I739" s="223" t="s">
        <v>475</v>
      </c>
      <c r="J739" s="223" t="b">
        <f t="shared" si="1"/>
        <v>1</v>
      </c>
      <c r="K739" s="145" t="s">
        <v>518</v>
      </c>
      <c r="L739" s="156"/>
      <c r="M739" s="134" t="s">
        <v>463</v>
      </c>
      <c r="N739" s="224">
        <v>0.0</v>
      </c>
      <c r="O739" s="117" t="b">
        <f t="shared" si="2"/>
        <v>1</v>
      </c>
      <c r="P739" s="117" t="b">
        <v>1</v>
      </c>
      <c r="Q739" s="117" t="s">
        <v>368</v>
      </c>
    </row>
    <row r="740" hidden="1">
      <c r="A740" s="108"/>
      <c r="B740" s="220"/>
      <c r="C740" s="220" t="s">
        <v>65</v>
      </c>
      <c r="D740" s="220" t="str">
        <f>vlookup(M740,'Página10'!A:B,2,false)</f>
        <v>INOV00037</v>
      </c>
      <c r="E740" s="134" t="s">
        <v>144</v>
      </c>
      <c r="F740" s="221">
        <v>45042.0</v>
      </c>
      <c r="G740" s="222">
        <v>0.08333333333333333</v>
      </c>
      <c r="H740" s="134" t="s">
        <v>475</v>
      </c>
      <c r="I740" s="223" t="s">
        <v>475</v>
      </c>
      <c r="J740" s="223" t="b">
        <f t="shared" si="1"/>
        <v>1</v>
      </c>
      <c r="K740" s="145" t="s">
        <v>967</v>
      </c>
      <c r="L740" s="156"/>
      <c r="M740" s="134" t="s">
        <v>459</v>
      </c>
      <c r="N740" s="150">
        <f>if(and(O740=TRUE,P740=TRUE), VLOOKUP($E740,PESSOAL!$B$35:$S$45,MONTH($F740)+6,false)*G740*24,0)</f>
        <v>109.0435905</v>
      </c>
      <c r="O740" s="117" t="b">
        <f t="shared" si="2"/>
        <v>1</v>
      </c>
      <c r="P740" s="117" t="b">
        <v>1</v>
      </c>
      <c r="Q740" s="117" t="s">
        <v>368</v>
      </c>
    </row>
    <row r="741" hidden="1">
      <c r="A741" s="108"/>
      <c r="B741" s="220"/>
      <c r="C741" s="220" t="s">
        <v>58</v>
      </c>
      <c r="D741" s="220" t="str">
        <f>vlookup(M741,'Página10'!A:B,2,false)</f>
        <v>INOV00023</v>
      </c>
      <c r="E741" s="134" t="s">
        <v>144</v>
      </c>
      <c r="F741" s="221">
        <v>45040.0</v>
      </c>
      <c r="G741" s="222">
        <v>0.041666666666666664</v>
      </c>
      <c r="H741" s="134" t="s">
        <v>475</v>
      </c>
      <c r="I741" s="223" t="s">
        <v>475</v>
      </c>
      <c r="J741" s="223" t="b">
        <f t="shared" si="1"/>
        <v>1</v>
      </c>
      <c r="K741" s="145" t="s">
        <v>967</v>
      </c>
      <c r="L741" s="156"/>
      <c r="M741" s="134" t="s">
        <v>438</v>
      </c>
      <c r="N741" s="150">
        <f>if(and(O741=TRUE,P741=TRUE), VLOOKUP($E741,PESSOAL!$B$35:$S$45,MONTH($F741)+6,false)*G741*24,0)</f>
        <v>54.52179525</v>
      </c>
      <c r="O741" s="117" t="b">
        <f t="shared" si="2"/>
        <v>1</v>
      </c>
      <c r="P741" s="117" t="b">
        <v>1</v>
      </c>
      <c r="Q741" s="117" t="s">
        <v>368</v>
      </c>
    </row>
    <row r="742" hidden="1">
      <c r="A742" s="108"/>
      <c r="B742" s="220"/>
      <c r="C742" s="220" t="s">
        <v>69</v>
      </c>
      <c r="D742" s="220" t="str">
        <f>vlookup(M742,'Página10'!A:B,2,false)</f>
        <v>INOV00041</v>
      </c>
      <c r="E742" s="134" t="s">
        <v>144</v>
      </c>
      <c r="F742" s="221">
        <v>45043.0</v>
      </c>
      <c r="G742" s="222">
        <v>0.16666666666666666</v>
      </c>
      <c r="H742" s="134" t="s">
        <v>475</v>
      </c>
      <c r="I742" s="223" t="s">
        <v>475</v>
      </c>
      <c r="J742" s="223" t="b">
        <f t="shared" si="1"/>
        <v>1</v>
      </c>
      <c r="K742" s="145" t="s">
        <v>518</v>
      </c>
      <c r="L742" s="156"/>
      <c r="M742" s="134" t="s">
        <v>463</v>
      </c>
      <c r="N742" s="224">
        <v>0.0</v>
      </c>
      <c r="O742" s="117" t="b">
        <f t="shared" si="2"/>
        <v>1</v>
      </c>
      <c r="P742" s="117" t="b">
        <v>1</v>
      </c>
      <c r="Q742" s="117" t="s">
        <v>368</v>
      </c>
    </row>
    <row r="743" hidden="1">
      <c r="A743" s="108"/>
      <c r="B743" s="220"/>
      <c r="C743" s="220" t="s">
        <v>290</v>
      </c>
      <c r="D743" s="220" t="str">
        <f>vlookup(M743,'Página10'!A:B,2,false)</f>
        <v>INOV00001</v>
      </c>
      <c r="E743" s="134" t="s">
        <v>144</v>
      </c>
      <c r="F743" s="221">
        <v>45043.0</v>
      </c>
      <c r="G743" s="222">
        <v>0.08333333333333333</v>
      </c>
      <c r="H743" s="134" t="s">
        <v>475</v>
      </c>
      <c r="I743" s="223" t="s">
        <v>475</v>
      </c>
      <c r="J743" s="223" t="b">
        <f t="shared" si="1"/>
        <v>1</v>
      </c>
      <c r="K743" s="145" t="s">
        <v>525</v>
      </c>
      <c r="L743" s="156"/>
      <c r="M743" s="134" t="s">
        <v>416</v>
      </c>
      <c r="N743" s="150">
        <f>if(and(O743=TRUE,P743=TRUE), VLOOKUP($E743,PESSOAL!$B$35:$S$45,MONTH($F743)+6,false)*G743*24,0)</f>
        <v>109.0435905</v>
      </c>
      <c r="O743" s="117" t="b">
        <f t="shared" si="2"/>
        <v>1</v>
      </c>
      <c r="P743" s="117" t="b">
        <v>1</v>
      </c>
      <c r="Q743" s="117" t="s">
        <v>368</v>
      </c>
    </row>
    <row r="744" hidden="1">
      <c r="A744" s="108"/>
      <c r="B744" s="220"/>
      <c r="C744" s="220" t="s">
        <v>69</v>
      </c>
      <c r="D744" s="220" t="str">
        <f>vlookup(M744,'Página10'!A:B,2,false)</f>
        <v>INOV00041</v>
      </c>
      <c r="E744" s="134" t="s">
        <v>144</v>
      </c>
      <c r="F744" s="221">
        <v>45044.0</v>
      </c>
      <c r="G744" s="222">
        <v>0.08333333333333333</v>
      </c>
      <c r="H744" s="134" t="s">
        <v>475</v>
      </c>
      <c r="I744" s="223" t="s">
        <v>475</v>
      </c>
      <c r="J744" s="223" t="b">
        <f t="shared" si="1"/>
        <v>1</v>
      </c>
      <c r="K744" s="145" t="s">
        <v>518</v>
      </c>
      <c r="L744" s="156"/>
      <c r="M744" s="134" t="s">
        <v>463</v>
      </c>
      <c r="N744" s="224">
        <v>0.0</v>
      </c>
      <c r="O744" s="117" t="b">
        <f t="shared" si="2"/>
        <v>1</v>
      </c>
      <c r="P744" s="117" t="b">
        <v>1</v>
      </c>
      <c r="Q744" s="117" t="s">
        <v>368</v>
      </c>
    </row>
    <row r="745" hidden="1">
      <c r="A745" s="108"/>
      <c r="B745" s="220"/>
      <c r="C745" s="220" t="s">
        <v>290</v>
      </c>
      <c r="D745" s="220" t="str">
        <f>vlookup(M745,'Página10'!A:B,2,false)</f>
        <v>INOV00001</v>
      </c>
      <c r="E745" s="134" t="s">
        <v>144</v>
      </c>
      <c r="F745" s="221">
        <v>45044.0</v>
      </c>
      <c r="G745" s="222">
        <v>0.14583333333333334</v>
      </c>
      <c r="H745" s="134" t="s">
        <v>475</v>
      </c>
      <c r="I745" s="223" t="s">
        <v>475</v>
      </c>
      <c r="J745" s="223" t="b">
        <f t="shared" si="1"/>
        <v>1</v>
      </c>
      <c r="K745" s="145" t="s">
        <v>525</v>
      </c>
      <c r="L745" s="156"/>
      <c r="M745" s="134" t="s">
        <v>416</v>
      </c>
      <c r="N745" s="150">
        <f>if(and(O745=TRUE,P745=TRUE), VLOOKUP($E745,PESSOAL!$B$35:$S$45,MONTH($F745)+6,false)*G745*24,0)</f>
        <v>190.8262834</v>
      </c>
      <c r="O745" s="117" t="b">
        <f t="shared" si="2"/>
        <v>1</v>
      </c>
      <c r="P745" s="117" t="b">
        <v>1</v>
      </c>
      <c r="Q745" s="117" t="s">
        <v>368</v>
      </c>
    </row>
    <row r="746" hidden="1">
      <c r="A746" s="108"/>
      <c r="B746" s="220"/>
      <c r="C746" s="220" t="s">
        <v>59</v>
      </c>
      <c r="D746" s="220" t="str">
        <f>vlookup(M746,'Página10'!A:B,2,false)</f>
        <v>INOV00024</v>
      </c>
      <c r="E746" s="134" t="s">
        <v>144</v>
      </c>
      <c r="F746" s="221">
        <v>45048.0</v>
      </c>
      <c r="G746" s="222">
        <v>0.08333333333333333</v>
      </c>
      <c r="H746" s="134" t="s">
        <v>475</v>
      </c>
      <c r="I746" s="223" t="s">
        <v>475</v>
      </c>
      <c r="J746" s="223" t="b">
        <f t="shared" si="1"/>
        <v>1</v>
      </c>
      <c r="K746" s="145" t="s">
        <v>962</v>
      </c>
      <c r="L746" s="156"/>
      <c r="M746" s="134" t="s">
        <v>439</v>
      </c>
      <c r="N746" s="150">
        <f>if(and(O746=TRUE,P746=TRUE), VLOOKUP($E746,PESSOAL!$B$35:$S$45,MONTH($F746)+6,false)*G746*24,0)</f>
        <v>93.23231496</v>
      </c>
      <c r="O746" s="117" t="b">
        <f t="shared" si="2"/>
        <v>1</v>
      </c>
      <c r="P746" s="117" t="b">
        <v>1</v>
      </c>
      <c r="Q746" s="117" t="s">
        <v>368</v>
      </c>
    </row>
    <row r="747" hidden="1">
      <c r="A747" s="108"/>
      <c r="B747" s="220"/>
      <c r="C747" s="220" t="s">
        <v>69</v>
      </c>
      <c r="D747" s="220" t="str">
        <f>vlookup(M747,'Página10'!A:B,2,false)</f>
        <v>INOV00041</v>
      </c>
      <c r="E747" s="134" t="s">
        <v>144</v>
      </c>
      <c r="F747" s="221">
        <v>45048.0</v>
      </c>
      <c r="G747" s="222">
        <v>0.08333333333333333</v>
      </c>
      <c r="H747" s="134" t="s">
        <v>475</v>
      </c>
      <c r="I747" s="223" t="s">
        <v>475</v>
      </c>
      <c r="J747" s="223" t="b">
        <f t="shared" si="1"/>
        <v>1</v>
      </c>
      <c r="K747" s="145" t="s">
        <v>518</v>
      </c>
      <c r="L747" s="156"/>
      <c r="M747" s="134" t="s">
        <v>463</v>
      </c>
      <c r="N747" s="224">
        <v>0.0</v>
      </c>
      <c r="O747" s="117" t="b">
        <f t="shared" si="2"/>
        <v>1</v>
      </c>
      <c r="P747" s="117" t="b">
        <v>1</v>
      </c>
      <c r="Q747" s="117" t="s">
        <v>368</v>
      </c>
    </row>
    <row r="748" hidden="1">
      <c r="A748" s="108"/>
      <c r="B748" s="220"/>
      <c r="C748" s="220" t="s">
        <v>69</v>
      </c>
      <c r="D748" s="220" t="str">
        <f>vlookup(M748,'Página10'!A:B,2,false)</f>
        <v>INOV00041</v>
      </c>
      <c r="E748" s="134" t="s">
        <v>144</v>
      </c>
      <c r="F748" s="221">
        <v>45050.0</v>
      </c>
      <c r="G748" s="222">
        <v>0.08333333333333333</v>
      </c>
      <c r="H748" s="134" t="s">
        <v>475</v>
      </c>
      <c r="I748" s="223" t="s">
        <v>475</v>
      </c>
      <c r="J748" s="223" t="b">
        <f t="shared" si="1"/>
        <v>1</v>
      </c>
      <c r="K748" s="145" t="s">
        <v>518</v>
      </c>
      <c r="L748" s="156"/>
      <c r="M748" s="134" t="s">
        <v>463</v>
      </c>
      <c r="N748" s="224">
        <v>0.0</v>
      </c>
      <c r="O748" s="117" t="b">
        <f t="shared" si="2"/>
        <v>1</v>
      </c>
      <c r="P748" s="117" t="b">
        <v>1</v>
      </c>
      <c r="Q748" s="117" t="s">
        <v>368</v>
      </c>
    </row>
    <row r="749" hidden="1">
      <c r="A749" s="108"/>
      <c r="B749" s="220"/>
      <c r="C749" s="220" t="s">
        <v>57</v>
      </c>
      <c r="D749" s="220" t="str">
        <f>vlookup(M749,'Página10'!A:B,2,false)</f>
        <v>INOV00022</v>
      </c>
      <c r="E749" s="134" t="s">
        <v>144</v>
      </c>
      <c r="F749" s="221">
        <v>45051.0</v>
      </c>
      <c r="G749" s="222">
        <v>0.08333333333333333</v>
      </c>
      <c r="H749" s="134" t="s">
        <v>475</v>
      </c>
      <c r="I749" s="223" t="s">
        <v>475</v>
      </c>
      <c r="J749" s="223" t="b">
        <f t="shared" si="1"/>
        <v>1</v>
      </c>
      <c r="K749" s="145" t="s">
        <v>963</v>
      </c>
      <c r="L749" s="156"/>
      <c r="M749" s="134" t="s">
        <v>437</v>
      </c>
      <c r="N749" s="150">
        <f>if(and(O749=TRUE,P749=TRUE), VLOOKUP($E749,PESSOAL!$B$35:$S$45,MONTH($F749)+6,false)*G749*24,0)</f>
        <v>93.23231496</v>
      </c>
      <c r="O749" s="117" t="b">
        <f t="shared" si="2"/>
        <v>1</v>
      </c>
      <c r="P749" s="117" t="b">
        <v>1</v>
      </c>
      <c r="Q749" s="117" t="s">
        <v>368</v>
      </c>
    </row>
    <row r="750" hidden="1">
      <c r="A750" s="108"/>
      <c r="B750" s="220"/>
      <c r="C750" s="220" t="s">
        <v>59</v>
      </c>
      <c r="D750" s="220" t="str">
        <f>vlookup(M750,'Página10'!A:B,2,false)</f>
        <v>INOV00024</v>
      </c>
      <c r="E750" s="134" t="s">
        <v>144</v>
      </c>
      <c r="F750" s="221">
        <v>45051.0</v>
      </c>
      <c r="G750" s="222">
        <v>0.08333333333333333</v>
      </c>
      <c r="H750" s="134" t="s">
        <v>475</v>
      </c>
      <c r="I750" s="223" t="s">
        <v>475</v>
      </c>
      <c r="J750" s="223" t="b">
        <f t="shared" si="1"/>
        <v>1</v>
      </c>
      <c r="K750" s="145" t="s">
        <v>962</v>
      </c>
      <c r="L750" s="156"/>
      <c r="M750" s="134" t="s">
        <v>439</v>
      </c>
      <c r="N750" s="150">
        <f>if(and(O750=TRUE,P750=TRUE), VLOOKUP($E750,PESSOAL!$B$35:$S$45,MONTH($F750)+6,false)*G750*24,0)</f>
        <v>93.23231496</v>
      </c>
      <c r="O750" s="117" t="b">
        <f t="shared" si="2"/>
        <v>1</v>
      </c>
      <c r="P750" s="117" t="b">
        <v>1</v>
      </c>
      <c r="Q750" s="117" t="s">
        <v>368</v>
      </c>
    </row>
    <row r="751" hidden="1">
      <c r="A751" s="108"/>
      <c r="B751" s="220"/>
      <c r="C751" s="220" t="s">
        <v>65</v>
      </c>
      <c r="D751" s="220" t="str">
        <f>vlookup(M751,'Página10'!A:B,2,false)</f>
        <v>INOV00037</v>
      </c>
      <c r="E751" s="134" t="s">
        <v>144</v>
      </c>
      <c r="F751" s="221">
        <v>45051.0</v>
      </c>
      <c r="G751" s="222">
        <v>0.08333333333333333</v>
      </c>
      <c r="H751" s="134" t="s">
        <v>475</v>
      </c>
      <c r="I751" s="223" t="s">
        <v>475</v>
      </c>
      <c r="J751" s="223" t="b">
        <f t="shared" si="1"/>
        <v>1</v>
      </c>
      <c r="K751" s="145" t="s">
        <v>963</v>
      </c>
      <c r="L751" s="156"/>
      <c r="M751" s="134" t="s">
        <v>459</v>
      </c>
      <c r="N751" s="150">
        <f>if(and(O751=TRUE,P751=TRUE), VLOOKUP($E751,PESSOAL!$B$35:$S$45,MONTH($F751)+6,false)*G751*24,0)</f>
        <v>93.23231496</v>
      </c>
      <c r="O751" s="117" t="b">
        <f t="shared" si="2"/>
        <v>1</v>
      </c>
      <c r="P751" s="117" t="b">
        <v>1</v>
      </c>
      <c r="Q751" s="117" t="s">
        <v>368</v>
      </c>
    </row>
    <row r="752" hidden="1">
      <c r="A752" s="108"/>
      <c r="B752" s="220"/>
      <c r="C752" s="220" t="s">
        <v>65</v>
      </c>
      <c r="D752" s="220" t="str">
        <f>vlookup(M752,'Página10'!A:B,2,false)</f>
        <v>INOV00037</v>
      </c>
      <c r="E752" s="134" t="s">
        <v>144</v>
      </c>
      <c r="F752" s="221">
        <v>45054.0</v>
      </c>
      <c r="G752" s="222">
        <v>0.08333333333333333</v>
      </c>
      <c r="H752" s="134" t="s">
        <v>475</v>
      </c>
      <c r="I752" s="223" t="s">
        <v>475</v>
      </c>
      <c r="J752" s="223" t="b">
        <f t="shared" si="1"/>
        <v>1</v>
      </c>
      <c r="K752" s="145" t="s">
        <v>963</v>
      </c>
      <c r="L752" s="156"/>
      <c r="M752" s="134" t="s">
        <v>459</v>
      </c>
      <c r="N752" s="150">
        <f>if(and(O752=TRUE,P752=TRUE), VLOOKUP($E752,PESSOAL!$B$35:$S$45,MONTH($F752)+6,false)*G752*24,0)</f>
        <v>93.23231496</v>
      </c>
      <c r="O752" s="117" t="b">
        <f t="shared" si="2"/>
        <v>1</v>
      </c>
      <c r="P752" s="117" t="b">
        <v>1</v>
      </c>
      <c r="Q752" s="117" t="s">
        <v>368</v>
      </c>
    </row>
    <row r="753" hidden="1">
      <c r="A753" s="108"/>
      <c r="B753" s="220"/>
      <c r="C753" s="220" t="s">
        <v>69</v>
      </c>
      <c r="D753" s="220" t="str">
        <f>vlookup(M753,'Página10'!A:B,2,false)</f>
        <v>INOV00041</v>
      </c>
      <c r="E753" s="134" t="s">
        <v>144</v>
      </c>
      <c r="F753" s="221">
        <v>45054.0</v>
      </c>
      <c r="G753" s="222">
        <v>0.125</v>
      </c>
      <c r="H753" s="134" t="s">
        <v>475</v>
      </c>
      <c r="I753" s="223" t="s">
        <v>475</v>
      </c>
      <c r="J753" s="223" t="b">
        <f t="shared" si="1"/>
        <v>1</v>
      </c>
      <c r="K753" s="145" t="s">
        <v>518</v>
      </c>
      <c r="L753" s="156"/>
      <c r="M753" s="134" t="s">
        <v>463</v>
      </c>
      <c r="N753" s="224">
        <v>0.0</v>
      </c>
      <c r="O753" s="117" t="b">
        <f t="shared" si="2"/>
        <v>1</v>
      </c>
      <c r="P753" s="117" t="b">
        <v>1</v>
      </c>
      <c r="Q753" s="117" t="s">
        <v>368</v>
      </c>
    </row>
    <row r="754" hidden="1">
      <c r="A754" s="108"/>
      <c r="B754" s="220"/>
      <c r="C754" s="220" t="s">
        <v>57</v>
      </c>
      <c r="D754" s="220" t="str">
        <f>vlookup(M754,'Página10'!A:B,2,false)</f>
        <v>INOV00022</v>
      </c>
      <c r="E754" s="134" t="s">
        <v>144</v>
      </c>
      <c r="F754" s="221">
        <v>45055.0</v>
      </c>
      <c r="G754" s="222">
        <v>0.08333333333333333</v>
      </c>
      <c r="H754" s="134" t="s">
        <v>475</v>
      </c>
      <c r="I754" s="223" t="s">
        <v>475</v>
      </c>
      <c r="J754" s="223" t="b">
        <f t="shared" si="1"/>
        <v>1</v>
      </c>
      <c r="K754" s="145" t="s">
        <v>963</v>
      </c>
      <c r="L754" s="156"/>
      <c r="M754" s="134" t="s">
        <v>437</v>
      </c>
      <c r="N754" s="150">
        <f>if(and(O754=TRUE,P754=TRUE), VLOOKUP($E754,PESSOAL!$B$35:$S$45,MONTH($F754)+6,false)*G754*24,0)</f>
        <v>93.23231496</v>
      </c>
      <c r="O754" s="117" t="b">
        <f t="shared" si="2"/>
        <v>1</v>
      </c>
      <c r="P754" s="117" t="b">
        <v>1</v>
      </c>
      <c r="Q754" s="117" t="s">
        <v>368</v>
      </c>
    </row>
    <row r="755" hidden="1">
      <c r="A755" s="108"/>
      <c r="B755" s="220"/>
      <c r="C755" s="220" t="s">
        <v>69</v>
      </c>
      <c r="D755" s="220" t="str">
        <f>vlookup(M755,'Página10'!A:B,2,false)</f>
        <v>INOV00041</v>
      </c>
      <c r="E755" s="134" t="s">
        <v>144</v>
      </c>
      <c r="F755" s="221">
        <v>45055.0</v>
      </c>
      <c r="G755" s="222">
        <v>0.125</v>
      </c>
      <c r="H755" s="134" t="s">
        <v>475</v>
      </c>
      <c r="I755" s="223" t="s">
        <v>475</v>
      </c>
      <c r="J755" s="223" t="b">
        <f t="shared" si="1"/>
        <v>1</v>
      </c>
      <c r="K755" s="145" t="s">
        <v>518</v>
      </c>
      <c r="L755" s="156"/>
      <c r="M755" s="134" t="s">
        <v>463</v>
      </c>
      <c r="N755" s="224">
        <v>0.0</v>
      </c>
      <c r="O755" s="117" t="b">
        <f t="shared" si="2"/>
        <v>1</v>
      </c>
      <c r="P755" s="117" t="b">
        <v>1</v>
      </c>
      <c r="Q755" s="117" t="s">
        <v>368</v>
      </c>
    </row>
    <row r="756" hidden="1">
      <c r="A756" s="108"/>
      <c r="B756" s="220"/>
      <c r="C756" s="220" t="s">
        <v>69</v>
      </c>
      <c r="D756" s="220" t="str">
        <f>vlookup(M756,'Página10'!A:B,2,false)</f>
        <v>INOV00041</v>
      </c>
      <c r="E756" s="134" t="s">
        <v>144</v>
      </c>
      <c r="F756" s="221">
        <v>45056.0</v>
      </c>
      <c r="G756" s="222">
        <v>0.125</v>
      </c>
      <c r="H756" s="134" t="s">
        <v>475</v>
      </c>
      <c r="I756" s="223" t="s">
        <v>475</v>
      </c>
      <c r="J756" s="223" t="b">
        <f t="shared" si="1"/>
        <v>1</v>
      </c>
      <c r="K756" s="145" t="s">
        <v>966</v>
      </c>
      <c r="L756" s="156"/>
      <c r="M756" s="134" t="s">
        <v>463</v>
      </c>
      <c r="N756" s="224">
        <v>0.0</v>
      </c>
      <c r="O756" s="117" t="b">
        <f t="shared" si="2"/>
        <v>1</v>
      </c>
      <c r="P756" s="117" t="b">
        <v>1</v>
      </c>
      <c r="Q756" s="117" t="s">
        <v>368</v>
      </c>
    </row>
    <row r="757" hidden="1">
      <c r="A757" s="108"/>
      <c r="B757" s="220"/>
      <c r="C757" s="220" t="s">
        <v>57</v>
      </c>
      <c r="D757" s="220" t="str">
        <f>vlookup(M757,'Página10'!A:B,2,false)</f>
        <v>INOV00022</v>
      </c>
      <c r="E757" s="134" t="s">
        <v>144</v>
      </c>
      <c r="F757" s="221">
        <v>45056.0</v>
      </c>
      <c r="G757" s="222">
        <v>0.16666666666666666</v>
      </c>
      <c r="H757" s="134" t="s">
        <v>475</v>
      </c>
      <c r="I757" s="223" t="s">
        <v>475</v>
      </c>
      <c r="J757" s="223" t="b">
        <f t="shared" si="1"/>
        <v>1</v>
      </c>
      <c r="K757" s="145" t="s">
        <v>963</v>
      </c>
      <c r="L757" s="156"/>
      <c r="M757" s="134" t="s">
        <v>437</v>
      </c>
      <c r="N757" s="150">
        <f>if(and(O757=TRUE,P757=TRUE), VLOOKUP($E757,PESSOAL!$B$35:$S$45,MONTH($F757)+6,false)*G757*24,0)</f>
        <v>186.4646299</v>
      </c>
      <c r="O757" s="117" t="b">
        <f t="shared" si="2"/>
        <v>1</v>
      </c>
      <c r="P757" s="117" t="b">
        <v>1</v>
      </c>
      <c r="Q757" s="117" t="s">
        <v>368</v>
      </c>
    </row>
    <row r="758" hidden="1">
      <c r="A758" s="108"/>
      <c r="B758" s="220"/>
      <c r="C758" s="220" t="s">
        <v>57</v>
      </c>
      <c r="D758" s="220" t="str">
        <f>vlookup(M758,'Página10'!A:B,2,false)</f>
        <v>INOV00022</v>
      </c>
      <c r="E758" s="134" t="s">
        <v>144</v>
      </c>
      <c r="F758" s="221">
        <v>45057.0</v>
      </c>
      <c r="G758" s="222">
        <v>0.10416666666666667</v>
      </c>
      <c r="H758" s="134" t="s">
        <v>475</v>
      </c>
      <c r="I758" s="223" t="s">
        <v>475</v>
      </c>
      <c r="J758" s="223" t="b">
        <f t="shared" si="1"/>
        <v>1</v>
      </c>
      <c r="K758" s="145" t="s">
        <v>963</v>
      </c>
      <c r="L758" s="156"/>
      <c r="M758" s="134" t="s">
        <v>437</v>
      </c>
      <c r="N758" s="150">
        <f>if(and(O758=TRUE,P758=TRUE), VLOOKUP($E758,PESSOAL!$B$35:$S$45,MONTH($F758)+6,false)*G758*24,0)</f>
        <v>116.5403937</v>
      </c>
      <c r="O758" s="117" t="b">
        <f t="shared" si="2"/>
        <v>1</v>
      </c>
      <c r="P758" s="117" t="b">
        <v>1</v>
      </c>
      <c r="Q758" s="117" t="s">
        <v>368</v>
      </c>
    </row>
    <row r="759" hidden="1">
      <c r="A759" s="108"/>
      <c r="B759" s="220"/>
      <c r="C759" s="220" t="s">
        <v>58</v>
      </c>
      <c r="D759" s="220" t="str">
        <f>vlookup(M759,'Página10'!A:B,2,false)</f>
        <v>INOV00023</v>
      </c>
      <c r="E759" s="134" t="s">
        <v>144</v>
      </c>
      <c r="F759" s="221">
        <v>45057.0</v>
      </c>
      <c r="G759" s="222">
        <v>0.08333333333333333</v>
      </c>
      <c r="H759" s="134" t="s">
        <v>475</v>
      </c>
      <c r="I759" s="223" t="s">
        <v>475</v>
      </c>
      <c r="J759" s="223" t="b">
        <f t="shared" si="1"/>
        <v>1</v>
      </c>
      <c r="K759" s="145" t="s">
        <v>962</v>
      </c>
      <c r="L759" s="156"/>
      <c r="M759" s="134" t="s">
        <v>438</v>
      </c>
      <c r="N759" s="150">
        <f>if(and(O759=TRUE,P759=TRUE), VLOOKUP($E759,PESSOAL!$B$35:$S$45,MONTH($F759)+6,false)*G759*24,0)</f>
        <v>93.23231496</v>
      </c>
      <c r="O759" s="117" t="b">
        <f t="shared" si="2"/>
        <v>1</v>
      </c>
      <c r="P759" s="117" t="b">
        <v>1</v>
      </c>
      <c r="Q759" s="117" t="s">
        <v>368</v>
      </c>
    </row>
    <row r="760" hidden="1">
      <c r="A760" s="108"/>
      <c r="B760" s="220"/>
      <c r="C760" s="220" t="s">
        <v>57</v>
      </c>
      <c r="D760" s="220" t="str">
        <f>vlookup(M760,'Página10'!A:B,2,false)</f>
        <v>INOV00022</v>
      </c>
      <c r="E760" s="134" t="s">
        <v>144</v>
      </c>
      <c r="F760" s="221">
        <v>45058.0</v>
      </c>
      <c r="G760" s="222">
        <v>0.10416666666666667</v>
      </c>
      <c r="H760" s="134" t="s">
        <v>475</v>
      </c>
      <c r="I760" s="223" t="s">
        <v>475</v>
      </c>
      <c r="J760" s="223" t="b">
        <f t="shared" si="1"/>
        <v>1</v>
      </c>
      <c r="K760" s="145" t="s">
        <v>963</v>
      </c>
      <c r="L760" s="156"/>
      <c r="M760" s="134" t="s">
        <v>437</v>
      </c>
      <c r="N760" s="150">
        <f>if(and(O760=TRUE,P760=TRUE), VLOOKUP($E760,PESSOAL!$B$35:$S$45,MONTH($F760)+6,false)*G760*24,0)</f>
        <v>116.5403937</v>
      </c>
      <c r="O760" s="117" t="b">
        <f t="shared" si="2"/>
        <v>1</v>
      </c>
      <c r="P760" s="117" t="b">
        <v>1</v>
      </c>
      <c r="Q760" s="117" t="s">
        <v>368</v>
      </c>
    </row>
    <row r="761" hidden="1">
      <c r="A761" s="108"/>
      <c r="B761" s="220"/>
      <c r="C761" s="220" t="s">
        <v>69</v>
      </c>
      <c r="D761" s="220" t="str">
        <f>vlookup(M761,'Página10'!A:B,2,false)</f>
        <v>INOV00041</v>
      </c>
      <c r="E761" s="134" t="s">
        <v>144</v>
      </c>
      <c r="F761" s="221">
        <v>45058.0</v>
      </c>
      <c r="G761" s="222">
        <v>0.08333333333333333</v>
      </c>
      <c r="H761" s="134" t="s">
        <v>475</v>
      </c>
      <c r="I761" s="223" t="s">
        <v>475</v>
      </c>
      <c r="J761" s="223" t="b">
        <f t="shared" si="1"/>
        <v>1</v>
      </c>
      <c r="K761" s="145" t="s">
        <v>518</v>
      </c>
      <c r="L761" s="156"/>
      <c r="M761" s="134" t="s">
        <v>463</v>
      </c>
      <c r="N761" s="224">
        <v>0.0</v>
      </c>
      <c r="O761" s="117" t="b">
        <f t="shared" si="2"/>
        <v>1</v>
      </c>
      <c r="P761" s="117" t="b">
        <v>1</v>
      </c>
      <c r="Q761" s="117" t="s">
        <v>368</v>
      </c>
    </row>
    <row r="762" hidden="1">
      <c r="A762" s="108"/>
      <c r="B762" s="220"/>
      <c r="C762" s="220" t="s">
        <v>59</v>
      </c>
      <c r="D762" s="220" t="str">
        <f>vlookup(M762,'Página10'!A:B,2,false)</f>
        <v>INOV00024</v>
      </c>
      <c r="E762" s="134" t="s">
        <v>144</v>
      </c>
      <c r="F762" s="221">
        <v>45058.0</v>
      </c>
      <c r="G762" s="222">
        <v>0.08333333333333333</v>
      </c>
      <c r="H762" s="134" t="s">
        <v>475</v>
      </c>
      <c r="I762" s="223" t="s">
        <v>475</v>
      </c>
      <c r="J762" s="223" t="b">
        <f t="shared" si="1"/>
        <v>1</v>
      </c>
      <c r="K762" s="145" t="s">
        <v>526</v>
      </c>
      <c r="L762" s="156"/>
      <c r="M762" s="134" t="s">
        <v>439</v>
      </c>
      <c r="N762" s="150">
        <f>if(and(O762=TRUE,P762=TRUE), VLOOKUP($E762,PESSOAL!$B$35:$S$45,MONTH($F762)+6,false)*G762*24,0)</f>
        <v>93.23231496</v>
      </c>
      <c r="O762" s="117" t="b">
        <f t="shared" si="2"/>
        <v>1</v>
      </c>
      <c r="P762" s="117" t="b">
        <v>1</v>
      </c>
      <c r="Q762" s="117" t="s">
        <v>368</v>
      </c>
    </row>
    <row r="763" hidden="1">
      <c r="A763" s="108"/>
      <c r="B763" s="220"/>
      <c r="C763" s="220" t="s">
        <v>58</v>
      </c>
      <c r="D763" s="220" t="str">
        <f>vlookup(M763,'Página10'!A:B,2,false)</f>
        <v>INOV00023</v>
      </c>
      <c r="E763" s="134" t="s">
        <v>144</v>
      </c>
      <c r="F763" s="221">
        <v>45058.0</v>
      </c>
      <c r="G763" s="222">
        <v>0.08333333333333333</v>
      </c>
      <c r="H763" s="134" t="s">
        <v>475</v>
      </c>
      <c r="I763" s="223" t="s">
        <v>475</v>
      </c>
      <c r="J763" s="223" t="b">
        <f t="shared" si="1"/>
        <v>1</v>
      </c>
      <c r="K763" s="145" t="s">
        <v>968</v>
      </c>
      <c r="L763" s="156"/>
      <c r="M763" s="134" t="s">
        <v>438</v>
      </c>
      <c r="N763" s="150">
        <f>if(and(O763=TRUE,P763=TRUE), VLOOKUP($E763,PESSOAL!$B$35:$S$45,MONTH($F763)+6,false)*G763*24,0)</f>
        <v>93.23231496</v>
      </c>
      <c r="O763" s="117" t="b">
        <f t="shared" si="2"/>
        <v>1</v>
      </c>
      <c r="P763" s="117" t="b">
        <v>1</v>
      </c>
      <c r="Q763" s="117" t="s">
        <v>368</v>
      </c>
    </row>
    <row r="764" hidden="1">
      <c r="A764" s="108"/>
      <c r="B764" s="220"/>
      <c r="C764" s="220" t="s">
        <v>69</v>
      </c>
      <c r="D764" s="220" t="str">
        <f>vlookup(M764,'Página10'!A:B,2,false)</f>
        <v>INOV00041</v>
      </c>
      <c r="E764" s="134" t="s">
        <v>144</v>
      </c>
      <c r="F764" s="221">
        <v>45061.0</v>
      </c>
      <c r="G764" s="222">
        <v>0.125</v>
      </c>
      <c r="H764" s="134" t="s">
        <v>475</v>
      </c>
      <c r="I764" s="223" t="s">
        <v>475</v>
      </c>
      <c r="J764" s="223" t="b">
        <f t="shared" si="1"/>
        <v>1</v>
      </c>
      <c r="K764" s="145" t="s">
        <v>969</v>
      </c>
      <c r="L764" s="156"/>
      <c r="M764" s="134" t="s">
        <v>463</v>
      </c>
      <c r="N764" s="224">
        <v>0.0</v>
      </c>
      <c r="O764" s="117" t="b">
        <f t="shared" si="2"/>
        <v>1</v>
      </c>
      <c r="P764" s="117" t="b">
        <v>1</v>
      </c>
      <c r="Q764" s="117" t="s">
        <v>368</v>
      </c>
    </row>
    <row r="765" hidden="1">
      <c r="A765" s="108"/>
      <c r="B765" s="220"/>
      <c r="C765" s="220" t="s">
        <v>67</v>
      </c>
      <c r="D765" s="220" t="str">
        <f>vlookup(M765,'Página10'!A:B,2,false)</f>
        <v>INOV00039</v>
      </c>
      <c r="E765" s="134" t="s">
        <v>144</v>
      </c>
      <c r="F765" s="221">
        <v>45063.0</v>
      </c>
      <c r="G765" s="222">
        <v>0.125</v>
      </c>
      <c r="H765" s="134" t="s">
        <v>475</v>
      </c>
      <c r="I765" s="223" t="s">
        <v>475</v>
      </c>
      <c r="J765" s="223" t="b">
        <f t="shared" si="1"/>
        <v>1</v>
      </c>
      <c r="K765" s="145" t="s">
        <v>963</v>
      </c>
      <c r="L765" s="156"/>
      <c r="M765" s="134" t="s">
        <v>461</v>
      </c>
      <c r="N765" s="150">
        <f>if(and(O765=TRUE,P765=TRUE), VLOOKUP($E765,PESSOAL!$B$35:$S$45,MONTH($F765)+6,false)*G765*24,0)</f>
        <v>139.8484724</v>
      </c>
      <c r="O765" s="117" t="b">
        <f t="shared" si="2"/>
        <v>1</v>
      </c>
      <c r="P765" s="117" t="b">
        <v>1</v>
      </c>
      <c r="Q765" s="117" t="s">
        <v>368</v>
      </c>
    </row>
    <row r="766" hidden="1">
      <c r="A766" s="108"/>
      <c r="B766" s="220"/>
      <c r="C766" s="220" t="s">
        <v>67</v>
      </c>
      <c r="D766" s="220" t="str">
        <f>vlookup(M766,'Página10'!A:B,2,false)</f>
        <v>INOV00039</v>
      </c>
      <c r="E766" s="134" t="s">
        <v>144</v>
      </c>
      <c r="F766" s="221">
        <v>45064.0</v>
      </c>
      <c r="G766" s="222">
        <v>0.08333333333333333</v>
      </c>
      <c r="H766" s="134" t="s">
        <v>475</v>
      </c>
      <c r="I766" s="223" t="s">
        <v>475</v>
      </c>
      <c r="J766" s="223" t="b">
        <f t="shared" si="1"/>
        <v>1</v>
      </c>
      <c r="K766" s="145" t="s">
        <v>963</v>
      </c>
      <c r="L766" s="156"/>
      <c r="M766" s="134" t="s">
        <v>461</v>
      </c>
      <c r="N766" s="150">
        <f>if(and(O766=TRUE,P766=TRUE), VLOOKUP($E766,PESSOAL!$B$35:$S$45,MONTH($F766)+6,false)*G766*24,0)</f>
        <v>93.23231496</v>
      </c>
      <c r="O766" s="117" t="b">
        <f t="shared" si="2"/>
        <v>1</v>
      </c>
      <c r="P766" s="117" t="b">
        <v>1</v>
      </c>
      <c r="Q766" s="117" t="s">
        <v>368</v>
      </c>
    </row>
    <row r="767" hidden="1">
      <c r="A767" s="108"/>
      <c r="B767" s="220"/>
      <c r="C767" s="220" t="s">
        <v>69</v>
      </c>
      <c r="D767" s="220" t="str">
        <f>vlookup(M767,'Página10'!A:B,2,false)</f>
        <v>INOV00041</v>
      </c>
      <c r="E767" s="134" t="s">
        <v>144</v>
      </c>
      <c r="F767" s="221">
        <v>45064.0</v>
      </c>
      <c r="G767" s="222">
        <v>0.08333333333333333</v>
      </c>
      <c r="H767" s="134" t="s">
        <v>475</v>
      </c>
      <c r="I767" s="223" t="s">
        <v>475</v>
      </c>
      <c r="J767" s="223" t="b">
        <f t="shared" si="1"/>
        <v>1</v>
      </c>
      <c r="K767" s="145" t="s">
        <v>518</v>
      </c>
      <c r="L767" s="156"/>
      <c r="M767" s="134" t="s">
        <v>463</v>
      </c>
      <c r="N767" s="224">
        <v>0.0</v>
      </c>
      <c r="O767" s="117" t="b">
        <f t="shared" si="2"/>
        <v>1</v>
      </c>
      <c r="P767" s="117" t="b">
        <v>1</v>
      </c>
      <c r="Q767" s="117" t="s">
        <v>368</v>
      </c>
    </row>
    <row r="768" hidden="1">
      <c r="A768" s="108"/>
      <c r="B768" s="220"/>
      <c r="C768" s="220" t="s">
        <v>69</v>
      </c>
      <c r="D768" s="220" t="str">
        <f>vlookup(M768,'Página10'!A:B,2,false)</f>
        <v>INOV00041</v>
      </c>
      <c r="E768" s="134" t="s">
        <v>144</v>
      </c>
      <c r="F768" s="221">
        <v>45065.0</v>
      </c>
      <c r="G768" s="222">
        <v>0.0625</v>
      </c>
      <c r="H768" s="134" t="s">
        <v>475</v>
      </c>
      <c r="I768" s="223" t="s">
        <v>475</v>
      </c>
      <c r="J768" s="223" t="b">
        <f t="shared" si="1"/>
        <v>1</v>
      </c>
      <c r="K768" s="145" t="s">
        <v>969</v>
      </c>
      <c r="L768" s="156"/>
      <c r="M768" s="134" t="s">
        <v>463</v>
      </c>
      <c r="N768" s="224">
        <v>0.0</v>
      </c>
      <c r="O768" s="117" t="b">
        <f t="shared" si="2"/>
        <v>1</v>
      </c>
      <c r="P768" s="117" t="b">
        <v>1</v>
      </c>
      <c r="Q768" s="117" t="s">
        <v>368</v>
      </c>
    </row>
    <row r="769" hidden="1">
      <c r="A769" s="108"/>
      <c r="B769" s="220"/>
      <c r="C769" s="220" t="s">
        <v>59</v>
      </c>
      <c r="D769" s="220" t="str">
        <f>vlookup(M769,'Página10'!A:B,2,false)</f>
        <v>INOV00024</v>
      </c>
      <c r="E769" s="134" t="s">
        <v>144</v>
      </c>
      <c r="F769" s="221">
        <v>45068.0</v>
      </c>
      <c r="G769" s="222">
        <v>0.125</v>
      </c>
      <c r="H769" s="134" t="s">
        <v>475</v>
      </c>
      <c r="I769" s="223" t="s">
        <v>475</v>
      </c>
      <c r="J769" s="223" t="b">
        <f t="shared" si="1"/>
        <v>1</v>
      </c>
      <c r="K769" s="145" t="s">
        <v>968</v>
      </c>
      <c r="L769" s="156"/>
      <c r="M769" s="134" t="s">
        <v>439</v>
      </c>
      <c r="N769" s="150">
        <f>if(and(O769=TRUE,P769=TRUE), VLOOKUP($E769,PESSOAL!$B$35:$S$45,MONTH($F769)+6,false)*G769*24,0)</f>
        <v>139.8484724</v>
      </c>
      <c r="O769" s="117" t="b">
        <f t="shared" si="2"/>
        <v>1</v>
      </c>
      <c r="P769" s="117" t="b">
        <v>1</v>
      </c>
      <c r="Q769" s="117" t="s">
        <v>368</v>
      </c>
    </row>
    <row r="770" hidden="1">
      <c r="A770" s="108"/>
      <c r="B770" s="220"/>
      <c r="C770" s="220" t="s">
        <v>69</v>
      </c>
      <c r="D770" s="220" t="str">
        <f>vlookup(M770,'Página10'!A:B,2,false)</f>
        <v>INOV00041</v>
      </c>
      <c r="E770" s="134" t="s">
        <v>144</v>
      </c>
      <c r="F770" s="221">
        <v>45068.0</v>
      </c>
      <c r="G770" s="222">
        <v>0.041666666666666664</v>
      </c>
      <c r="H770" s="134" t="s">
        <v>475</v>
      </c>
      <c r="I770" s="223" t="s">
        <v>475</v>
      </c>
      <c r="J770" s="223" t="b">
        <f t="shared" si="1"/>
        <v>1</v>
      </c>
      <c r="K770" s="145" t="s">
        <v>518</v>
      </c>
      <c r="L770" s="156"/>
      <c r="M770" s="134" t="s">
        <v>463</v>
      </c>
      <c r="N770" s="224">
        <v>0.0</v>
      </c>
      <c r="O770" s="117" t="b">
        <f t="shared" si="2"/>
        <v>1</v>
      </c>
      <c r="P770" s="117" t="b">
        <v>1</v>
      </c>
      <c r="Q770" s="117" t="s">
        <v>368</v>
      </c>
    </row>
    <row r="771" hidden="1">
      <c r="A771" s="108"/>
      <c r="B771" s="220"/>
      <c r="C771" s="220" t="s">
        <v>69</v>
      </c>
      <c r="D771" s="220" t="str">
        <f>vlookup(M771,'Página10'!A:B,2,false)</f>
        <v>INOV00041</v>
      </c>
      <c r="E771" s="134" t="s">
        <v>144</v>
      </c>
      <c r="F771" s="221">
        <v>45069.0</v>
      </c>
      <c r="G771" s="222">
        <v>0.16666666666666666</v>
      </c>
      <c r="H771" s="134" t="s">
        <v>475</v>
      </c>
      <c r="I771" s="223" t="s">
        <v>475</v>
      </c>
      <c r="J771" s="223" t="b">
        <f t="shared" si="1"/>
        <v>1</v>
      </c>
      <c r="K771" s="145" t="s">
        <v>518</v>
      </c>
      <c r="L771" s="156"/>
      <c r="M771" s="134" t="s">
        <v>463</v>
      </c>
      <c r="N771" s="224">
        <v>0.0</v>
      </c>
      <c r="O771" s="117" t="b">
        <f t="shared" si="2"/>
        <v>1</v>
      </c>
      <c r="P771" s="117" t="b">
        <v>1</v>
      </c>
      <c r="Q771" s="117" t="s">
        <v>368</v>
      </c>
    </row>
    <row r="772" hidden="1">
      <c r="A772" s="108"/>
      <c r="B772" s="220"/>
      <c r="C772" s="220" t="s">
        <v>69</v>
      </c>
      <c r="D772" s="220" t="str">
        <f>vlookup(M772,'Página10'!A:B,2,false)</f>
        <v>INOV00041</v>
      </c>
      <c r="E772" s="134" t="s">
        <v>144</v>
      </c>
      <c r="F772" s="221">
        <v>45070.0</v>
      </c>
      <c r="G772" s="222">
        <v>0.16666666666666666</v>
      </c>
      <c r="H772" s="134" t="s">
        <v>475</v>
      </c>
      <c r="I772" s="223" t="s">
        <v>475</v>
      </c>
      <c r="J772" s="223" t="b">
        <f t="shared" si="1"/>
        <v>1</v>
      </c>
      <c r="K772" s="145" t="s">
        <v>518</v>
      </c>
      <c r="L772" s="156"/>
      <c r="M772" s="134" t="s">
        <v>463</v>
      </c>
      <c r="N772" s="224">
        <v>0.0</v>
      </c>
      <c r="O772" s="117" t="b">
        <f t="shared" si="2"/>
        <v>1</v>
      </c>
      <c r="P772" s="117" t="b">
        <v>1</v>
      </c>
      <c r="Q772" s="117" t="s">
        <v>368</v>
      </c>
    </row>
    <row r="773" hidden="1">
      <c r="A773" s="108"/>
      <c r="B773" s="220"/>
      <c r="C773" s="220" t="s">
        <v>69</v>
      </c>
      <c r="D773" s="220" t="str">
        <f>vlookup(M773,'Página10'!A:B,2,false)</f>
        <v>INOV00041</v>
      </c>
      <c r="E773" s="134" t="s">
        <v>144</v>
      </c>
      <c r="F773" s="221">
        <v>45076.0</v>
      </c>
      <c r="G773" s="222">
        <v>0.08333333333333333</v>
      </c>
      <c r="H773" s="134" t="s">
        <v>475</v>
      </c>
      <c r="I773" s="223" t="s">
        <v>475</v>
      </c>
      <c r="J773" s="223" t="b">
        <f t="shared" si="1"/>
        <v>1</v>
      </c>
      <c r="K773" s="145" t="s">
        <v>969</v>
      </c>
      <c r="L773" s="156"/>
      <c r="M773" s="134" t="s">
        <v>463</v>
      </c>
      <c r="N773" s="224">
        <v>0.0</v>
      </c>
      <c r="O773" s="117" t="b">
        <f t="shared" si="2"/>
        <v>1</v>
      </c>
      <c r="P773" s="117" t="b">
        <v>1</v>
      </c>
      <c r="Q773" s="117" t="s">
        <v>368</v>
      </c>
    </row>
    <row r="774" hidden="1">
      <c r="A774" s="108"/>
      <c r="B774" s="220"/>
      <c r="C774" s="220" t="s">
        <v>69</v>
      </c>
      <c r="D774" s="220" t="str">
        <f>vlookup(M774,'Página10'!A:B,2,false)</f>
        <v>INOV00041</v>
      </c>
      <c r="E774" s="134" t="s">
        <v>144</v>
      </c>
      <c r="F774" s="221">
        <v>45077.0</v>
      </c>
      <c r="G774" s="222">
        <v>0.08333333333333333</v>
      </c>
      <c r="H774" s="134" t="s">
        <v>475</v>
      </c>
      <c r="I774" s="223" t="s">
        <v>475</v>
      </c>
      <c r="J774" s="223" t="b">
        <f t="shared" si="1"/>
        <v>1</v>
      </c>
      <c r="K774" s="145" t="s">
        <v>969</v>
      </c>
      <c r="L774" s="156"/>
      <c r="M774" s="134" t="s">
        <v>463</v>
      </c>
      <c r="N774" s="224">
        <v>0.0</v>
      </c>
      <c r="O774" s="117" t="b">
        <f t="shared" si="2"/>
        <v>1</v>
      </c>
      <c r="P774" s="117" t="b">
        <v>1</v>
      </c>
      <c r="Q774" s="117" t="s">
        <v>368</v>
      </c>
    </row>
    <row r="775" hidden="1">
      <c r="A775" s="108"/>
      <c r="B775" s="220"/>
      <c r="C775" s="220" t="s">
        <v>65</v>
      </c>
      <c r="D775" s="220" t="str">
        <f>vlookup(M775,'Página10'!A:B,2,false)</f>
        <v>INOV00037</v>
      </c>
      <c r="E775" s="134" t="s">
        <v>144</v>
      </c>
      <c r="F775" s="221">
        <v>45082.0</v>
      </c>
      <c r="G775" s="222">
        <v>0.16666666666666666</v>
      </c>
      <c r="H775" s="134" t="s">
        <v>475</v>
      </c>
      <c r="I775" s="223" t="s">
        <v>475</v>
      </c>
      <c r="J775" s="223" t="b">
        <f t="shared" si="1"/>
        <v>1</v>
      </c>
      <c r="K775" s="145" t="s">
        <v>963</v>
      </c>
      <c r="L775" s="156"/>
      <c r="M775" s="134" t="s">
        <v>459</v>
      </c>
      <c r="N775" s="150">
        <f>if(and(O775=TRUE,P775=TRUE), VLOOKUP($E775,PESSOAL!$B$35:$S$45,MONTH($F775)+6,false)*G775*24,0)</f>
        <v>195.343898</v>
      </c>
      <c r="O775" s="117" t="b">
        <f t="shared" si="2"/>
        <v>1</v>
      </c>
      <c r="P775" s="117" t="b">
        <v>1</v>
      </c>
      <c r="Q775" s="117" t="s">
        <v>368</v>
      </c>
    </row>
    <row r="776" hidden="1">
      <c r="A776" s="108"/>
      <c r="B776" s="220"/>
      <c r="C776" s="220" t="s">
        <v>57</v>
      </c>
      <c r="D776" s="220" t="str">
        <f>vlookup(M776,'Página10'!A:B,2,false)</f>
        <v>INOV00022</v>
      </c>
      <c r="E776" s="134" t="s">
        <v>144</v>
      </c>
      <c r="F776" s="221">
        <v>45083.0</v>
      </c>
      <c r="G776" s="222">
        <v>0.16666666666666666</v>
      </c>
      <c r="H776" s="134" t="s">
        <v>475</v>
      </c>
      <c r="I776" s="223" t="s">
        <v>475</v>
      </c>
      <c r="J776" s="223" t="b">
        <f t="shared" si="1"/>
        <v>1</v>
      </c>
      <c r="K776" s="145" t="s">
        <v>962</v>
      </c>
      <c r="L776" s="156"/>
      <c r="M776" s="134" t="s">
        <v>437</v>
      </c>
      <c r="N776" s="150">
        <f>if(and(O776=TRUE,P776=TRUE), VLOOKUP($E776,PESSOAL!$B$35:$S$45,MONTH($F776)+6,false)*G776*24,0)</f>
        <v>195.343898</v>
      </c>
      <c r="O776" s="117" t="b">
        <f t="shared" si="2"/>
        <v>1</v>
      </c>
      <c r="P776" s="117" t="b">
        <v>1</v>
      </c>
      <c r="Q776" s="117" t="s">
        <v>368</v>
      </c>
    </row>
    <row r="777" hidden="1">
      <c r="A777" s="108"/>
      <c r="B777" s="220"/>
      <c r="C777" s="220" t="s">
        <v>59</v>
      </c>
      <c r="D777" s="220" t="str">
        <f>vlookup(M777,'Página10'!A:B,2,false)</f>
        <v>INOV00024</v>
      </c>
      <c r="E777" s="134" t="s">
        <v>144</v>
      </c>
      <c r="F777" s="221">
        <v>45084.0</v>
      </c>
      <c r="G777" s="222">
        <v>0.08333333333333333</v>
      </c>
      <c r="H777" s="134" t="s">
        <v>475</v>
      </c>
      <c r="I777" s="223" t="s">
        <v>475</v>
      </c>
      <c r="J777" s="223" t="b">
        <f t="shared" si="1"/>
        <v>1</v>
      </c>
      <c r="K777" s="145" t="s">
        <v>968</v>
      </c>
      <c r="L777" s="156"/>
      <c r="M777" s="134" t="s">
        <v>439</v>
      </c>
      <c r="N777" s="150">
        <f>if(and(O777=TRUE,P777=TRUE), VLOOKUP($E777,PESSOAL!$B$35:$S$45,MONTH($F777)+6,false)*G777*24,0)</f>
        <v>97.67194901</v>
      </c>
      <c r="O777" s="117" t="b">
        <f t="shared" si="2"/>
        <v>1</v>
      </c>
      <c r="P777" s="117" t="b">
        <v>1</v>
      </c>
      <c r="Q777" s="117" t="s">
        <v>368</v>
      </c>
    </row>
    <row r="778" hidden="1">
      <c r="A778" s="108"/>
      <c r="B778" s="220"/>
      <c r="C778" s="220" t="s">
        <v>57</v>
      </c>
      <c r="D778" s="220" t="str">
        <f>vlookup(M778,'Página10'!A:B,2,false)</f>
        <v>INOV00022</v>
      </c>
      <c r="E778" s="134" t="s">
        <v>144</v>
      </c>
      <c r="F778" s="221">
        <v>45086.0</v>
      </c>
      <c r="G778" s="222">
        <v>0.20833333333333334</v>
      </c>
      <c r="H778" s="134" t="s">
        <v>475</v>
      </c>
      <c r="I778" s="223" t="s">
        <v>475</v>
      </c>
      <c r="J778" s="223" t="b">
        <f t="shared" si="1"/>
        <v>1</v>
      </c>
      <c r="K778" s="145" t="s">
        <v>962</v>
      </c>
      <c r="L778" s="156"/>
      <c r="M778" s="134" t="s">
        <v>437</v>
      </c>
      <c r="N778" s="150">
        <f>if(and(O778=TRUE,P778=TRUE), VLOOKUP($E778,PESSOAL!$B$35:$S$45,MONTH($F778)+6,false)*G778*24,0)</f>
        <v>244.1798725</v>
      </c>
      <c r="O778" s="117" t="b">
        <f t="shared" si="2"/>
        <v>1</v>
      </c>
      <c r="P778" s="117" t="b">
        <v>1</v>
      </c>
      <c r="Q778" s="117" t="s">
        <v>368</v>
      </c>
    </row>
    <row r="779" hidden="1">
      <c r="A779" s="108"/>
      <c r="B779" s="220"/>
      <c r="C779" s="220" t="s">
        <v>57</v>
      </c>
      <c r="D779" s="220" t="str">
        <f>vlookup(M779,'Página10'!A:B,2,false)</f>
        <v>INOV00022</v>
      </c>
      <c r="E779" s="134" t="s">
        <v>144</v>
      </c>
      <c r="F779" s="221">
        <v>45089.0</v>
      </c>
      <c r="G779" s="222">
        <v>0.16666666666666666</v>
      </c>
      <c r="H779" s="134" t="s">
        <v>475</v>
      </c>
      <c r="I779" s="223" t="s">
        <v>475</v>
      </c>
      <c r="J779" s="223" t="b">
        <f t="shared" si="1"/>
        <v>1</v>
      </c>
      <c r="K779" s="145" t="s">
        <v>962</v>
      </c>
      <c r="L779" s="156"/>
      <c r="M779" s="134" t="s">
        <v>437</v>
      </c>
      <c r="N779" s="150">
        <f>if(and(O779=TRUE,P779=TRUE), VLOOKUP($E779,PESSOAL!$B$35:$S$45,MONTH($F779)+6,false)*G779*24,0)</f>
        <v>195.343898</v>
      </c>
      <c r="O779" s="117" t="b">
        <f t="shared" si="2"/>
        <v>1</v>
      </c>
      <c r="P779" s="117" t="b">
        <v>1</v>
      </c>
      <c r="Q779" s="117" t="s">
        <v>368</v>
      </c>
    </row>
    <row r="780" hidden="1">
      <c r="A780" s="108"/>
      <c r="B780" s="220"/>
      <c r="C780" s="220" t="s">
        <v>59</v>
      </c>
      <c r="D780" s="220" t="str">
        <f>vlookup(M780,'Página10'!A:B,2,false)</f>
        <v>INOV00024</v>
      </c>
      <c r="E780" s="134" t="s">
        <v>144</v>
      </c>
      <c r="F780" s="221">
        <v>45091.0</v>
      </c>
      <c r="G780" s="222">
        <v>0.3958333333333333</v>
      </c>
      <c r="H780" s="134" t="s">
        <v>475</v>
      </c>
      <c r="I780" s="223" t="s">
        <v>475</v>
      </c>
      <c r="J780" s="223" t="b">
        <f t="shared" si="1"/>
        <v>1</v>
      </c>
      <c r="K780" s="145" t="s">
        <v>970</v>
      </c>
      <c r="L780" s="156"/>
      <c r="M780" s="134" t="s">
        <v>439</v>
      </c>
      <c r="N780" s="150">
        <f>if(and(O780=TRUE,P780=TRUE), VLOOKUP($E780,PESSOAL!$B$35:$S$45,MONTH($F780)+6,false)*G780*24,0)</f>
        <v>463.9417578</v>
      </c>
      <c r="O780" s="117" t="b">
        <f t="shared" si="2"/>
        <v>1</v>
      </c>
      <c r="P780" s="117" t="b">
        <v>1</v>
      </c>
      <c r="Q780" s="117" t="s">
        <v>368</v>
      </c>
    </row>
    <row r="781" hidden="1">
      <c r="A781" s="108"/>
      <c r="B781" s="220"/>
      <c r="C781" s="220" t="s">
        <v>448</v>
      </c>
      <c r="D781" s="220" t="str">
        <f>vlookup(M781,'Página10'!A:B,2,false)</f>
        <v>INOV00029</v>
      </c>
      <c r="E781" s="134" t="s">
        <v>144</v>
      </c>
      <c r="F781" s="221">
        <v>45092.0</v>
      </c>
      <c r="G781" s="222">
        <v>0.3958333333333333</v>
      </c>
      <c r="H781" s="134" t="s">
        <v>475</v>
      </c>
      <c r="I781" s="223" t="s">
        <v>475</v>
      </c>
      <c r="J781" s="223" t="b">
        <f t="shared" si="1"/>
        <v>1</v>
      </c>
      <c r="K781" s="145" t="s">
        <v>970</v>
      </c>
      <c r="L781" s="156"/>
      <c r="M781" s="134" t="s">
        <v>447</v>
      </c>
      <c r="N781" s="150">
        <f>if(and(O781=TRUE,P781=TRUE), VLOOKUP($E781,PESSOAL!$B$35:$S$45,MONTH($F781)+6,false)*G781*24,0)</f>
        <v>0</v>
      </c>
      <c r="O781" s="117" t="b">
        <f t="shared" si="2"/>
        <v>1</v>
      </c>
      <c r="P781" s="117" t="b">
        <v>0</v>
      </c>
      <c r="Q781" s="117" t="s">
        <v>368</v>
      </c>
    </row>
    <row r="782" hidden="1">
      <c r="A782" s="108"/>
      <c r="B782" s="220"/>
      <c r="C782" s="220" t="s">
        <v>290</v>
      </c>
      <c r="D782" s="220" t="str">
        <f>vlookup(M782,'Página10'!A:B,2,false)</f>
        <v>INOV00001</v>
      </c>
      <c r="E782" s="134" t="s">
        <v>144</v>
      </c>
      <c r="F782" s="221">
        <v>45093.0</v>
      </c>
      <c r="G782" s="222">
        <v>0.3958333333333333</v>
      </c>
      <c r="H782" s="134" t="s">
        <v>475</v>
      </c>
      <c r="I782" s="223" t="s">
        <v>475</v>
      </c>
      <c r="J782" s="223" t="b">
        <f t="shared" si="1"/>
        <v>1</v>
      </c>
      <c r="K782" s="145" t="s">
        <v>970</v>
      </c>
      <c r="L782" s="156"/>
      <c r="M782" s="134" t="s">
        <v>416</v>
      </c>
      <c r="N782" s="150">
        <f>if(and(O782=TRUE,P782=TRUE), VLOOKUP($E782,PESSOAL!$B$35:$S$45,MONTH($F782)+6,false)*G782*24,0)</f>
        <v>463.9417578</v>
      </c>
      <c r="O782" s="117" t="b">
        <f t="shared" si="2"/>
        <v>1</v>
      </c>
      <c r="P782" s="117" t="b">
        <v>1</v>
      </c>
      <c r="Q782" s="117" t="s">
        <v>368</v>
      </c>
    </row>
    <row r="783" hidden="1">
      <c r="A783" s="108"/>
      <c r="B783" s="220"/>
      <c r="C783" s="220" t="s">
        <v>290</v>
      </c>
      <c r="D783" s="220" t="str">
        <f>vlookup(M783,'Página10'!A:B,2,false)</f>
        <v>INOV00001</v>
      </c>
      <c r="E783" s="134" t="s">
        <v>144</v>
      </c>
      <c r="F783" s="221">
        <v>45096.0</v>
      </c>
      <c r="G783" s="222">
        <v>0.16666666666666666</v>
      </c>
      <c r="H783" s="134" t="s">
        <v>475</v>
      </c>
      <c r="I783" s="223" t="s">
        <v>475</v>
      </c>
      <c r="J783" s="223" t="b">
        <f t="shared" si="1"/>
        <v>1</v>
      </c>
      <c r="K783" s="145" t="s">
        <v>970</v>
      </c>
      <c r="L783" s="156"/>
      <c r="M783" s="134" t="s">
        <v>416</v>
      </c>
      <c r="N783" s="150">
        <f>if(and(O783=TRUE,P783=TRUE), VLOOKUP($E783,PESSOAL!$B$35:$S$45,MONTH($F783)+6,false)*G783*24,0)</f>
        <v>195.343898</v>
      </c>
      <c r="O783" s="117" t="b">
        <f t="shared" si="2"/>
        <v>1</v>
      </c>
      <c r="P783" s="117" t="b">
        <v>1</v>
      </c>
      <c r="Q783" s="117" t="s">
        <v>368</v>
      </c>
    </row>
    <row r="784" hidden="1">
      <c r="A784" s="108"/>
      <c r="B784" s="220"/>
      <c r="C784" s="220" t="s">
        <v>290</v>
      </c>
      <c r="D784" s="220" t="str">
        <f>vlookup(M784,'Página10'!A:B,2,false)</f>
        <v>INOV00001</v>
      </c>
      <c r="E784" s="134" t="s">
        <v>144</v>
      </c>
      <c r="F784" s="221">
        <v>45097.0</v>
      </c>
      <c r="G784" s="222">
        <v>0.08333333333333333</v>
      </c>
      <c r="H784" s="134" t="s">
        <v>475</v>
      </c>
      <c r="I784" s="223" t="s">
        <v>475</v>
      </c>
      <c r="J784" s="223" t="b">
        <f t="shared" si="1"/>
        <v>1</v>
      </c>
      <c r="K784" s="145" t="s">
        <v>970</v>
      </c>
      <c r="L784" s="156"/>
      <c r="M784" s="134" t="s">
        <v>416</v>
      </c>
      <c r="N784" s="150">
        <f>if(and(O784=TRUE,P784=TRUE), VLOOKUP($E784,PESSOAL!$B$35:$S$45,MONTH($F784)+6,false)*G784*24,0)</f>
        <v>97.67194901</v>
      </c>
      <c r="O784" s="117" t="b">
        <f t="shared" si="2"/>
        <v>1</v>
      </c>
      <c r="P784" s="117" t="b">
        <v>1</v>
      </c>
      <c r="Q784" s="117" t="s">
        <v>368</v>
      </c>
    </row>
    <row r="785" hidden="1">
      <c r="A785" s="108"/>
      <c r="B785" s="220"/>
      <c r="C785" s="220" t="s">
        <v>290</v>
      </c>
      <c r="D785" s="220" t="str">
        <f>vlookup(M785,'Página10'!A:B,2,false)</f>
        <v>INOV00001</v>
      </c>
      <c r="E785" s="134" t="s">
        <v>144</v>
      </c>
      <c r="F785" s="221">
        <v>45098.0</v>
      </c>
      <c r="G785" s="222">
        <v>0.16666666666666666</v>
      </c>
      <c r="H785" s="134" t="s">
        <v>475</v>
      </c>
      <c r="I785" s="223" t="s">
        <v>475</v>
      </c>
      <c r="J785" s="223" t="b">
        <f t="shared" si="1"/>
        <v>1</v>
      </c>
      <c r="K785" s="145" t="s">
        <v>970</v>
      </c>
      <c r="L785" s="156"/>
      <c r="M785" s="134" t="s">
        <v>416</v>
      </c>
      <c r="N785" s="150">
        <f>if(and(O785=TRUE,P785=TRUE), VLOOKUP($E785,PESSOAL!$B$35:$S$45,MONTH($F785)+6,false)*G785*24,0)</f>
        <v>195.343898</v>
      </c>
      <c r="O785" s="117" t="b">
        <f t="shared" si="2"/>
        <v>1</v>
      </c>
      <c r="P785" s="117" t="b">
        <v>1</v>
      </c>
      <c r="Q785" s="117" t="s">
        <v>368</v>
      </c>
    </row>
    <row r="786" hidden="1">
      <c r="A786" s="108"/>
      <c r="B786" s="220"/>
      <c r="C786" s="220" t="s">
        <v>435</v>
      </c>
      <c r="D786" s="220" t="str">
        <f>vlookup(M786,'Página10'!A:B,2,false)</f>
        <v>INOV00020</v>
      </c>
      <c r="E786" s="134" t="s">
        <v>144</v>
      </c>
      <c r="F786" s="221">
        <v>45099.0</v>
      </c>
      <c r="G786" s="222">
        <v>0.125</v>
      </c>
      <c r="H786" s="134" t="s">
        <v>475</v>
      </c>
      <c r="I786" s="223" t="s">
        <v>475</v>
      </c>
      <c r="J786" s="223" t="b">
        <f t="shared" si="1"/>
        <v>1</v>
      </c>
      <c r="K786" s="145" t="s">
        <v>518</v>
      </c>
      <c r="L786" s="156"/>
      <c r="M786" s="134" t="s">
        <v>434</v>
      </c>
      <c r="N786" s="150">
        <f>if(and(O786=TRUE,P786=TRUE), VLOOKUP($E786,PESSOAL!$B$35:$S$45,MONTH($F786)+6,false)*G786*24,0)</f>
        <v>0</v>
      </c>
      <c r="O786" s="117" t="b">
        <f t="shared" si="2"/>
        <v>1</v>
      </c>
      <c r="P786" s="117" t="b">
        <v>0</v>
      </c>
      <c r="Q786" s="117" t="s">
        <v>368</v>
      </c>
    </row>
    <row r="787" hidden="1">
      <c r="A787" s="108"/>
      <c r="B787" s="220"/>
      <c r="C787" s="220" t="s">
        <v>448</v>
      </c>
      <c r="D787" s="220" t="str">
        <f>vlookup(M787,'Página10'!A:B,2,false)</f>
        <v>INOV00029</v>
      </c>
      <c r="E787" s="134" t="s">
        <v>144</v>
      </c>
      <c r="F787" s="221">
        <v>45099.0</v>
      </c>
      <c r="G787" s="222">
        <v>0.08333333333333333</v>
      </c>
      <c r="H787" s="134" t="s">
        <v>475</v>
      </c>
      <c r="I787" s="223" t="s">
        <v>475</v>
      </c>
      <c r="J787" s="223" t="b">
        <f t="shared" si="1"/>
        <v>1</v>
      </c>
      <c r="K787" s="145" t="s">
        <v>970</v>
      </c>
      <c r="L787" s="156"/>
      <c r="M787" s="134" t="s">
        <v>447</v>
      </c>
      <c r="N787" s="150">
        <f>if(and(O787=TRUE,P787=TRUE), VLOOKUP($E787,PESSOAL!$B$35:$S$45,MONTH($F787)+6,false)*G787*24,0)</f>
        <v>0</v>
      </c>
      <c r="O787" s="117" t="b">
        <f t="shared" si="2"/>
        <v>1</v>
      </c>
      <c r="P787" s="117" t="b">
        <v>0</v>
      </c>
      <c r="Q787" s="117" t="s">
        <v>368</v>
      </c>
    </row>
    <row r="788" hidden="1">
      <c r="A788" s="108"/>
      <c r="B788" s="220"/>
      <c r="C788" s="220" t="s">
        <v>59</v>
      </c>
      <c r="D788" s="220" t="str">
        <f>vlookup(M788,'Página10'!A:B,2,false)</f>
        <v>INOV00024</v>
      </c>
      <c r="E788" s="134" t="s">
        <v>144</v>
      </c>
      <c r="F788" s="221">
        <v>45099.0</v>
      </c>
      <c r="G788" s="222">
        <v>0.08333333333333333</v>
      </c>
      <c r="H788" s="134" t="s">
        <v>475</v>
      </c>
      <c r="I788" s="223" t="s">
        <v>475</v>
      </c>
      <c r="J788" s="223" t="b">
        <f t="shared" si="1"/>
        <v>1</v>
      </c>
      <c r="K788" s="145" t="s">
        <v>968</v>
      </c>
      <c r="L788" s="156"/>
      <c r="M788" s="134" t="s">
        <v>439</v>
      </c>
      <c r="N788" s="150">
        <f>if(and(O788=TRUE,P788=TRUE), VLOOKUP($E788,PESSOAL!$B$35:$S$45,MONTH($F788)+6,false)*G788*24,0)</f>
        <v>97.67194901</v>
      </c>
      <c r="O788" s="117" t="b">
        <f t="shared" si="2"/>
        <v>1</v>
      </c>
      <c r="P788" s="117" t="b">
        <v>1</v>
      </c>
      <c r="Q788" s="117" t="s">
        <v>368</v>
      </c>
    </row>
    <row r="789" hidden="1">
      <c r="A789" s="108"/>
      <c r="B789" s="220"/>
      <c r="C789" s="220" t="s">
        <v>290</v>
      </c>
      <c r="D789" s="220" t="str">
        <f>vlookup(M789,'Página10'!A:B,2,false)</f>
        <v>INOV00001</v>
      </c>
      <c r="E789" s="134" t="s">
        <v>144</v>
      </c>
      <c r="F789" s="221">
        <v>45100.0</v>
      </c>
      <c r="G789" s="222">
        <v>0.08333333333333333</v>
      </c>
      <c r="H789" s="134" t="s">
        <v>475</v>
      </c>
      <c r="I789" s="223" t="s">
        <v>475</v>
      </c>
      <c r="J789" s="223" t="b">
        <f t="shared" si="1"/>
        <v>1</v>
      </c>
      <c r="K789" s="145" t="s">
        <v>970</v>
      </c>
      <c r="L789" s="156"/>
      <c r="M789" s="134" t="s">
        <v>416</v>
      </c>
      <c r="N789" s="150">
        <f>if(and(O789=TRUE,P789=TRUE), VLOOKUP($E789,PESSOAL!$B$35:$S$45,MONTH($F789)+6,false)*G789*24,0)</f>
        <v>97.67194901</v>
      </c>
      <c r="O789" s="117" t="b">
        <f t="shared" si="2"/>
        <v>1</v>
      </c>
      <c r="P789" s="117" t="b">
        <v>1</v>
      </c>
      <c r="Q789" s="117" t="s">
        <v>368</v>
      </c>
    </row>
    <row r="790" hidden="1">
      <c r="A790" s="108"/>
      <c r="B790" s="220"/>
      <c r="C790" s="220" t="s">
        <v>59</v>
      </c>
      <c r="D790" s="220" t="str">
        <f>vlookup(M790,'Página10'!A:B,2,false)</f>
        <v>INOV00024</v>
      </c>
      <c r="E790" s="134" t="s">
        <v>144</v>
      </c>
      <c r="F790" s="221">
        <v>45100.0</v>
      </c>
      <c r="G790" s="222">
        <v>0.125</v>
      </c>
      <c r="H790" s="134" t="s">
        <v>475</v>
      </c>
      <c r="I790" s="223" t="s">
        <v>475</v>
      </c>
      <c r="J790" s="223" t="b">
        <f t="shared" si="1"/>
        <v>1</v>
      </c>
      <c r="K790" s="145" t="s">
        <v>968</v>
      </c>
      <c r="L790" s="156"/>
      <c r="M790" s="134" t="s">
        <v>439</v>
      </c>
      <c r="N790" s="150">
        <f>if(and(O790=TRUE,P790=TRUE), VLOOKUP($E790,PESSOAL!$B$35:$S$45,MONTH($F790)+6,false)*G790*24,0)</f>
        <v>146.5079235</v>
      </c>
      <c r="O790" s="117" t="b">
        <f t="shared" si="2"/>
        <v>1</v>
      </c>
      <c r="P790" s="117" t="b">
        <v>1</v>
      </c>
      <c r="Q790" s="117" t="s">
        <v>368</v>
      </c>
    </row>
    <row r="791" hidden="1">
      <c r="A791" s="108"/>
      <c r="B791" s="220"/>
      <c r="C791" s="220" t="s">
        <v>59</v>
      </c>
      <c r="D791" s="220" t="str">
        <f>vlookup(M791,'Página10'!A:B,2,false)</f>
        <v>INOV00024</v>
      </c>
      <c r="E791" s="134" t="s">
        <v>144</v>
      </c>
      <c r="F791" s="221">
        <v>45103.0</v>
      </c>
      <c r="G791" s="222">
        <v>0.16666666666666666</v>
      </c>
      <c r="H791" s="134" t="s">
        <v>475</v>
      </c>
      <c r="I791" s="223" t="s">
        <v>475</v>
      </c>
      <c r="J791" s="223" t="b">
        <f t="shared" si="1"/>
        <v>1</v>
      </c>
      <c r="K791" s="145" t="s">
        <v>968</v>
      </c>
      <c r="L791" s="156"/>
      <c r="M791" s="134" t="s">
        <v>439</v>
      </c>
      <c r="N791" s="150">
        <f>if(and(O791=TRUE,P791=TRUE), VLOOKUP($E791,PESSOAL!$B$35:$S$45,MONTH($F791)+6,false)*G791*24,0)</f>
        <v>195.343898</v>
      </c>
      <c r="O791" s="117" t="b">
        <f t="shared" si="2"/>
        <v>1</v>
      </c>
      <c r="P791" s="117" t="b">
        <v>1</v>
      </c>
      <c r="Q791" s="117" t="s">
        <v>368</v>
      </c>
    </row>
    <row r="792" hidden="1">
      <c r="A792" s="108"/>
      <c r="B792" s="220"/>
      <c r="C792" s="220" t="s">
        <v>59</v>
      </c>
      <c r="D792" s="220" t="str">
        <f>vlookup(M792,'Página10'!A:B,2,false)</f>
        <v>INOV00024</v>
      </c>
      <c r="E792" s="134" t="s">
        <v>144</v>
      </c>
      <c r="F792" s="221">
        <v>45104.0</v>
      </c>
      <c r="G792" s="222">
        <v>0.16666666666666666</v>
      </c>
      <c r="H792" s="134" t="s">
        <v>475</v>
      </c>
      <c r="I792" s="223" t="s">
        <v>475</v>
      </c>
      <c r="J792" s="223" t="b">
        <f t="shared" si="1"/>
        <v>1</v>
      </c>
      <c r="K792" s="145" t="s">
        <v>968</v>
      </c>
      <c r="L792" s="156"/>
      <c r="M792" s="134" t="s">
        <v>439</v>
      </c>
      <c r="N792" s="150">
        <f>if(and(O792=TRUE,P792=TRUE), VLOOKUP($E792,PESSOAL!$B$35:$S$45,MONTH($F792)+6,false)*G792*24,0)</f>
        <v>195.343898</v>
      </c>
      <c r="O792" s="117" t="b">
        <f t="shared" si="2"/>
        <v>1</v>
      </c>
      <c r="P792" s="117" t="b">
        <v>1</v>
      </c>
      <c r="Q792" s="117" t="s">
        <v>368</v>
      </c>
    </row>
    <row r="793" hidden="1">
      <c r="A793" s="108"/>
      <c r="B793" s="220"/>
      <c r="C793" s="220" t="s">
        <v>59</v>
      </c>
      <c r="D793" s="220" t="str">
        <f>vlookup(M793,'Página10'!A:B,2,false)</f>
        <v>INOV00024</v>
      </c>
      <c r="E793" s="134" t="s">
        <v>144</v>
      </c>
      <c r="F793" s="221">
        <v>45106.0</v>
      </c>
      <c r="G793" s="222">
        <v>0.125</v>
      </c>
      <c r="H793" s="134" t="s">
        <v>475</v>
      </c>
      <c r="I793" s="223" t="s">
        <v>475</v>
      </c>
      <c r="J793" s="223" t="b">
        <f t="shared" si="1"/>
        <v>1</v>
      </c>
      <c r="K793" s="145" t="s">
        <v>970</v>
      </c>
      <c r="L793" s="156"/>
      <c r="M793" s="134" t="s">
        <v>439</v>
      </c>
      <c r="N793" s="150">
        <f>if(and(O793=TRUE,P793=TRUE), VLOOKUP($E793,PESSOAL!$B$35:$S$45,MONTH($F793)+6,false)*G793*24,0)</f>
        <v>146.5079235</v>
      </c>
      <c r="O793" s="117" t="b">
        <f t="shared" si="2"/>
        <v>1</v>
      </c>
      <c r="P793" s="117" t="b">
        <v>1</v>
      </c>
      <c r="Q793" s="117" t="s">
        <v>368</v>
      </c>
    </row>
    <row r="794" hidden="1">
      <c r="A794" s="108"/>
      <c r="B794" s="220"/>
      <c r="C794" s="220" t="s">
        <v>290</v>
      </c>
      <c r="D794" s="220" t="str">
        <f>vlookup(M794,'Página10'!A:B,2,false)</f>
        <v>INOV00001</v>
      </c>
      <c r="E794" s="134" t="s">
        <v>144</v>
      </c>
      <c r="F794" s="221">
        <v>45106.0</v>
      </c>
      <c r="G794" s="222">
        <v>0.125</v>
      </c>
      <c r="H794" s="134" t="s">
        <v>475</v>
      </c>
      <c r="I794" s="223" t="s">
        <v>475</v>
      </c>
      <c r="J794" s="223" t="b">
        <f t="shared" si="1"/>
        <v>1</v>
      </c>
      <c r="K794" s="145" t="s">
        <v>970</v>
      </c>
      <c r="L794" s="156"/>
      <c r="M794" s="134" t="s">
        <v>416</v>
      </c>
      <c r="N794" s="150">
        <f>if(and(O794=TRUE,P794=TRUE), VLOOKUP($E794,PESSOAL!$B$35:$S$45,MONTH($F794)+6,false)*G794*24,0)</f>
        <v>146.5079235</v>
      </c>
      <c r="O794" s="117" t="b">
        <f t="shared" si="2"/>
        <v>1</v>
      </c>
      <c r="P794" s="117" t="b">
        <v>1</v>
      </c>
      <c r="Q794" s="117" t="s">
        <v>368</v>
      </c>
    </row>
    <row r="795" hidden="1">
      <c r="A795" s="108"/>
      <c r="B795" s="220"/>
      <c r="C795" s="220" t="s">
        <v>50</v>
      </c>
      <c r="D795" s="220" t="str">
        <f>vlookup(M795,'Página10'!A:B,2,false)</f>
        <v>INOV00006</v>
      </c>
      <c r="E795" s="134" t="s">
        <v>137</v>
      </c>
      <c r="F795" s="221">
        <v>45019.0</v>
      </c>
      <c r="G795" s="222">
        <v>0.041666666666666664</v>
      </c>
      <c r="H795" s="134" t="s">
        <v>411</v>
      </c>
      <c r="I795" s="223" t="s">
        <v>411</v>
      </c>
      <c r="J795" s="223" t="b">
        <f t="shared" si="1"/>
        <v>1</v>
      </c>
      <c r="K795" s="145" t="s">
        <v>971</v>
      </c>
      <c r="L795" s="156"/>
      <c r="M795" s="134" t="s">
        <v>422</v>
      </c>
      <c r="N795" s="150">
        <f>if(and(O795=TRUE,P795=TRUE), VLOOKUP($E795,PESSOAL!$B$35:$S$45,MONTH($F795)+6,false)*G795*24,0)</f>
        <v>48.53994034</v>
      </c>
      <c r="O795" s="117" t="b">
        <f t="shared" si="2"/>
        <v>1</v>
      </c>
      <c r="P795" s="117" t="b">
        <v>1</v>
      </c>
      <c r="Q795" s="117" t="s">
        <v>368</v>
      </c>
    </row>
    <row r="796" hidden="1">
      <c r="A796" s="108"/>
      <c r="B796" s="220"/>
      <c r="C796" s="220" t="s">
        <v>51</v>
      </c>
      <c r="D796" s="220" t="str">
        <f>vlookup(M796,'Página10'!A:B,2,false)</f>
        <v>INOV00010</v>
      </c>
      <c r="E796" s="134" t="s">
        <v>137</v>
      </c>
      <c r="F796" s="221">
        <v>45020.0</v>
      </c>
      <c r="G796" s="222">
        <v>0.08333333333333333</v>
      </c>
      <c r="H796" s="134" t="s">
        <v>411</v>
      </c>
      <c r="I796" s="223" t="s">
        <v>411</v>
      </c>
      <c r="J796" s="223" t="b">
        <f t="shared" si="1"/>
        <v>1</v>
      </c>
      <c r="K796" s="145" t="s">
        <v>972</v>
      </c>
      <c r="L796" s="156"/>
      <c r="M796" s="134" t="s">
        <v>423</v>
      </c>
      <c r="N796" s="150">
        <f>if(and(O796=TRUE,P796=TRUE), VLOOKUP($E796,PESSOAL!$B$35:$S$45,MONTH($F796)+6,false)*G796*24,0)</f>
        <v>97.07988067</v>
      </c>
      <c r="O796" s="117" t="b">
        <f t="shared" si="2"/>
        <v>1</v>
      </c>
      <c r="P796" s="117" t="b">
        <v>1</v>
      </c>
      <c r="Q796" s="117" t="s">
        <v>368</v>
      </c>
    </row>
    <row r="797" hidden="1">
      <c r="A797" s="108"/>
      <c r="B797" s="220"/>
      <c r="C797" s="220" t="s">
        <v>55</v>
      </c>
      <c r="D797" s="220" t="str">
        <f>vlookup(M797,'Página10'!A:B,2,false)</f>
        <v>INOV00017</v>
      </c>
      <c r="E797" s="134" t="s">
        <v>137</v>
      </c>
      <c r="F797" s="221">
        <v>45021.0</v>
      </c>
      <c r="G797" s="222">
        <v>0.16666666666666666</v>
      </c>
      <c r="H797" s="134" t="s">
        <v>411</v>
      </c>
      <c r="I797" s="223" t="s">
        <v>411</v>
      </c>
      <c r="J797" s="223" t="b">
        <f t="shared" si="1"/>
        <v>1</v>
      </c>
      <c r="K797" s="145" t="s">
        <v>973</v>
      </c>
      <c r="L797" s="156"/>
      <c r="M797" s="134" t="s">
        <v>429</v>
      </c>
      <c r="N797" s="150">
        <f>if(and(O797=TRUE,P797=TRUE), VLOOKUP($E797,PESSOAL!$B$35:$S$45,MONTH($F797)+6,false)*G797*24,0)</f>
        <v>194.1597613</v>
      </c>
      <c r="O797" s="117" t="b">
        <f t="shared" si="2"/>
        <v>1</v>
      </c>
      <c r="P797" s="117" t="b">
        <v>1</v>
      </c>
      <c r="Q797" s="117" t="s">
        <v>368</v>
      </c>
    </row>
    <row r="798" hidden="1">
      <c r="A798" s="108"/>
      <c r="B798" s="220"/>
      <c r="C798" s="220" t="s">
        <v>55</v>
      </c>
      <c r="D798" s="220" t="str">
        <f>vlookup(M798,'Página10'!A:B,2,false)</f>
        <v>INOV00017</v>
      </c>
      <c r="E798" s="134" t="s">
        <v>137</v>
      </c>
      <c r="F798" s="221">
        <v>45027.0</v>
      </c>
      <c r="G798" s="222">
        <v>0.0625</v>
      </c>
      <c r="H798" s="134" t="s">
        <v>411</v>
      </c>
      <c r="I798" s="223" t="s">
        <v>411</v>
      </c>
      <c r="J798" s="223" t="b">
        <f t="shared" si="1"/>
        <v>1</v>
      </c>
      <c r="K798" s="145" t="s">
        <v>974</v>
      </c>
      <c r="L798" s="156"/>
      <c r="M798" s="134" t="s">
        <v>429</v>
      </c>
      <c r="N798" s="150">
        <f>if(and(O798=TRUE,P798=TRUE), VLOOKUP($E798,PESSOAL!$B$35:$S$45,MONTH($F798)+6,false)*G798*24,0)</f>
        <v>72.8099105</v>
      </c>
      <c r="O798" s="117" t="b">
        <f t="shared" si="2"/>
        <v>1</v>
      </c>
      <c r="P798" s="117" t="b">
        <v>1</v>
      </c>
      <c r="Q798" s="117" t="s">
        <v>368</v>
      </c>
    </row>
    <row r="799" hidden="1">
      <c r="A799" s="108"/>
      <c r="B799" s="220"/>
      <c r="C799" s="220" t="s">
        <v>55</v>
      </c>
      <c r="D799" s="220" t="str">
        <f>vlookup(M799,'Página10'!A:B,2,false)</f>
        <v>INOV00017</v>
      </c>
      <c r="E799" s="134" t="s">
        <v>137</v>
      </c>
      <c r="F799" s="221">
        <v>45027.0</v>
      </c>
      <c r="G799" s="222">
        <v>0.041666666666666664</v>
      </c>
      <c r="H799" s="134" t="s">
        <v>411</v>
      </c>
      <c r="I799" s="223" t="s">
        <v>411</v>
      </c>
      <c r="J799" s="223" t="b">
        <f t="shared" si="1"/>
        <v>1</v>
      </c>
      <c r="K799" s="145" t="s">
        <v>975</v>
      </c>
      <c r="L799" s="156"/>
      <c r="M799" s="134" t="s">
        <v>429</v>
      </c>
      <c r="N799" s="150">
        <f>if(and(O799=TRUE,P799=TRUE), VLOOKUP($E799,PESSOAL!$B$35:$S$45,MONTH($F799)+6,false)*G799*24,0)</f>
        <v>48.53994034</v>
      </c>
      <c r="O799" s="117" t="b">
        <f t="shared" si="2"/>
        <v>1</v>
      </c>
      <c r="P799" s="117" t="b">
        <v>1</v>
      </c>
      <c r="Q799" s="117" t="s">
        <v>368</v>
      </c>
    </row>
    <row r="800" hidden="1">
      <c r="A800" s="108"/>
      <c r="B800" s="220"/>
      <c r="C800" s="220" t="s">
        <v>50</v>
      </c>
      <c r="D800" s="220" t="str">
        <f>vlookup(M800,'Página10'!A:B,2,false)</f>
        <v>INOV00006</v>
      </c>
      <c r="E800" s="134" t="s">
        <v>137</v>
      </c>
      <c r="F800" s="221">
        <v>45029.0</v>
      </c>
      <c r="G800" s="222">
        <v>0.0625</v>
      </c>
      <c r="H800" s="134" t="s">
        <v>479</v>
      </c>
      <c r="I800" s="223" t="s">
        <v>479</v>
      </c>
      <c r="J800" s="223" t="b">
        <f t="shared" si="1"/>
        <v>1</v>
      </c>
      <c r="K800" s="145" t="s">
        <v>976</v>
      </c>
      <c r="L800" s="156"/>
      <c r="M800" s="134" t="s">
        <v>422</v>
      </c>
      <c r="N800" s="150">
        <f>if(and(O800=TRUE,P800=TRUE), VLOOKUP($E800,PESSOAL!$B$35:$S$45,MONTH($F800)+6,false)*G800*24,0)</f>
        <v>0</v>
      </c>
      <c r="O800" s="117" t="b">
        <f t="shared" si="2"/>
        <v>0</v>
      </c>
      <c r="P800" s="117" t="b">
        <v>1</v>
      </c>
      <c r="Q800" s="117" t="s">
        <v>368</v>
      </c>
    </row>
    <row r="801" hidden="1">
      <c r="A801" s="108"/>
      <c r="B801" s="220"/>
      <c r="C801" s="220" t="s">
        <v>433</v>
      </c>
      <c r="D801" s="220" t="str">
        <f>vlookup(M801,'Página10'!A:B,2,false)</f>
        <v>INOV00019</v>
      </c>
      <c r="E801" s="134" t="s">
        <v>137</v>
      </c>
      <c r="F801" s="221">
        <v>45029.0</v>
      </c>
      <c r="G801" s="222">
        <v>0.041666666666666664</v>
      </c>
      <c r="H801" s="134" t="s">
        <v>479</v>
      </c>
      <c r="I801" s="223" t="s">
        <v>479</v>
      </c>
      <c r="J801" s="223" t="b">
        <f t="shared" si="1"/>
        <v>1</v>
      </c>
      <c r="K801" s="145" t="s">
        <v>976</v>
      </c>
      <c r="L801" s="156"/>
      <c r="M801" s="134" t="s">
        <v>432</v>
      </c>
      <c r="N801" s="150">
        <f>if(and(O801=TRUE,P801=TRUE), VLOOKUP($E801,PESSOAL!$B$35:$S$45,MONTH($F801)+6,false)*G801*24,0)</f>
        <v>0</v>
      </c>
      <c r="O801" s="117" t="b">
        <f t="shared" si="2"/>
        <v>0</v>
      </c>
      <c r="P801" s="117" t="b">
        <v>0</v>
      </c>
      <c r="Q801" s="117" t="s">
        <v>368</v>
      </c>
    </row>
    <row r="802" hidden="1">
      <c r="A802" s="108"/>
      <c r="B802" s="220"/>
      <c r="C802" s="220" t="s">
        <v>55</v>
      </c>
      <c r="D802" s="220" t="str">
        <f>vlookup(M802,'Página10'!A:B,2,false)</f>
        <v>INOV00017</v>
      </c>
      <c r="E802" s="134" t="s">
        <v>137</v>
      </c>
      <c r="F802" s="221">
        <v>45033.0</v>
      </c>
      <c r="G802" s="222">
        <v>0.041666666666666664</v>
      </c>
      <c r="H802" s="134" t="s">
        <v>411</v>
      </c>
      <c r="I802" s="223" t="s">
        <v>411</v>
      </c>
      <c r="J802" s="223" t="b">
        <f t="shared" si="1"/>
        <v>1</v>
      </c>
      <c r="K802" s="145" t="s">
        <v>977</v>
      </c>
      <c r="L802" s="156"/>
      <c r="M802" s="134" t="s">
        <v>429</v>
      </c>
      <c r="N802" s="150">
        <f>if(and(O802=TRUE,P802=TRUE), VLOOKUP($E802,PESSOAL!$B$35:$S$45,MONTH($F802)+6,false)*G802*24,0)</f>
        <v>48.53994034</v>
      </c>
      <c r="O802" s="117" t="b">
        <f t="shared" si="2"/>
        <v>1</v>
      </c>
      <c r="P802" s="117" t="b">
        <v>1</v>
      </c>
      <c r="Q802" s="117" t="s">
        <v>368</v>
      </c>
    </row>
    <row r="803" hidden="1">
      <c r="A803" s="108"/>
      <c r="B803" s="220"/>
      <c r="C803" s="220" t="s">
        <v>55</v>
      </c>
      <c r="D803" s="220" t="str">
        <f>vlookup(M803,'Página10'!A:B,2,false)</f>
        <v>INOV00017</v>
      </c>
      <c r="E803" s="134" t="s">
        <v>137</v>
      </c>
      <c r="F803" s="221">
        <v>45033.0</v>
      </c>
      <c r="G803" s="222">
        <v>0.0625</v>
      </c>
      <c r="H803" s="134" t="s">
        <v>411</v>
      </c>
      <c r="I803" s="223" t="s">
        <v>411</v>
      </c>
      <c r="J803" s="223" t="b">
        <f t="shared" si="1"/>
        <v>1</v>
      </c>
      <c r="K803" s="145" t="s">
        <v>978</v>
      </c>
      <c r="L803" s="156"/>
      <c r="M803" s="134" t="s">
        <v>429</v>
      </c>
      <c r="N803" s="150">
        <f>if(and(O803=TRUE,P803=TRUE), VLOOKUP($E803,PESSOAL!$B$35:$S$45,MONTH($F803)+6,false)*G803*24,0)</f>
        <v>72.8099105</v>
      </c>
      <c r="O803" s="117" t="b">
        <f t="shared" si="2"/>
        <v>1</v>
      </c>
      <c r="P803" s="117" t="b">
        <v>1</v>
      </c>
      <c r="Q803" s="117" t="s">
        <v>368</v>
      </c>
    </row>
    <row r="804" hidden="1">
      <c r="A804" s="108"/>
      <c r="B804" s="220"/>
      <c r="C804" s="220" t="s">
        <v>68</v>
      </c>
      <c r="D804" s="220" t="str">
        <f>vlookup(M804,'Página10'!A:B,2,false)</f>
        <v>INOV00040</v>
      </c>
      <c r="E804" s="134" t="s">
        <v>137</v>
      </c>
      <c r="F804" s="221">
        <v>45033.0</v>
      </c>
      <c r="G804" s="222">
        <v>0.041666666666666664</v>
      </c>
      <c r="H804" s="134" t="s">
        <v>411</v>
      </c>
      <c r="I804" s="223" t="s">
        <v>411</v>
      </c>
      <c r="J804" s="223" t="b">
        <f t="shared" si="1"/>
        <v>1</v>
      </c>
      <c r="K804" s="145" t="s">
        <v>979</v>
      </c>
      <c r="L804" s="156"/>
      <c r="M804" s="134" t="s">
        <v>462</v>
      </c>
      <c r="N804" s="150">
        <f>if(and(O804=TRUE,P804=TRUE), VLOOKUP($E804,PESSOAL!$B$35:$S$45,MONTH($F804)+6,false)*G804*24,0)</f>
        <v>0</v>
      </c>
      <c r="O804" s="117" t="b">
        <f t="shared" si="2"/>
        <v>1</v>
      </c>
      <c r="P804" s="117" t="b">
        <v>0</v>
      </c>
      <c r="Q804" s="117" t="s">
        <v>368</v>
      </c>
    </row>
    <row r="805" hidden="1">
      <c r="A805" s="108"/>
      <c r="B805" s="220"/>
      <c r="C805" s="220" t="s">
        <v>68</v>
      </c>
      <c r="D805" s="220" t="str">
        <f>vlookup(M805,'Página10'!A:B,2,false)</f>
        <v>INOV00040</v>
      </c>
      <c r="E805" s="134" t="s">
        <v>137</v>
      </c>
      <c r="F805" s="221">
        <v>45033.0</v>
      </c>
      <c r="G805" s="222">
        <v>0.041666666666666664</v>
      </c>
      <c r="H805" s="134" t="s">
        <v>411</v>
      </c>
      <c r="I805" s="223" t="s">
        <v>411</v>
      </c>
      <c r="J805" s="223" t="b">
        <f t="shared" si="1"/>
        <v>1</v>
      </c>
      <c r="K805" s="145" t="s">
        <v>980</v>
      </c>
      <c r="L805" s="156"/>
      <c r="M805" s="134" t="s">
        <v>462</v>
      </c>
      <c r="N805" s="150">
        <f>if(and(O805=TRUE,P805=TRUE), VLOOKUP($E805,PESSOAL!$B$35:$S$45,MONTH($F805)+6,false)*G805*24,0)</f>
        <v>0</v>
      </c>
      <c r="O805" s="117" t="b">
        <f t="shared" si="2"/>
        <v>1</v>
      </c>
      <c r="P805" s="117" t="b">
        <v>0</v>
      </c>
      <c r="Q805" s="117" t="s">
        <v>368</v>
      </c>
    </row>
    <row r="806" hidden="1">
      <c r="A806" s="108"/>
      <c r="B806" s="220"/>
      <c r="C806" s="220" t="s">
        <v>55</v>
      </c>
      <c r="D806" s="220" t="str">
        <f>vlookup(M806,'Página10'!A:B,2,false)</f>
        <v>INOV00017</v>
      </c>
      <c r="E806" s="134" t="s">
        <v>137</v>
      </c>
      <c r="F806" s="221">
        <v>45033.0</v>
      </c>
      <c r="G806" s="222">
        <v>0.041666666666666664</v>
      </c>
      <c r="H806" s="134" t="s">
        <v>411</v>
      </c>
      <c r="I806" s="223" t="s">
        <v>411</v>
      </c>
      <c r="J806" s="223" t="b">
        <f t="shared" si="1"/>
        <v>1</v>
      </c>
      <c r="K806" s="145" t="s">
        <v>981</v>
      </c>
      <c r="L806" s="156"/>
      <c r="M806" s="134" t="s">
        <v>429</v>
      </c>
      <c r="N806" s="150">
        <f>if(and(O806=TRUE,P806=TRUE), VLOOKUP($E806,PESSOAL!$B$35:$S$45,MONTH($F806)+6,false)*G806*24,0)</f>
        <v>48.53994034</v>
      </c>
      <c r="O806" s="117" t="b">
        <f t="shared" si="2"/>
        <v>1</v>
      </c>
      <c r="P806" s="117" t="b">
        <v>1</v>
      </c>
      <c r="Q806" s="117" t="s">
        <v>368</v>
      </c>
    </row>
    <row r="807" hidden="1">
      <c r="A807" s="108"/>
      <c r="B807" s="220"/>
      <c r="C807" s="220" t="s">
        <v>55</v>
      </c>
      <c r="D807" s="220" t="str">
        <f>vlookup(M807,'Página10'!A:B,2,false)</f>
        <v>INOV00017</v>
      </c>
      <c r="E807" s="134" t="s">
        <v>137</v>
      </c>
      <c r="F807" s="221">
        <v>45034.0</v>
      </c>
      <c r="G807" s="222">
        <v>0.041666666666666664</v>
      </c>
      <c r="H807" s="134" t="s">
        <v>411</v>
      </c>
      <c r="I807" s="223" t="s">
        <v>411</v>
      </c>
      <c r="J807" s="223" t="b">
        <f t="shared" si="1"/>
        <v>1</v>
      </c>
      <c r="K807" s="145" t="s">
        <v>982</v>
      </c>
      <c r="L807" s="156"/>
      <c r="M807" s="134" t="s">
        <v>429</v>
      </c>
      <c r="N807" s="150">
        <f>if(and(O807=TRUE,P807=TRUE), VLOOKUP($E807,PESSOAL!$B$35:$S$45,MONTH($F807)+6,false)*G807*24,0)</f>
        <v>48.53994034</v>
      </c>
      <c r="O807" s="117" t="b">
        <f t="shared" si="2"/>
        <v>1</v>
      </c>
      <c r="P807" s="117" t="b">
        <v>1</v>
      </c>
      <c r="Q807" s="117" t="s">
        <v>368</v>
      </c>
    </row>
    <row r="808" hidden="1">
      <c r="A808" s="108"/>
      <c r="B808" s="220"/>
      <c r="C808" s="220" t="s">
        <v>68</v>
      </c>
      <c r="D808" s="220" t="str">
        <f>vlookup(M808,'Página10'!A:B,2,false)</f>
        <v>INOV00040</v>
      </c>
      <c r="E808" s="134" t="s">
        <v>137</v>
      </c>
      <c r="F808" s="221">
        <v>45034.0</v>
      </c>
      <c r="G808" s="222">
        <v>0.0625</v>
      </c>
      <c r="H808" s="134" t="s">
        <v>411</v>
      </c>
      <c r="I808" s="223" t="s">
        <v>411</v>
      </c>
      <c r="J808" s="223" t="b">
        <f t="shared" si="1"/>
        <v>1</v>
      </c>
      <c r="K808" s="145" t="s">
        <v>983</v>
      </c>
      <c r="L808" s="156"/>
      <c r="M808" s="134" t="s">
        <v>462</v>
      </c>
      <c r="N808" s="150">
        <f>if(and(O808=TRUE,P808=TRUE), VLOOKUP($E808,PESSOAL!$B$35:$S$45,MONTH($F808)+6,false)*G808*24,0)</f>
        <v>0</v>
      </c>
      <c r="O808" s="117" t="b">
        <f t="shared" si="2"/>
        <v>1</v>
      </c>
      <c r="P808" s="117" t="b">
        <v>0</v>
      </c>
      <c r="Q808" s="117" t="s">
        <v>368</v>
      </c>
    </row>
    <row r="809" hidden="1">
      <c r="A809" s="108"/>
      <c r="B809" s="220"/>
      <c r="C809" s="220" t="s">
        <v>68</v>
      </c>
      <c r="D809" s="220" t="str">
        <f>vlookup(M809,'Página10'!A:B,2,false)</f>
        <v>INOV00040</v>
      </c>
      <c r="E809" s="134" t="s">
        <v>137</v>
      </c>
      <c r="F809" s="221">
        <v>45034.0</v>
      </c>
      <c r="G809" s="222">
        <v>0.020833333333333332</v>
      </c>
      <c r="H809" s="134" t="s">
        <v>411</v>
      </c>
      <c r="I809" s="223" t="s">
        <v>411</v>
      </c>
      <c r="J809" s="223" t="b">
        <f t="shared" si="1"/>
        <v>1</v>
      </c>
      <c r="K809" s="145" t="s">
        <v>984</v>
      </c>
      <c r="L809" s="156"/>
      <c r="M809" s="134" t="s">
        <v>462</v>
      </c>
      <c r="N809" s="150">
        <f>if(and(O809=TRUE,P809=TRUE), VLOOKUP($E809,PESSOAL!$B$35:$S$45,MONTH($F809)+6,false)*G809*24,0)</f>
        <v>0</v>
      </c>
      <c r="O809" s="117" t="b">
        <f t="shared" si="2"/>
        <v>1</v>
      </c>
      <c r="P809" s="117" t="b">
        <v>0</v>
      </c>
      <c r="Q809" s="117" t="s">
        <v>368</v>
      </c>
    </row>
    <row r="810" hidden="1">
      <c r="A810" s="108"/>
      <c r="B810" s="220"/>
      <c r="C810" s="220" t="s">
        <v>51</v>
      </c>
      <c r="D810" s="220" t="str">
        <f>vlookup(M810,'Página10'!A:B,2,false)</f>
        <v>INOV00010</v>
      </c>
      <c r="E810" s="134" t="s">
        <v>137</v>
      </c>
      <c r="F810" s="221">
        <v>45034.0</v>
      </c>
      <c r="G810" s="222">
        <v>0.0625</v>
      </c>
      <c r="H810" s="134" t="s">
        <v>411</v>
      </c>
      <c r="I810" s="223" t="s">
        <v>411</v>
      </c>
      <c r="J810" s="223" t="b">
        <f t="shared" si="1"/>
        <v>1</v>
      </c>
      <c r="K810" s="145" t="s">
        <v>985</v>
      </c>
      <c r="L810" s="156"/>
      <c r="M810" s="134" t="s">
        <v>423</v>
      </c>
      <c r="N810" s="150">
        <f>if(and(O810=TRUE,P810=TRUE), VLOOKUP($E810,PESSOAL!$B$35:$S$45,MONTH($F810)+6,false)*G810*24,0)</f>
        <v>72.8099105</v>
      </c>
      <c r="O810" s="117" t="b">
        <f t="shared" si="2"/>
        <v>1</v>
      </c>
      <c r="P810" s="117" t="b">
        <v>1</v>
      </c>
      <c r="Q810" s="117" t="s">
        <v>368</v>
      </c>
    </row>
    <row r="811" hidden="1">
      <c r="A811" s="108"/>
      <c r="B811" s="220"/>
      <c r="C811" s="220" t="s">
        <v>68</v>
      </c>
      <c r="D811" s="220" t="str">
        <f>vlookup(M811,'Página10'!A:B,2,false)</f>
        <v>INOV00040</v>
      </c>
      <c r="E811" s="134" t="s">
        <v>137</v>
      </c>
      <c r="F811" s="221">
        <v>45035.0</v>
      </c>
      <c r="G811" s="222">
        <v>0.020833333333333332</v>
      </c>
      <c r="H811" s="134" t="s">
        <v>479</v>
      </c>
      <c r="I811" s="223" t="s">
        <v>479</v>
      </c>
      <c r="J811" s="223" t="b">
        <f t="shared" si="1"/>
        <v>1</v>
      </c>
      <c r="K811" s="145" t="s">
        <v>986</v>
      </c>
      <c r="L811" s="156"/>
      <c r="M811" s="134" t="s">
        <v>462</v>
      </c>
      <c r="N811" s="150">
        <f>if(and(O811=TRUE,P811=TRUE), VLOOKUP($E811,PESSOAL!$B$35:$S$45,MONTH($F811)+6,false)*G811*24,0)</f>
        <v>0</v>
      </c>
      <c r="O811" s="117" t="b">
        <f t="shared" si="2"/>
        <v>0</v>
      </c>
      <c r="P811" s="117" t="b">
        <v>0</v>
      </c>
      <c r="Q811" s="117" t="s">
        <v>368</v>
      </c>
    </row>
    <row r="812" hidden="1">
      <c r="A812" s="108"/>
      <c r="B812" s="220"/>
      <c r="C812" s="220" t="s">
        <v>55</v>
      </c>
      <c r="D812" s="220" t="str">
        <f>vlookup(M812,'Página10'!A:B,2,false)</f>
        <v>INOV00017</v>
      </c>
      <c r="E812" s="134" t="s">
        <v>137</v>
      </c>
      <c r="F812" s="221">
        <v>45036.0</v>
      </c>
      <c r="G812" s="222">
        <v>0.041666666666666664</v>
      </c>
      <c r="H812" s="134" t="s">
        <v>411</v>
      </c>
      <c r="I812" s="223" t="s">
        <v>411</v>
      </c>
      <c r="J812" s="223" t="b">
        <f t="shared" si="1"/>
        <v>1</v>
      </c>
      <c r="K812" s="145" t="s">
        <v>987</v>
      </c>
      <c r="L812" s="156"/>
      <c r="M812" s="134" t="s">
        <v>429</v>
      </c>
      <c r="N812" s="150">
        <f>if(and(O812=TRUE,P812=TRUE), VLOOKUP($E812,PESSOAL!$B$35:$S$45,MONTH($F812)+6,false)*G812*24,0)</f>
        <v>48.53994034</v>
      </c>
      <c r="O812" s="117" t="b">
        <f t="shared" si="2"/>
        <v>1</v>
      </c>
      <c r="P812" s="117" t="b">
        <v>1</v>
      </c>
      <c r="Q812" s="117" t="s">
        <v>368</v>
      </c>
    </row>
    <row r="813" hidden="1">
      <c r="A813" s="108"/>
      <c r="B813" s="220"/>
      <c r="C813" s="220" t="s">
        <v>50</v>
      </c>
      <c r="D813" s="220" t="str">
        <f>vlookup(M813,'Página10'!A:B,2,false)</f>
        <v>INOV00006</v>
      </c>
      <c r="E813" s="134" t="s">
        <v>137</v>
      </c>
      <c r="F813" s="221">
        <v>45040.0</v>
      </c>
      <c r="G813" s="222">
        <v>0.041666666666666664</v>
      </c>
      <c r="H813" s="134" t="s">
        <v>479</v>
      </c>
      <c r="I813" s="223" t="s">
        <v>479</v>
      </c>
      <c r="J813" s="223" t="b">
        <f t="shared" si="1"/>
        <v>1</v>
      </c>
      <c r="K813" s="145" t="s">
        <v>988</v>
      </c>
      <c r="L813" s="156"/>
      <c r="M813" s="134" t="s">
        <v>422</v>
      </c>
      <c r="N813" s="150">
        <f>if(and(O813=TRUE,P813=TRUE), VLOOKUP($E813,PESSOAL!$B$35:$S$45,MONTH($F813)+6,false)*G813*24,0)</f>
        <v>0</v>
      </c>
      <c r="O813" s="117" t="b">
        <f t="shared" si="2"/>
        <v>0</v>
      </c>
      <c r="P813" s="117" t="b">
        <v>1</v>
      </c>
      <c r="Q813" s="117" t="s">
        <v>368</v>
      </c>
    </row>
    <row r="814" hidden="1">
      <c r="A814" s="108"/>
      <c r="B814" s="220"/>
      <c r="C814" s="220" t="s">
        <v>51</v>
      </c>
      <c r="D814" s="220" t="str">
        <f>vlookup(M814,'Página10'!A:B,2,false)</f>
        <v>INOV00010</v>
      </c>
      <c r="E814" s="134" t="s">
        <v>137</v>
      </c>
      <c r="F814" s="221">
        <v>45041.0</v>
      </c>
      <c r="G814" s="222">
        <v>0.0625</v>
      </c>
      <c r="H814" s="134" t="s">
        <v>411</v>
      </c>
      <c r="I814" s="223" t="s">
        <v>411</v>
      </c>
      <c r="J814" s="223" t="b">
        <f t="shared" si="1"/>
        <v>1</v>
      </c>
      <c r="K814" s="145" t="s">
        <v>989</v>
      </c>
      <c r="L814" s="156"/>
      <c r="M814" s="134" t="s">
        <v>423</v>
      </c>
      <c r="N814" s="150">
        <f>if(and(O814=TRUE,P814=TRUE), VLOOKUP($E814,PESSOAL!$B$35:$S$45,MONTH($F814)+6,false)*G814*24,0)</f>
        <v>72.8099105</v>
      </c>
      <c r="O814" s="117" t="b">
        <f t="shared" si="2"/>
        <v>1</v>
      </c>
      <c r="P814" s="117" t="b">
        <v>1</v>
      </c>
      <c r="Q814" s="117" t="s">
        <v>368</v>
      </c>
    </row>
    <row r="815" hidden="1">
      <c r="A815" s="108"/>
      <c r="B815" s="220"/>
      <c r="C815" s="220" t="s">
        <v>68</v>
      </c>
      <c r="D815" s="220" t="str">
        <f>vlookup(M815,'Página10'!A:B,2,false)</f>
        <v>INOV00040</v>
      </c>
      <c r="E815" s="134" t="s">
        <v>137</v>
      </c>
      <c r="F815" s="221">
        <v>45041.0</v>
      </c>
      <c r="G815" s="222">
        <v>0.0625</v>
      </c>
      <c r="H815" s="134" t="s">
        <v>411</v>
      </c>
      <c r="I815" s="223" t="s">
        <v>411</v>
      </c>
      <c r="J815" s="223" t="b">
        <f t="shared" si="1"/>
        <v>1</v>
      </c>
      <c r="K815" s="145" t="s">
        <v>990</v>
      </c>
      <c r="L815" s="156"/>
      <c r="M815" s="134" t="s">
        <v>462</v>
      </c>
      <c r="N815" s="150">
        <f>if(and(O815=TRUE,P815=TRUE), VLOOKUP($E815,PESSOAL!$B$35:$S$45,MONTH($F815)+6,false)*G815*24,0)</f>
        <v>0</v>
      </c>
      <c r="O815" s="117" t="b">
        <f t="shared" si="2"/>
        <v>1</v>
      </c>
      <c r="P815" s="117" t="b">
        <v>0</v>
      </c>
      <c r="Q815" s="117" t="s">
        <v>368</v>
      </c>
    </row>
    <row r="816" hidden="1">
      <c r="A816" s="108"/>
      <c r="B816" s="220"/>
      <c r="C816" s="220" t="s">
        <v>55</v>
      </c>
      <c r="D816" s="220" t="str">
        <f>vlookup(M816,'Página10'!A:B,2,false)</f>
        <v>INOV00017</v>
      </c>
      <c r="E816" s="134" t="s">
        <v>137</v>
      </c>
      <c r="F816" s="221">
        <v>45044.0</v>
      </c>
      <c r="G816" s="222">
        <v>0.0625</v>
      </c>
      <c r="H816" s="134" t="s">
        <v>411</v>
      </c>
      <c r="I816" s="223" t="s">
        <v>411</v>
      </c>
      <c r="J816" s="223" t="b">
        <f t="shared" si="1"/>
        <v>1</v>
      </c>
      <c r="K816" s="145" t="s">
        <v>991</v>
      </c>
      <c r="L816" s="156"/>
      <c r="M816" s="134" t="s">
        <v>429</v>
      </c>
      <c r="N816" s="150">
        <f>if(and(O816=TRUE,P816=TRUE), VLOOKUP($E816,PESSOAL!$B$35:$S$45,MONTH($F816)+6,false)*G816*24,0)</f>
        <v>72.8099105</v>
      </c>
      <c r="O816" s="117" t="b">
        <f t="shared" si="2"/>
        <v>1</v>
      </c>
      <c r="P816" s="117" t="b">
        <v>1</v>
      </c>
      <c r="Q816" s="117" t="s">
        <v>368</v>
      </c>
    </row>
    <row r="817" hidden="1">
      <c r="A817" s="108"/>
      <c r="B817" s="220"/>
      <c r="C817" s="220" t="s">
        <v>55</v>
      </c>
      <c r="D817" s="220" t="str">
        <f>vlookup(M817,'Página10'!A:B,2,false)</f>
        <v>INOV00017</v>
      </c>
      <c r="E817" s="134" t="s">
        <v>137</v>
      </c>
      <c r="F817" s="221">
        <v>45043.0</v>
      </c>
      <c r="G817" s="222">
        <v>0.14583333333333334</v>
      </c>
      <c r="H817" s="134" t="s">
        <v>411</v>
      </c>
      <c r="I817" s="223" t="s">
        <v>411</v>
      </c>
      <c r="J817" s="223" t="b">
        <f t="shared" si="1"/>
        <v>1</v>
      </c>
      <c r="K817" s="145" t="s">
        <v>992</v>
      </c>
      <c r="L817" s="156"/>
      <c r="M817" s="134" t="s">
        <v>429</v>
      </c>
      <c r="N817" s="150">
        <f>if(and(O817=TRUE,P817=TRUE), VLOOKUP($E817,PESSOAL!$B$35:$S$45,MONTH($F817)+6,false)*G817*24,0)</f>
        <v>169.8897912</v>
      </c>
      <c r="O817" s="117" t="b">
        <f t="shared" si="2"/>
        <v>1</v>
      </c>
      <c r="P817" s="117" t="b">
        <v>1</v>
      </c>
      <c r="Q817" s="117" t="s">
        <v>368</v>
      </c>
    </row>
    <row r="818" hidden="1">
      <c r="A818" s="108"/>
      <c r="B818" s="220"/>
      <c r="C818" s="220" t="s">
        <v>50</v>
      </c>
      <c r="D818" s="220" t="str">
        <f>vlookup(M818,'Página10'!A:B,2,false)</f>
        <v>INOV00006</v>
      </c>
      <c r="E818" s="134" t="s">
        <v>137</v>
      </c>
      <c r="F818" s="221">
        <v>45049.0</v>
      </c>
      <c r="G818" s="222">
        <v>0.10416666666666667</v>
      </c>
      <c r="H818" s="134" t="s">
        <v>479</v>
      </c>
      <c r="I818" s="223" t="s">
        <v>479</v>
      </c>
      <c r="J818" s="223" t="b">
        <f t="shared" si="1"/>
        <v>1</v>
      </c>
      <c r="K818" s="145" t="s">
        <v>976</v>
      </c>
      <c r="L818" s="156"/>
      <c r="M818" s="134" t="s">
        <v>422</v>
      </c>
      <c r="N818" s="150">
        <f>if(and(O818=TRUE,P818=TRUE), VLOOKUP($E818,PESSOAL!$B$35:$S$45,MONTH($F818)+6,false)*G818*24,0)</f>
        <v>0</v>
      </c>
      <c r="O818" s="117" t="b">
        <f t="shared" si="2"/>
        <v>0</v>
      </c>
      <c r="P818" s="117" t="b">
        <v>1</v>
      </c>
      <c r="Q818" s="117" t="s">
        <v>368</v>
      </c>
    </row>
    <row r="819" hidden="1">
      <c r="A819" s="108"/>
      <c r="B819" s="220"/>
      <c r="C819" s="220" t="s">
        <v>51</v>
      </c>
      <c r="D819" s="220" t="str">
        <f>vlookup(M819,'Página10'!A:B,2,false)</f>
        <v>INOV00010</v>
      </c>
      <c r="E819" s="134" t="s">
        <v>137</v>
      </c>
      <c r="F819" s="221">
        <v>45050.0</v>
      </c>
      <c r="G819" s="222">
        <v>0.0625</v>
      </c>
      <c r="H819" s="134" t="s">
        <v>411</v>
      </c>
      <c r="I819" s="223" t="s">
        <v>411</v>
      </c>
      <c r="J819" s="223" t="b">
        <f t="shared" si="1"/>
        <v>1</v>
      </c>
      <c r="K819" s="145" t="s">
        <v>993</v>
      </c>
      <c r="L819" s="156"/>
      <c r="M819" s="134" t="s">
        <v>423</v>
      </c>
      <c r="N819" s="150">
        <f>if(and(O819=TRUE,P819=TRUE), VLOOKUP($E819,PESSOAL!$B$35:$S$45,MONTH($F819)+6,false)*G819*24,0)</f>
        <v>62.25243153</v>
      </c>
      <c r="O819" s="117" t="b">
        <f t="shared" si="2"/>
        <v>1</v>
      </c>
      <c r="P819" s="117" t="b">
        <v>1</v>
      </c>
      <c r="Q819" s="117" t="s">
        <v>368</v>
      </c>
    </row>
    <row r="820" hidden="1">
      <c r="A820" s="108"/>
      <c r="B820" s="220"/>
      <c r="C820" s="220" t="s">
        <v>68</v>
      </c>
      <c r="D820" s="220" t="str">
        <f>vlookup(M820,'Página10'!A:B,2,false)</f>
        <v>INOV00040</v>
      </c>
      <c r="E820" s="134" t="s">
        <v>137</v>
      </c>
      <c r="F820" s="221">
        <v>45050.0</v>
      </c>
      <c r="G820" s="222">
        <v>0.0625</v>
      </c>
      <c r="H820" s="134" t="s">
        <v>411</v>
      </c>
      <c r="I820" s="223" t="s">
        <v>411</v>
      </c>
      <c r="J820" s="223" t="b">
        <f t="shared" si="1"/>
        <v>1</v>
      </c>
      <c r="K820" s="145" t="s">
        <v>994</v>
      </c>
      <c r="L820" s="156"/>
      <c r="M820" s="134" t="s">
        <v>462</v>
      </c>
      <c r="N820" s="150">
        <f>if(and(O820=TRUE,P820=TRUE), VLOOKUP($E820,PESSOAL!$B$35:$S$45,MONTH($F820)+6,false)*G820*24,0)</f>
        <v>0</v>
      </c>
      <c r="O820" s="117" t="b">
        <f t="shared" si="2"/>
        <v>1</v>
      </c>
      <c r="P820" s="117" t="b">
        <v>0</v>
      </c>
      <c r="Q820" s="117" t="s">
        <v>368</v>
      </c>
    </row>
    <row r="821" hidden="1">
      <c r="A821" s="108"/>
      <c r="B821" s="220"/>
      <c r="C821" s="220" t="s">
        <v>68</v>
      </c>
      <c r="D821" s="220" t="str">
        <f>vlookup(M821,'Página10'!A:B,2,false)</f>
        <v>INOV00040</v>
      </c>
      <c r="E821" s="134" t="s">
        <v>137</v>
      </c>
      <c r="F821" s="221">
        <v>45050.0</v>
      </c>
      <c r="G821" s="222">
        <v>0.041666666666666664</v>
      </c>
      <c r="H821" s="134" t="s">
        <v>411</v>
      </c>
      <c r="I821" s="223" t="s">
        <v>411</v>
      </c>
      <c r="J821" s="223" t="b">
        <f t="shared" si="1"/>
        <v>1</v>
      </c>
      <c r="K821" s="145" t="s">
        <v>995</v>
      </c>
      <c r="L821" s="156"/>
      <c r="M821" s="134" t="s">
        <v>462</v>
      </c>
      <c r="N821" s="150">
        <f>if(and(O821=TRUE,P821=TRUE), VLOOKUP($E821,PESSOAL!$B$35:$S$45,MONTH($F821)+6,false)*G821*24,0)</f>
        <v>0</v>
      </c>
      <c r="O821" s="117" t="b">
        <f t="shared" si="2"/>
        <v>1</v>
      </c>
      <c r="P821" s="117" t="b">
        <v>0</v>
      </c>
      <c r="Q821" s="117" t="s">
        <v>368</v>
      </c>
    </row>
    <row r="822" hidden="1">
      <c r="A822" s="108"/>
      <c r="B822" s="220"/>
      <c r="C822" s="220" t="s">
        <v>50</v>
      </c>
      <c r="D822" s="220" t="str">
        <f>vlookup(M822,'Página10'!A:B,2,false)</f>
        <v>INOV00006</v>
      </c>
      <c r="E822" s="134" t="s">
        <v>137</v>
      </c>
      <c r="F822" s="221">
        <v>45051.0</v>
      </c>
      <c r="G822" s="222">
        <v>0.020833333333333332</v>
      </c>
      <c r="H822" s="134" t="s">
        <v>474</v>
      </c>
      <c r="I822" s="223" t="s">
        <v>474</v>
      </c>
      <c r="J822" s="223" t="b">
        <f t="shared" si="1"/>
        <v>1</v>
      </c>
      <c r="K822" s="145" t="s">
        <v>996</v>
      </c>
      <c r="L822" s="156"/>
      <c r="M822" s="134" t="s">
        <v>422</v>
      </c>
      <c r="N822" s="150">
        <f>if(and(O822=TRUE,P822=TRUE), VLOOKUP($E822,PESSOAL!$B$35:$S$45,MONTH($F822)+6,false)*G822*24,0)</f>
        <v>20.75081051</v>
      </c>
      <c r="O822" s="117" t="b">
        <f t="shared" si="2"/>
        <v>1</v>
      </c>
      <c r="P822" s="117" t="b">
        <v>1</v>
      </c>
      <c r="Q822" s="117" t="s">
        <v>368</v>
      </c>
    </row>
    <row r="823" hidden="1">
      <c r="A823" s="108"/>
      <c r="B823" s="220"/>
      <c r="C823" s="220" t="s">
        <v>50</v>
      </c>
      <c r="D823" s="220" t="str">
        <f>vlookup(M823,'Página10'!A:B,2,false)</f>
        <v>INOV00006</v>
      </c>
      <c r="E823" s="134" t="s">
        <v>137</v>
      </c>
      <c r="F823" s="221">
        <v>45054.0</v>
      </c>
      <c r="G823" s="222">
        <v>0.041666666666666664</v>
      </c>
      <c r="H823" s="134" t="s">
        <v>474</v>
      </c>
      <c r="I823" s="223" t="s">
        <v>474</v>
      </c>
      <c r="J823" s="223" t="b">
        <f t="shared" si="1"/>
        <v>1</v>
      </c>
      <c r="K823" s="145" t="s">
        <v>997</v>
      </c>
      <c r="L823" s="156"/>
      <c r="M823" s="134" t="s">
        <v>422</v>
      </c>
      <c r="N823" s="150">
        <f>if(and(O823=TRUE,P823=TRUE), VLOOKUP($E823,PESSOAL!$B$35:$S$45,MONTH($F823)+6,false)*G823*24,0)</f>
        <v>41.50162102</v>
      </c>
      <c r="O823" s="117" t="b">
        <f t="shared" si="2"/>
        <v>1</v>
      </c>
      <c r="P823" s="117" t="b">
        <v>1</v>
      </c>
      <c r="Q823" s="117" t="s">
        <v>368</v>
      </c>
    </row>
    <row r="824" hidden="1">
      <c r="A824" s="108"/>
      <c r="B824" s="220"/>
      <c r="C824" s="220" t="s">
        <v>51</v>
      </c>
      <c r="D824" s="220" t="str">
        <f>vlookup(M824,'Página10'!A:B,2,false)</f>
        <v>INOV00010</v>
      </c>
      <c r="E824" s="134" t="s">
        <v>137</v>
      </c>
      <c r="F824" s="221">
        <v>45054.0</v>
      </c>
      <c r="G824" s="222">
        <v>0.041666666666666664</v>
      </c>
      <c r="H824" s="134" t="s">
        <v>479</v>
      </c>
      <c r="I824" s="223" t="s">
        <v>479</v>
      </c>
      <c r="J824" s="223" t="b">
        <f t="shared" si="1"/>
        <v>1</v>
      </c>
      <c r="K824" s="145" t="s">
        <v>998</v>
      </c>
      <c r="L824" s="156"/>
      <c r="M824" s="134" t="s">
        <v>423</v>
      </c>
      <c r="N824" s="150">
        <f>if(and(O824=TRUE,P824=TRUE), VLOOKUP($E824,PESSOAL!$B$35:$S$45,MONTH($F824)+6,false)*G824*24,0)</f>
        <v>0</v>
      </c>
      <c r="O824" s="117" t="b">
        <f t="shared" si="2"/>
        <v>0</v>
      </c>
      <c r="P824" s="117" t="b">
        <v>1</v>
      </c>
      <c r="Q824" s="117" t="s">
        <v>368</v>
      </c>
    </row>
    <row r="825" hidden="1">
      <c r="A825" s="108"/>
      <c r="B825" s="220"/>
      <c r="C825" s="220" t="s">
        <v>51</v>
      </c>
      <c r="D825" s="220" t="str">
        <f>vlookup(M825,'Página10'!A:B,2,false)</f>
        <v>INOV00010</v>
      </c>
      <c r="E825" s="134" t="s">
        <v>137</v>
      </c>
      <c r="F825" s="221">
        <v>45055.0</v>
      </c>
      <c r="G825" s="222">
        <v>0.0625</v>
      </c>
      <c r="H825" s="134" t="s">
        <v>411</v>
      </c>
      <c r="I825" s="223" t="s">
        <v>411</v>
      </c>
      <c r="J825" s="223" t="b">
        <f t="shared" si="1"/>
        <v>1</v>
      </c>
      <c r="K825" s="145" t="s">
        <v>999</v>
      </c>
      <c r="L825" s="156"/>
      <c r="M825" s="134" t="s">
        <v>423</v>
      </c>
      <c r="N825" s="150">
        <f>if(and(O825=TRUE,P825=TRUE), VLOOKUP($E825,PESSOAL!$B$35:$S$45,MONTH($F825)+6,false)*G825*24,0)</f>
        <v>62.25243153</v>
      </c>
      <c r="O825" s="117" t="b">
        <f t="shared" si="2"/>
        <v>1</v>
      </c>
      <c r="P825" s="117" t="b">
        <v>1</v>
      </c>
      <c r="Q825" s="117" t="s">
        <v>368</v>
      </c>
    </row>
    <row r="826" hidden="1">
      <c r="A826" s="108"/>
      <c r="B826" s="220"/>
      <c r="C826" s="220" t="s">
        <v>51</v>
      </c>
      <c r="D826" s="220" t="str">
        <f>vlookup(M826,'Página10'!A:B,2,false)</f>
        <v>INOV00010</v>
      </c>
      <c r="E826" s="134" t="s">
        <v>137</v>
      </c>
      <c r="F826" s="221">
        <v>45055.0</v>
      </c>
      <c r="G826" s="222">
        <v>0.041666666666666664</v>
      </c>
      <c r="H826" s="134" t="s">
        <v>411</v>
      </c>
      <c r="I826" s="223" t="s">
        <v>411</v>
      </c>
      <c r="J826" s="223" t="b">
        <f t="shared" si="1"/>
        <v>1</v>
      </c>
      <c r="K826" s="145" t="s">
        <v>1000</v>
      </c>
      <c r="L826" s="156"/>
      <c r="M826" s="134" t="s">
        <v>423</v>
      </c>
      <c r="N826" s="150">
        <f>if(and(O826=TRUE,P826=TRUE), VLOOKUP($E826,PESSOAL!$B$35:$S$45,MONTH($F826)+6,false)*G826*24,0)</f>
        <v>41.50162102</v>
      </c>
      <c r="O826" s="117" t="b">
        <f t="shared" si="2"/>
        <v>1</v>
      </c>
      <c r="P826" s="117" t="b">
        <v>1</v>
      </c>
      <c r="Q826" s="117" t="s">
        <v>368</v>
      </c>
    </row>
    <row r="827" hidden="1">
      <c r="A827" s="108"/>
      <c r="B827" s="220"/>
      <c r="C827" s="220" t="s">
        <v>68</v>
      </c>
      <c r="D827" s="220" t="str">
        <f>vlookup(M827,'Página10'!A:B,2,false)</f>
        <v>INOV00040</v>
      </c>
      <c r="E827" s="134" t="s">
        <v>137</v>
      </c>
      <c r="F827" s="221">
        <v>45056.0</v>
      </c>
      <c r="G827" s="222">
        <v>0.041666666666666664</v>
      </c>
      <c r="H827" s="134" t="s">
        <v>479</v>
      </c>
      <c r="I827" s="223" t="s">
        <v>479</v>
      </c>
      <c r="J827" s="223" t="b">
        <f t="shared" si="1"/>
        <v>1</v>
      </c>
      <c r="K827" s="145" t="s">
        <v>1001</v>
      </c>
      <c r="L827" s="156"/>
      <c r="M827" s="134" t="s">
        <v>462</v>
      </c>
      <c r="N827" s="150">
        <f>if(and(O827=TRUE,P827=TRUE), VLOOKUP($E827,PESSOAL!$B$35:$S$45,MONTH($F827)+6,false)*G827*24,0)</f>
        <v>0</v>
      </c>
      <c r="O827" s="117" t="b">
        <f t="shared" si="2"/>
        <v>0</v>
      </c>
      <c r="P827" s="117" t="b">
        <v>0</v>
      </c>
      <c r="Q827" s="117" t="s">
        <v>368</v>
      </c>
    </row>
    <row r="828" hidden="1">
      <c r="A828" s="108"/>
      <c r="B828" s="220"/>
      <c r="C828" s="220" t="s">
        <v>51</v>
      </c>
      <c r="D828" s="220" t="str">
        <f>vlookup(M828,'Página10'!A:B,2,false)</f>
        <v>INOV00010</v>
      </c>
      <c r="E828" s="134" t="s">
        <v>137</v>
      </c>
      <c r="F828" s="221">
        <v>45056.0</v>
      </c>
      <c r="G828" s="222">
        <v>0.0625</v>
      </c>
      <c r="H828" s="134" t="s">
        <v>474</v>
      </c>
      <c r="I828" s="223" t="s">
        <v>474</v>
      </c>
      <c r="J828" s="223" t="b">
        <f t="shared" si="1"/>
        <v>1</v>
      </c>
      <c r="K828" s="145" t="s">
        <v>1002</v>
      </c>
      <c r="L828" s="156"/>
      <c r="M828" s="134" t="s">
        <v>423</v>
      </c>
      <c r="N828" s="150">
        <f>if(and(O828=TRUE,P828=TRUE), VLOOKUP($E828,PESSOAL!$B$35:$S$45,MONTH($F828)+6,false)*G828*24,0)</f>
        <v>62.25243153</v>
      </c>
      <c r="O828" s="117" t="b">
        <f t="shared" si="2"/>
        <v>1</v>
      </c>
      <c r="P828" s="117" t="b">
        <v>1</v>
      </c>
      <c r="Q828" s="117" t="s">
        <v>368</v>
      </c>
    </row>
    <row r="829" hidden="1">
      <c r="A829" s="108"/>
      <c r="B829" s="220"/>
      <c r="C829" s="220" t="s">
        <v>50</v>
      </c>
      <c r="D829" s="220" t="str">
        <f>vlookup(M829,'Página10'!A:B,2,false)</f>
        <v>INOV00006</v>
      </c>
      <c r="E829" s="134" t="s">
        <v>137</v>
      </c>
      <c r="F829" s="221">
        <v>45056.0</v>
      </c>
      <c r="G829" s="222">
        <v>0.020833333333333332</v>
      </c>
      <c r="H829" s="134" t="s">
        <v>474</v>
      </c>
      <c r="I829" s="223" t="s">
        <v>474</v>
      </c>
      <c r="J829" s="223" t="b">
        <f t="shared" si="1"/>
        <v>1</v>
      </c>
      <c r="K829" s="145" t="s">
        <v>1003</v>
      </c>
      <c r="L829" s="156"/>
      <c r="M829" s="134" t="s">
        <v>422</v>
      </c>
      <c r="N829" s="150">
        <f>if(and(O829=TRUE,P829=TRUE), VLOOKUP($E829,PESSOAL!$B$35:$S$45,MONTH($F829)+6,false)*G829*24,0)</f>
        <v>20.75081051</v>
      </c>
      <c r="O829" s="117" t="b">
        <f t="shared" si="2"/>
        <v>1</v>
      </c>
      <c r="P829" s="117" t="b">
        <v>1</v>
      </c>
      <c r="Q829" s="117" t="s">
        <v>368</v>
      </c>
    </row>
    <row r="830" hidden="1">
      <c r="A830" s="108"/>
      <c r="B830" s="220"/>
      <c r="C830" s="220" t="s">
        <v>50</v>
      </c>
      <c r="D830" s="220" t="str">
        <f>vlookup(M830,'Página10'!A:B,2,false)</f>
        <v>INOV00006</v>
      </c>
      <c r="E830" s="134" t="s">
        <v>137</v>
      </c>
      <c r="F830" s="221">
        <v>45057.0</v>
      </c>
      <c r="G830" s="222">
        <v>0.020833333333333332</v>
      </c>
      <c r="H830" s="134" t="s">
        <v>411</v>
      </c>
      <c r="I830" s="223" t="s">
        <v>411</v>
      </c>
      <c r="J830" s="223" t="b">
        <f t="shared" si="1"/>
        <v>1</v>
      </c>
      <c r="K830" s="145" t="s">
        <v>971</v>
      </c>
      <c r="L830" s="156"/>
      <c r="M830" s="134" t="s">
        <v>422</v>
      </c>
      <c r="N830" s="150">
        <f>if(and(O830=TRUE,P830=TRUE), VLOOKUP($E830,PESSOAL!$B$35:$S$45,MONTH($F830)+6,false)*G830*24,0)</f>
        <v>20.75081051</v>
      </c>
      <c r="O830" s="117" t="b">
        <f t="shared" si="2"/>
        <v>1</v>
      </c>
      <c r="P830" s="117" t="b">
        <v>1</v>
      </c>
      <c r="Q830" s="117" t="s">
        <v>368</v>
      </c>
    </row>
    <row r="831" hidden="1">
      <c r="A831" s="108"/>
      <c r="B831" s="220"/>
      <c r="C831" s="220" t="s">
        <v>51</v>
      </c>
      <c r="D831" s="220" t="str">
        <f>vlookup(M831,'Página10'!A:B,2,false)</f>
        <v>INOV00010</v>
      </c>
      <c r="E831" s="134" t="s">
        <v>137</v>
      </c>
      <c r="F831" s="221">
        <v>45061.0</v>
      </c>
      <c r="G831" s="222">
        <v>0.020833333333333332</v>
      </c>
      <c r="H831" s="134" t="s">
        <v>474</v>
      </c>
      <c r="I831" s="223" t="s">
        <v>474</v>
      </c>
      <c r="J831" s="223" t="b">
        <f t="shared" si="1"/>
        <v>1</v>
      </c>
      <c r="K831" s="145" t="s">
        <v>1004</v>
      </c>
      <c r="L831" s="156"/>
      <c r="M831" s="134" t="s">
        <v>423</v>
      </c>
      <c r="N831" s="150">
        <f>if(and(O831=TRUE,P831=TRUE), VLOOKUP($E831,PESSOAL!$B$35:$S$45,MONTH($F831)+6,false)*G831*24,0)</f>
        <v>20.75081051</v>
      </c>
      <c r="O831" s="117" t="b">
        <f t="shared" si="2"/>
        <v>1</v>
      </c>
      <c r="P831" s="117" t="b">
        <v>1</v>
      </c>
      <c r="Q831" s="117" t="s">
        <v>368</v>
      </c>
    </row>
    <row r="832" hidden="1">
      <c r="A832" s="108"/>
      <c r="B832" s="220"/>
      <c r="C832" s="220" t="s">
        <v>55</v>
      </c>
      <c r="D832" s="220" t="str">
        <f>vlookup(M832,'Página10'!A:B,2,false)</f>
        <v>INOV00017</v>
      </c>
      <c r="E832" s="134" t="s">
        <v>137</v>
      </c>
      <c r="F832" s="221">
        <v>45062.0</v>
      </c>
      <c r="G832" s="222">
        <v>0.041666666666666664</v>
      </c>
      <c r="H832" s="134" t="s">
        <v>411</v>
      </c>
      <c r="I832" s="223" t="s">
        <v>411</v>
      </c>
      <c r="J832" s="223" t="b">
        <f t="shared" si="1"/>
        <v>1</v>
      </c>
      <c r="K832" s="145" t="s">
        <v>1005</v>
      </c>
      <c r="L832" s="156"/>
      <c r="M832" s="134" t="s">
        <v>429</v>
      </c>
      <c r="N832" s="150">
        <f>if(and(O832=TRUE,P832=TRUE), VLOOKUP($E832,PESSOAL!$B$35:$S$45,MONTH($F832)+6,false)*G832*24,0)</f>
        <v>41.50162102</v>
      </c>
      <c r="O832" s="117" t="b">
        <f t="shared" si="2"/>
        <v>1</v>
      </c>
      <c r="P832" s="117" t="b">
        <v>1</v>
      </c>
      <c r="Q832" s="117" t="s">
        <v>368</v>
      </c>
    </row>
    <row r="833" hidden="1">
      <c r="A833" s="108"/>
      <c r="B833" s="220"/>
      <c r="C833" s="220" t="s">
        <v>55</v>
      </c>
      <c r="D833" s="220" t="str">
        <f>vlookup(M833,'Página10'!A:B,2,false)</f>
        <v>INOV00017</v>
      </c>
      <c r="E833" s="134" t="s">
        <v>137</v>
      </c>
      <c r="F833" s="221">
        <v>45062.0</v>
      </c>
      <c r="G833" s="222">
        <v>0.041666666666666664</v>
      </c>
      <c r="H833" s="134" t="s">
        <v>411</v>
      </c>
      <c r="I833" s="223" t="s">
        <v>411</v>
      </c>
      <c r="J833" s="223" t="b">
        <f t="shared" si="1"/>
        <v>1</v>
      </c>
      <c r="K833" s="145" t="s">
        <v>1006</v>
      </c>
      <c r="L833" s="156"/>
      <c r="M833" s="134" t="s">
        <v>429</v>
      </c>
      <c r="N833" s="150">
        <f>if(and(O833=TRUE,P833=TRUE), VLOOKUP($E833,PESSOAL!$B$35:$S$45,MONTH($F833)+6,false)*G833*24,0)</f>
        <v>41.50162102</v>
      </c>
      <c r="O833" s="117" t="b">
        <f t="shared" si="2"/>
        <v>1</v>
      </c>
      <c r="P833" s="117" t="b">
        <v>1</v>
      </c>
      <c r="Q833" s="117" t="s">
        <v>368</v>
      </c>
    </row>
    <row r="834" hidden="1">
      <c r="A834" s="108"/>
      <c r="B834" s="220"/>
      <c r="C834" s="220" t="s">
        <v>68</v>
      </c>
      <c r="D834" s="220" t="str">
        <f>vlookup(M834,'Página10'!A:B,2,false)</f>
        <v>INOV00040</v>
      </c>
      <c r="E834" s="134" t="s">
        <v>137</v>
      </c>
      <c r="F834" s="221">
        <v>45062.0</v>
      </c>
      <c r="G834" s="222">
        <v>0.0625</v>
      </c>
      <c r="H834" s="134" t="s">
        <v>411</v>
      </c>
      <c r="I834" s="223" t="s">
        <v>411</v>
      </c>
      <c r="J834" s="223" t="b">
        <f t="shared" si="1"/>
        <v>1</v>
      </c>
      <c r="K834" s="145" t="s">
        <v>1007</v>
      </c>
      <c r="L834" s="156"/>
      <c r="M834" s="134" t="s">
        <v>462</v>
      </c>
      <c r="N834" s="150">
        <f>if(and(O834=TRUE,P834=TRUE), VLOOKUP($E834,PESSOAL!$B$35:$S$45,MONTH($F834)+6,false)*G834*24,0)</f>
        <v>0</v>
      </c>
      <c r="O834" s="117" t="b">
        <f t="shared" si="2"/>
        <v>1</v>
      </c>
      <c r="P834" s="117" t="b">
        <v>0</v>
      </c>
      <c r="Q834" s="117" t="s">
        <v>368</v>
      </c>
    </row>
    <row r="835" hidden="1">
      <c r="A835" s="108"/>
      <c r="B835" s="220"/>
      <c r="C835" s="220" t="s">
        <v>55</v>
      </c>
      <c r="D835" s="220" t="str">
        <f>vlookup(M835,'Página10'!A:B,2,false)</f>
        <v>INOV00017</v>
      </c>
      <c r="E835" s="134" t="s">
        <v>137</v>
      </c>
      <c r="F835" s="221">
        <v>45055.0</v>
      </c>
      <c r="G835" s="222">
        <v>0.08333333333333333</v>
      </c>
      <c r="H835" s="134" t="s">
        <v>411</v>
      </c>
      <c r="I835" s="223" t="s">
        <v>411</v>
      </c>
      <c r="J835" s="223" t="b">
        <f t="shared" si="1"/>
        <v>1</v>
      </c>
      <c r="K835" s="145" t="s">
        <v>1008</v>
      </c>
      <c r="L835" s="156"/>
      <c r="M835" s="134" t="s">
        <v>429</v>
      </c>
      <c r="N835" s="150">
        <f>if(and(O835=TRUE,P835=TRUE), VLOOKUP($E835,PESSOAL!$B$35:$S$45,MONTH($F835)+6,false)*G835*24,0)</f>
        <v>83.00324205</v>
      </c>
      <c r="O835" s="117" t="b">
        <f t="shared" si="2"/>
        <v>1</v>
      </c>
      <c r="P835" s="117" t="b">
        <v>1</v>
      </c>
      <c r="Q835" s="117" t="s">
        <v>368</v>
      </c>
    </row>
    <row r="836" hidden="1">
      <c r="A836" s="108"/>
      <c r="B836" s="220"/>
      <c r="C836" s="220" t="s">
        <v>69</v>
      </c>
      <c r="D836" s="220" t="str">
        <f>vlookup(M836,'Página10'!A:B,2,false)</f>
        <v>INOV00041</v>
      </c>
      <c r="E836" s="134" t="s">
        <v>137</v>
      </c>
      <c r="F836" s="221">
        <v>45065.0</v>
      </c>
      <c r="G836" s="222">
        <v>0.041666666666666664</v>
      </c>
      <c r="H836" s="134" t="s">
        <v>411</v>
      </c>
      <c r="I836" s="223" t="s">
        <v>411</v>
      </c>
      <c r="J836" s="223" t="b">
        <f t="shared" si="1"/>
        <v>1</v>
      </c>
      <c r="K836" s="145" t="s">
        <v>1009</v>
      </c>
      <c r="L836" s="156"/>
      <c r="M836" s="134" t="s">
        <v>463</v>
      </c>
      <c r="N836" s="224">
        <v>0.0</v>
      </c>
      <c r="O836" s="117" t="b">
        <f t="shared" si="2"/>
        <v>1</v>
      </c>
      <c r="P836" s="117" t="b">
        <v>1</v>
      </c>
      <c r="Q836" s="117" t="s">
        <v>368</v>
      </c>
    </row>
    <row r="837" hidden="1">
      <c r="A837" s="108"/>
      <c r="B837" s="220"/>
      <c r="C837" s="220" t="s">
        <v>50</v>
      </c>
      <c r="D837" s="220" t="str">
        <f>vlookup(M837,'Página10'!A:B,2,false)</f>
        <v>INOV00006</v>
      </c>
      <c r="E837" s="134" t="s">
        <v>137</v>
      </c>
      <c r="F837" s="221">
        <v>45069.0</v>
      </c>
      <c r="G837" s="222">
        <v>0.0625</v>
      </c>
      <c r="H837" s="134" t="s">
        <v>411</v>
      </c>
      <c r="I837" s="223" t="s">
        <v>411</v>
      </c>
      <c r="J837" s="223" t="b">
        <f t="shared" si="1"/>
        <v>1</v>
      </c>
      <c r="K837" s="145" t="s">
        <v>1010</v>
      </c>
      <c r="L837" s="156"/>
      <c r="M837" s="134" t="s">
        <v>422</v>
      </c>
      <c r="N837" s="150">
        <f>if(and(O837=TRUE,P837=TRUE), VLOOKUP($E837,PESSOAL!$B$35:$S$45,MONTH($F837)+6,false)*G837*24,0)</f>
        <v>62.25243153</v>
      </c>
      <c r="O837" s="117" t="b">
        <f t="shared" si="2"/>
        <v>1</v>
      </c>
      <c r="P837" s="117" t="b">
        <v>1</v>
      </c>
      <c r="Q837" s="117" t="s">
        <v>368</v>
      </c>
    </row>
    <row r="838" hidden="1">
      <c r="A838" s="108"/>
      <c r="B838" s="220"/>
      <c r="C838" s="220" t="s">
        <v>50</v>
      </c>
      <c r="D838" s="220" t="str">
        <f>vlookup(M838,'Página10'!A:B,2,false)</f>
        <v>INOV00006</v>
      </c>
      <c r="E838" s="134" t="s">
        <v>137</v>
      </c>
      <c r="F838" s="221">
        <v>45069.0</v>
      </c>
      <c r="G838" s="222">
        <v>0.0625</v>
      </c>
      <c r="H838" s="134" t="s">
        <v>479</v>
      </c>
      <c r="I838" s="223" t="s">
        <v>479</v>
      </c>
      <c r="J838" s="223" t="b">
        <f t="shared" si="1"/>
        <v>1</v>
      </c>
      <c r="K838" s="145" t="s">
        <v>976</v>
      </c>
      <c r="L838" s="156"/>
      <c r="M838" s="134" t="s">
        <v>422</v>
      </c>
      <c r="N838" s="150">
        <f>if(and(O838=TRUE,P838=TRUE), VLOOKUP($E838,PESSOAL!$B$35:$S$45,MONTH($F838)+6,false)*G838*24,0)</f>
        <v>0</v>
      </c>
      <c r="O838" s="117" t="b">
        <f t="shared" si="2"/>
        <v>0</v>
      </c>
      <c r="P838" s="117" t="b">
        <v>1</v>
      </c>
      <c r="Q838" s="117" t="s">
        <v>368</v>
      </c>
    </row>
    <row r="839" hidden="1">
      <c r="A839" s="108"/>
      <c r="B839" s="220"/>
      <c r="C839" s="220" t="s">
        <v>433</v>
      </c>
      <c r="D839" s="220" t="str">
        <f>vlookup(M839,'Página10'!A:B,2,false)</f>
        <v>INOV00019</v>
      </c>
      <c r="E839" s="134" t="s">
        <v>137</v>
      </c>
      <c r="F839" s="221">
        <v>45072.0</v>
      </c>
      <c r="G839" s="222">
        <v>0.25</v>
      </c>
      <c r="H839" s="134" t="s">
        <v>411</v>
      </c>
      <c r="I839" s="223" t="s">
        <v>411</v>
      </c>
      <c r="J839" s="223" t="b">
        <f t="shared" si="1"/>
        <v>1</v>
      </c>
      <c r="K839" s="145" t="s">
        <v>1011</v>
      </c>
      <c r="L839" s="156"/>
      <c r="M839" s="134" t="s">
        <v>432</v>
      </c>
      <c r="N839" s="150">
        <f>if(and(O839=TRUE,P839=TRUE), VLOOKUP($E839,PESSOAL!$B$35:$S$45,MONTH($F839)+6,false)*G839*24,0)</f>
        <v>0</v>
      </c>
      <c r="O839" s="117" t="b">
        <f t="shared" si="2"/>
        <v>1</v>
      </c>
      <c r="P839" s="117" t="b">
        <v>0</v>
      </c>
      <c r="Q839" s="117" t="s">
        <v>368</v>
      </c>
    </row>
    <row r="840" hidden="1">
      <c r="A840" s="108"/>
      <c r="B840" s="220"/>
      <c r="C840" s="220" t="s">
        <v>55</v>
      </c>
      <c r="D840" s="220" t="str">
        <f>vlookup(M840,'Página10'!A:B,2,false)</f>
        <v>INOV00017</v>
      </c>
      <c r="E840" s="134" t="s">
        <v>137</v>
      </c>
      <c r="F840" s="221">
        <v>45072.0</v>
      </c>
      <c r="G840" s="222">
        <v>0.0625</v>
      </c>
      <c r="H840" s="134" t="s">
        <v>411</v>
      </c>
      <c r="I840" s="223" t="s">
        <v>411</v>
      </c>
      <c r="J840" s="223" t="b">
        <f t="shared" si="1"/>
        <v>1</v>
      </c>
      <c r="K840" s="145" t="s">
        <v>1012</v>
      </c>
      <c r="L840" s="156"/>
      <c r="M840" s="134" t="s">
        <v>429</v>
      </c>
      <c r="N840" s="150">
        <f>if(and(O840=TRUE,P840=TRUE), VLOOKUP($E840,PESSOAL!$B$35:$S$45,MONTH($F840)+6,false)*G840*24,0)</f>
        <v>62.25243153</v>
      </c>
      <c r="O840" s="117" t="b">
        <f t="shared" si="2"/>
        <v>1</v>
      </c>
      <c r="P840" s="117" t="b">
        <v>1</v>
      </c>
      <c r="Q840" s="117" t="s">
        <v>368</v>
      </c>
    </row>
    <row r="841" hidden="1">
      <c r="A841" s="108"/>
      <c r="B841" s="220"/>
      <c r="C841" s="220" t="s">
        <v>50</v>
      </c>
      <c r="D841" s="220" t="str">
        <f>vlookup(M841,'Página10'!A:B,2,false)</f>
        <v>INOV00006</v>
      </c>
      <c r="E841" s="134" t="s">
        <v>137</v>
      </c>
      <c r="F841" s="221">
        <v>45075.0</v>
      </c>
      <c r="G841" s="222">
        <v>0.020833333333333332</v>
      </c>
      <c r="H841" s="134" t="s">
        <v>411</v>
      </c>
      <c r="I841" s="223" t="s">
        <v>411</v>
      </c>
      <c r="J841" s="223" t="b">
        <f t="shared" si="1"/>
        <v>1</v>
      </c>
      <c r="K841" s="145" t="s">
        <v>1013</v>
      </c>
      <c r="L841" s="156"/>
      <c r="M841" s="134" t="s">
        <v>422</v>
      </c>
      <c r="N841" s="150">
        <f>if(and(O841=TRUE,P841=TRUE), VLOOKUP($E841,PESSOAL!$B$35:$S$45,MONTH($F841)+6,false)*G841*24,0)</f>
        <v>20.75081051</v>
      </c>
      <c r="O841" s="117" t="b">
        <f t="shared" si="2"/>
        <v>1</v>
      </c>
      <c r="P841" s="117" t="b">
        <v>1</v>
      </c>
      <c r="Q841" s="117" t="s">
        <v>368</v>
      </c>
    </row>
    <row r="842" hidden="1">
      <c r="A842" s="108"/>
      <c r="B842" s="220"/>
      <c r="C842" s="220" t="s">
        <v>50</v>
      </c>
      <c r="D842" s="220" t="str">
        <f>vlookup(M842,'Página10'!A:B,2,false)</f>
        <v>INOV00006</v>
      </c>
      <c r="E842" s="134" t="s">
        <v>137</v>
      </c>
      <c r="F842" s="221">
        <v>45075.0</v>
      </c>
      <c r="G842" s="222">
        <v>0.041666666666666664</v>
      </c>
      <c r="H842" s="134" t="s">
        <v>411</v>
      </c>
      <c r="I842" s="223" t="s">
        <v>411</v>
      </c>
      <c r="J842" s="223" t="b">
        <f t="shared" si="1"/>
        <v>1</v>
      </c>
      <c r="K842" s="145" t="s">
        <v>1014</v>
      </c>
      <c r="L842" s="156"/>
      <c r="M842" s="134" t="s">
        <v>422</v>
      </c>
      <c r="N842" s="150">
        <f>if(and(O842=TRUE,P842=TRUE), VLOOKUP($E842,PESSOAL!$B$35:$S$45,MONTH($F842)+6,false)*G842*24,0)</f>
        <v>41.50162102</v>
      </c>
      <c r="O842" s="117" t="b">
        <f t="shared" si="2"/>
        <v>1</v>
      </c>
      <c r="P842" s="117" t="b">
        <v>1</v>
      </c>
      <c r="Q842" s="117" t="s">
        <v>368</v>
      </c>
    </row>
    <row r="843" hidden="1">
      <c r="A843" s="108"/>
      <c r="B843" s="220"/>
      <c r="C843" s="220" t="s">
        <v>55</v>
      </c>
      <c r="D843" s="220" t="str">
        <f>vlookup(M843,'Página10'!A:B,2,false)</f>
        <v>INOV00017</v>
      </c>
      <c r="E843" s="134" t="s">
        <v>137</v>
      </c>
      <c r="F843" s="221">
        <v>45076.0</v>
      </c>
      <c r="G843" s="222">
        <v>0.041666666666666664</v>
      </c>
      <c r="H843" s="134" t="s">
        <v>411</v>
      </c>
      <c r="I843" s="223" t="s">
        <v>411</v>
      </c>
      <c r="J843" s="223" t="b">
        <f t="shared" si="1"/>
        <v>1</v>
      </c>
      <c r="K843" s="145" t="s">
        <v>1015</v>
      </c>
      <c r="L843" s="156"/>
      <c r="M843" s="134" t="s">
        <v>429</v>
      </c>
      <c r="N843" s="150">
        <f>if(and(O843=TRUE,P843=TRUE), VLOOKUP($E843,PESSOAL!$B$35:$S$45,MONTH($F843)+6,false)*G843*24,0)</f>
        <v>41.50162102</v>
      </c>
      <c r="O843" s="117" t="b">
        <f t="shared" si="2"/>
        <v>1</v>
      </c>
      <c r="P843" s="117" t="b">
        <v>1</v>
      </c>
      <c r="Q843" s="117" t="s">
        <v>368</v>
      </c>
    </row>
    <row r="844" hidden="1">
      <c r="A844" s="108"/>
      <c r="B844" s="220"/>
      <c r="C844" s="220" t="s">
        <v>55</v>
      </c>
      <c r="D844" s="220" t="str">
        <f>vlookup(M844,'Página10'!A:B,2,false)</f>
        <v>INOV00017</v>
      </c>
      <c r="E844" s="134" t="s">
        <v>137</v>
      </c>
      <c r="F844" s="221">
        <v>45077.0</v>
      </c>
      <c r="G844" s="222">
        <v>0.08333333333333333</v>
      </c>
      <c r="H844" s="134" t="s">
        <v>411</v>
      </c>
      <c r="I844" s="223" t="s">
        <v>411</v>
      </c>
      <c r="J844" s="223" t="b">
        <f t="shared" si="1"/>
        <v>1</v>
      </c>
      <c r="K844" s="145" t="s">
        <v>1016</v>
      </c>
      <c r="L844" s="156"/>
      <c r="M844" s="134" t="s">
        <v>429</v>
      </c>
      <c r="N844" s="150">
        <f>if(and(O844=TRUE,P844=TRUE), VLOOKUP($E844,PESSOAL!$B$35:$S$45,MONTH($F844)+6,false)*G844*24,0)</f>
        <v>83.00324205</v>
      </c>
      <c r="O844" s="117" t="b">
        <f t="shared" si="2"/>
        <v>1</v>
      </c>
      <c r="P844" s="117" t="b">
        <v>1</v>
      </c>
      <c r="Q844" s="117" t="s">
        <v>368</v>
      </c>
    </row>
    <row r="845" hidden="1">
      <c r="A845" s="108"/>
      <c r="B845" s="220"/>
      <c r="C845" s="220" t="s">
        <v>51</v>
      </c>
      <c r="D845" s="220" t="str">
        <f>vlookup(M845,'Página10'!A:B,2,false)</f>
        <v>INOV00010</v>
      </c>
      <c r="E845" s="134" t="s">
        <v>137</v>
      </c>
      <c r="F845" s="221">
        <v>45077.0</v>
      </c>
      <c r="G845" s="222">
        <v>0.08333333333333333</v>
      </c>
      <c r="H845" s="134" t="s">
        <v>411</v>
      </c>
      <c r="I845" s="223" t="s">
        <v>411</v>
      </c>
      <c r="J845" s="223" t="b">
        <f t="shared" si="1"/>
        <v>1</v>
      </c>
      <c r="K845" s="145" t="s">
        <v>1017</v>
      </c>
      <c r="L845" s="156"/>
      <c r="M845" s="134" t="s">
        <v>423</v>
      </c>
      <c r="N845" s="150">
        <f>if(and(O845=TRUE,P845=TRUE), VLOOKUP($E845,PESSOAL!$B$35:$S$45,MONTH($F845)+6,false)*G845*24,0)</f>
        <v>83.00324205</v>
      </c>
      <c r="O845" s="117" t="b">
        <f t="shared" si="2"/>
        <v>1</v>
      </c>
      <c r="P845" s="117" t="b">
        <v>1</v>
      </c>
      <c r="Q845" s="117" t="s">
        <v>368</v>
      </c>
    </row>
    <row r="846" hidden="1">
      <c r="A846" s="108"/>
      <c r="B846" s="220"/>
      <c r="C846" s="220" t="s">
        <v>55</v>
      </c>
      <c r="D846" s="220" t="str">
        <f>vlookup(M846,'Página10'!A:B,2,false)</f>
        <v>INOV00017</v>
      </c>
      <c r="E846" s="134" t="s">
        <v>137</v>
      </c>
      <c r="F846" s="221">
        <v>45077.0</v>
      </c>
      <c r="G846" s="222">
        <v>0.08333333333333333</v>
      </c>
      <c r="H846" s="134" t="s">
        <v>411</v>
      </c>
      <c r="I846" s="223" t="s">
        <v>411</v>
      </c>
      <c r="J846" s="223" t="b">
        <f t="shared" si="1"/>
        <v>1</v>
      </c>
      <c r="K846" s="145" t="s">
        <v>1018</v>
      </c>
      <c r="L846" s="156"/>
      <c r="M846" s="134" t="s">
        <v>429</v>
      </c>
      <c r="N846" s="150">
        <f>if(and(O846=TRUE,P846=TRUE), VLOOKUP($E846,PESSOAL!$B$35:$S$45,MONTH($F846)+6,false)*G846*24,0)</f>
        <v>83.00324205</v>
      </c>
      <c r="O846" s="117" t="b">
        <f t="shared" si="2"/>
        <v>1</v>
      </c>
      <c r="P846" s="117" t="b">
        <v>1</v>
      </c>
      <c r="Q846" s="117" t="s">
        <v>368</v>
      </c>
    </row>
    <row r="847" hidden="1">
      <c r="A847" s="108"/>
      <c r="B847" s="220"/>
      <c r="C847" s="220" t="s">
        <v>51</v>
      </c>
      <c r="D847" s="220" t="str">
        <f>vlookup(M847,'Página10'!A:B,2,false)</f>
        <v>INOV00010</v>
      </c>
      <c r="E847" s="134" t="s">
        <v>137</v>
      </c>
      <c r="F847" s="221">
        <v>45077.0</v>
      </c>
      <c r="G847" s="222">
        <v>0.0625</v>
      </c>
      <c r="H847" s="134" t="s">
        <v>411</v>
      </c>
      <c r="I847" s="223" t="s">
        <v>411</v>
      </c>
      <c r="J847" s="223" t="b">
        <f t="shared" si="1"/>
        <v>1</v>
      </c>
      <c r="K847" s="145" t="s">
        <v>1019</v>
      </c>
      <c r="L847" s="156"/>
      <c r="M847" s="134" t="s">
        <v>423</v>
      </c>
      <c r="N847" s="150">
        <f>if(and(O847=TRUE,P847=TRUE), VLOOKUP($E847,PESSOAL!$B$35:$S$45,MONTH($F847)+6,false)*G847*24,0)</f>
        <v>62.25243153</v>
      </c>
      <c r="O847" s="117" t="b">
        <f t="shared" si="2"/>
        <v>1</v>
      </c>
      <c r="P847" s="117" t="b">
        <v>1</v>
      </c>
      <c r="Q847" s="117" t="s">
        <v>368</v>
      </c>
    </row>
    <row r="848" hidden="1">
      <c r="A848" s="108"/>
      <c r="B848" s="220"/>
      <c r="C848" s="220" t="s">
        <v>51</v>
      </c>
      <c r="D848" s="220" t="str">
        <f>vlookup(M848,'Página10'!A:B,2,false)</f>
        <v>INOV00010</v>
      </c>
      <c r="E848" s="134" t="s">
        <v>137</v>
      </c>
      <c r="F848" s="221">
        <v>45077.0</v>
      </c>
      <c r="G848" s="222">
        <v>0.041666666666666664</v>
      </c>
      <c r="H848" s="134" t="s">
        <v>411</v>
      </c>
      <c r="I848" s="223" t="s">
        <v>411</v>
      </c>
      <c r="J848" s="223" t="b">
        <f t="shared" si="1"/>
        <v>1</v>
      </c>
      <c r="K848" s="145" t="s">
        <v>1020</v>
      </c>
      <c r="L848" s="156"/>
      <c r="M848" s="134" t="s">
        <v>423</v>
      </c>
      <c r="N848" s="150">
        <f>if(and(O848=TRUE,P848=TRUE), VLOOKUP($E848,PESSOAL!$B$35:$S$45,MONTH($F848)+6,false)*G848*24,0)</f>
        <v>41.50162102</v>
      </c>
      <c r="O848" s="117" t="b">
        <f t="shared" si="2"/>
        <v>1</v>
      </c>
      <c r="P848" s="117" t="b">
        <v>1</v>
      </c>
      <c r="Q848" s="117" t="s">
        <v>368</v>
      </c>
    </row>
    <row r="849" hidden="1">
      <c r="A849" s="108"/>
      <c r="B849" s="220"/>
      <c r="C849" s="220" t="s">
        <v>51</v>
      </c>
      <c r="D849" s="220" t="str">
        <f>vlookup(M849,'Página10'!A:B,2,false)</f>
        <v>INOV00010</v>
      </c>
      <c r="E849" s="134" t="s">
        <v>137</v>
      </c>
      <c r="F849" s="221">
        <v>45078.0</v>
      </c>
      <c r="G849" s="222">
        <v>0.041666666666666664</v>
      </c>
      <c r="H849" s="134" t="s">
        <v>411</v>
      </c>
      <c r="I849" s="223" t="s">
        <v>411</v>
      </c>
      <c r="J849" s="223" t="b">
        <f t="shared" si="1"/>
        <v>1</v>
      </c>
      <c r="K849" s="145" t="s">
        <v>1021</v>
      </c>
      <c r="L849" s="156"/>
      <c r="M849" s="134" t="s">
        <v>423</v>
      </c>
      <c r="N849" s="150">
        <f>if(and(O849=TRUE,P849=TRUE), VLOOKUP($E849,PESSOAL!$B$35:$S$45,MONTH($F849)+6,false)*G849*24,0)</f>
        <v>46.5104061</v>
      </c>
      <c r="O849" s="117" t="b">
        <f t="shared" si="2"/>
        <v>1</v>
      </c>
      <c r="P849" s="117" t="b">
        <v>1</v>
      </c>
      <c r="Q849" s="117" t="s">
        <v>368</v>
      </c>
    </row>
    <row r="850" hidden="1">
      <c r="A850" s="108"/>
      <c r="B850" s="220"/>
      <c r="C850" s="220" t="s">
        <v>50</v>
      </c>
      <c r="D850" s="220" t="str">
        <f>vlookup(M850,'Página10'!A:B,2,false)</f>
        <v>INOV00006</v>
      </c>
      <c r="E850" s="134" t="s">
        <v>137</v>
      </c>
      <c r="F850" s="221">
        <v>45078.0</v>
      </c>
      <c r="G850" s="222">
        <v>0.20833333333333334</v>
      </c>
      <c r="H850" s="134" t="s">
        <v>411</v>
      </c>
      <c r="I850" s="223" t="s">
        <v>411</v>
      </c>
      <c r="J850" s="223" t="b">
        <f t="shared" si="1"/>
        <v>1</v>
      </c>
      <c r="K850" s="145" t="s">
        <v>1022</v>
      </c>
      <c r="L850" s="156"/>
      <c r="M850" s="134" t="s">
        <v>422</v>
      </c>
      <c r="N850" s="150">
        <f>if(and(O850=TRUE,P850=TRUE), VLOOKUP($E850,PESSOAL!$B$35:$S$45,MONTH($F850)+6,false)*G850*24,0)</f>
        <v>232.5520305</v>
      </c>
      <c r="O850" s="117" t="b">
        <f t="shared" si="2"/>
        <v>1</v>
      </c>
      <c r="P850" s="117" t="b">
        <v>1</v>
      </c>
      <c r="Q850" s="117" t="s">
        <v>368</v>
      </c>
    </row>
    <row r="851" hidden="1">
      <c r="A851" s="108"/>
      <c r="B851" s="220"/>
      <c r="C851" s="220" t="s">
        <v>50</v>
      </c>
      <c r="D851" s="220" t="str">
        <f>vlookup(M851,'Página10'!A:B,2,false)</f>
        <v>INOV00006</v>
      </c>
      <c r="E851" s="134" t="s">
        <v>137</v>
      </c>
      <c r="F851" s="221">
        <v>45078.0</v>
      </c>
      <c r="G851" s="222">
        <v>0.125</v>
      </c>
      <c r="H851" s="134" t="s">
        <v>411</v>
      </c>
      <c r="I851" s="223" t="s">
        <v>411</v>
      </c>
      <c r="J851" s="223" t="b">
        <f t="shared" si="1"/>
        <v>1</v>
      </c>
      <c r="K851" s="145" t="s">
        <v>1022</v>
      </c>
      <c r="L851" s="156"/>
      <c r="M851" s="134" t="s">
        <v>422</v>
      </c>
      <c r="N851" s="150">
        <f>if(and(O851=TRUE,P851=TRUE), VLOOKUP($E851,PESSOAL!$B$35:$S$45,MONTH($F851)+6,false)*G851*24,0)</f>
        <v>139.5312183</v>
      </c>
      <c r="O851" s="117" t="b">
        <f t="shared" si="2"/>
        <v>1</v>
      </c>
      <c r="P851" s="117" t="b">
        <v>1</v>
      </c>
      <c r="Q851" s="117" t="s">
        <v>368</v>
      </c>
    </row>
    <row r="852" hidden="1">
      <c r="A852" s="108"/>
      <c r="B852" s="220"/>
      <c r="C852" s="220" t="s">
        <v>50</v>
      </c>
      <c r="D852" s="220" t="str">
        <f>vlookup(M852,'Página10'!A:B,2,false)</f>
        <v>INOV00006</v>
      </c>
      <c r="E852" s="134" t="s">
        <v>137</v>
      </c>
      <c r="F852" s="221">
        <v>45079.0</v>
      </c>
      <c r="G852" s="222">
        <v>0.041666666666666664</v>
      </c>
      <c r="H852" s="134" t="s">
        <v>411</v>
      </c>
      <c r="I852" s="223" t="s">
        <v>411</v>
      </c>
      <c r="J852" s="223" t="b">
        <f t="shared" si="1"/>
        <v>1</v>
      </c>
      <c r="K852" s="145" t="s">
        <v>1023</v>
      </c>
      <c r="L852" s="156"/>
      <c r="M852" s="134" t="s">
        <v>422</v>
      </c>
      <c r="N852" s="150">
        <f>if(and(O852=TRUE,P852=TRUE), VLOOKUP($E852,PESSOAL!$B$35:$S$45,MONTH($F852)+6,false)*G852*24,0)</f>
        <v>46.5104061</v>
      </c>
      <c r="O852" s="117" t="b">
        <f t="shared" si="2"/>
        <v>1</v>
      </c>
      <c r="P852" s="117" t="b">
        <v>1</v>
      </c>
      <c r="Q852" s="117" t="s">
        <v>368</v>
      </c>
    </row>
    <row r="853" hidden="1">
      <c r="A853" s="108"/>
      <c r="B853" s="220"/>
      <c r="C853" s="220" t="s">
        <v>50</v>
      </c>
      <c r="D853" s="220" t="str">
        <f>vlookup(M853,'Página10'!A:B,2,false)</f>
        <v>INOV00006</v>
      </c>
      <c r="E853" s="134" t="s">
        <v>137</v>
      </c>
      <c r="F853" s="221">
        <v>45083.0</v>
      </c>
      <c r="G853" s="222">
        <v>0.041666666666666664</v>
      </c>
      <c r="H853" s="134" t="s">
        <v>411</v>
      </c>
      <c r="I853" s="223" t="s">
        <v>411</v>
      </c>
      <c r="J853" s="223" t="b">
        <f t="shared" si="1"/>
        <v>1</v>
      </c>
      <c r="K853" s="145" t="s">
        <v>1024</v>
      </c>
      <c r="L853" s="156"/>
      <c r="M853" s="134" t="s">
        <v>422</v>
      </c>
      <c r="N853" s="150">
        <f>if(and(O853=TRUE,P853=TRUE), VLOOKUP($E853,PESSOAL!$B$35:$S$45,MONTH($F853)+6,false)*G853*24,0)</f>
        <v>46.5104061</v>
      </c>
      <c r="O853" s="117" t="b">
        <f t="shared" si="2"/>
        <v>1</v>
      </c>
      <c r="P853" s="117" t="b">
        <v>1</v>
      </c>
      <c r="Q853" s="117" t="s">
        <v>368</v>
      </c>
    </row>
    <row r="854" hidden="1">
      <c r="A854" s="108"/>
      <c r="B854" s="220"/>
      <c r="C854" s="220" t="s">
        <v>55</v>
      </c>
      <c r="D854" s="220" t="str">
        <f>vlookup(M854,'Página10'!A:B,2,false)</f>
        <v>INOV00017</v>
      </c>
      <c r="E854" s="134" t="s">
        <v>137</v>
      </c>
      <c r="F854" s="221">
        <v>45083.0</v>
      </c>
      <c r="G854" s="222">
        <v>0.0625</v>
      </c>
      <c r="H854" s="134" t="s">
        <v>411</v>
      </c>
      <c r="I854" s="223" t="s">
        <v>411</v>
      </c>
      <c r="J854" s="223" t="b">
        <f t="shared" si="1"/>
        <v>1</v>
      </c>
      <c r="K854" s="145" t="s">
        <v>1025</v>
      </c>
      <c r="L854" s="156"/>
      <c r="M854" s="134" t="s">
        <v>429</v>
      </c>
      <c r="N854" s="150">
        <f>if(and(O854=TRUE,P854=TRUE), VLOOKUP($E854,PESSOAL!$B$35:$S$45,MONTH($F854)+6,false)*G854*24,0)</f>
        <v>69.76560915</v>
      </c>
      <c r="O854" s="117" t="b">
        <f t="shared" si="2"/>
        <v>1</v>
      </c>
      <c r="P854" s="117" t="b">
        <v>1</v>
      </c>
      <c r="Q854" s="117" t="s">
        <v>368</v>
      </c>
    </row>
    <row r="855" hidden="1">
      <c r="A855" s="108"/>
      <c r="B855" s="220"/>
      <c r="C855" s="220" t="s">
        <v>55</v>
      </c>
      <c r="D855" s="220" t="str">
        <f>vlookup(M855,'Página10'!A:B,2,false)</f>
        <v>INOV00017</v>
      </c>
      <c r="E855" s="134" t="s">
        <v>137</v>
      </c>
      <c r="F855" s="221">
        <v>45084.0</v>
      </c>
      <c r="G855" s="222">
        <v>0.0625</v>
      </c>
      <c r="H855" s="134" t="s">
        <v>411</v>
      </c>
      <c r="I855" s="223" t="s">
        <v>411</v>
      </c>
      <c r="J855" s="223" t="b">
        <f t="shared" si="1"/>
        <v>1</v>
      </c>
      <c r="K855" s="145" t="s">
        <v>1026</v>
      </c>
      <c r="L855" s="156"/>
      <c r="M855" s="134" t="s">
        <v>429</v>
      </c>
      <c r="N855" s="150">
        <f>if(and(O855=TRUE,P855=TRUE), VLOOKUP($E855,PESSOAL!$B$35:$S$45,MONTH($F855)+6,false)*G855*24,0)</f>
        <v>69.76560915</v>
      </c>
      <c r="O855" s="117" t="b">
        <f t="shared" si="2"/>
        <v>1</v>
      </c>
      <c r="P855" s="117" t="b">
        <v>1</v>
      </c>
      <c r="Q855" s="117" t="s">
        <v>368</v>
      </c>
    </row>
    <row r="856" hidden="1">
      <c r="A856" s="108"/>
      <c r="B856" s="220"/>
      <c r="C856" s="220" t="s">
        <v>68</v>
      </c>
      <c r="D856" s="220" t="str">
        <f>vlookup(M856,'Página10'!A:B,2,false)</f>
        <v>INOV00040</v>
      </c>
      <c r="E856" s="134" t="s">
        <v>137</v>
      </c>
      <c r="F856" s="221">
        <v>45089.0</v>
      </c>
      <c r="G856" s="222">
        <v>0.020833333333333332</v>
      </c>
      <c r="H856" s="134" t="s">
        <v>411</v>
      </c>
      <c r="I856" s="223" t="s">
        <v>411</v>
      </c>
      <c r="J856" s="223" t="b">
        <f t="shared" si="1"/>
        <v>1</v>
      </c>
      <c r="K856" s="145" t="s">
        <v>1027</v>
      </c>
      <c r="L856" s="156"/>
      <c r="M856" s="134" t="s">
        <v>462</v>
      </c>
      <c r="N856" s="150">
        <f>if(and(O856=TRUE,P856=TRUE), VLOOKUP($E856,PESSOAL!$B$35:$S$45,MONTH($F856)+6,false)*G856*24,0)</f>
        <v>0</v>
      </c>
      <c r="O856" s="117" t="b">
        <f t="shared" si="2"/>
        <v>1</v>
      </c>
      <c r="P856" s="117" t="b">
        <v>0</v>
      </c>
      <c r="Q856" s="117" t="s">
        <v>368</v>
      </c>
    </row>
    <row r="857" hidden="1">
      <c r="A857" s="108"/>
      <c r="B857" s="220"/>
      <c r="C857" s="220" t="s">
        <v>431</v>
      </c>
      <c r="D857" s="220" t="str">
        <f>vlookup(M857,'Página10'!A:B,2,false)</f>
        <v>INOV00018</v>
      </c>
      <c r="E857" s="134" t="s">
        <v>137</v>
      </c>
      <c r="F857" s="221">
        <v>45091.0</v>
      </c>
      <c r="G857" s="222">
        <v>0.020833333333333332</v>
      </c>
      <c r="H857" s="134" t="s">
        <v>411</v>
      </c>
      <c r="I857" s="223" t="s">
        <v>411</v>
      </c>
      <c r="J857" s="223" t="b">
        <f t="shared" si="1"/>
        <v>1</v>
      </c>
      <c r="K857" s="145" t="s">
        <v>1028</v>
      </c>
      <c r="L857" s="156"/>
      <c r="M857" s="134" t="s">
        <v>430</v>
      </c>
      <c r="N857" s="150">
        <f>if(and(O857=TRUE,P857=TRUE), VLOOKUP($E857,PESSOAL!$B$35:$S$45,MONTH($F857)+6,false)*G857*24,0)</f>
        <v>0</v>
      </c>
      <c r="O857" s="117" t="b">
        <f t="shared" si="2"/>
        <v>1</v>
      </c>
      <c r="P857" s="117" t="b">
        <v>0</v>
      </c>
      <c r="Q857" s="117" t="s">
        <v>368</v>
      </c>
    </row>
    <row r="858" hidden="1">
      <c r="A858" s="108"/>
      <c r="B858" s="220"/>
      <c r="C858" s="220" t="s">
        <v>61</v>
      </c>
      <c r="D858" s="220" t="str">
        <f>vlookup(M858,'Página10'!A:B,2,false)</f>
        <v>INOV00031</v>
      </c>
      <c r="E858" s="134" t="s">
        <v>137</v>
      </c>
      <c r="F858" s="221">
        <v>45092.0</v>
      </c>
      <c r="G858" s="222">
        <v>0.0625</v>
      </c>
      <c r="H858" s="134" t="s">
        <v>411</v>
      </c>
      <c r="I858" s="223" t="s">
        <v>411</v>
      </c>
      <c r="J858" s="223" t="b">
        <f t="shared" si="1"/>
        <v>1</v>
      </c>
      <c r="K858" s="145" t="s">
        <v>1029</v>
      </c>
      <c r="L858" s="156"/>
      <c r="M858" s="134" t="s">
        <v>451</v>
      </c>
      <c r="N858" s="150">
        <f>if(and(O858=TRUE,P858=TRUE), VLOOKUP($E858,PESSOAL!$B$35:$S$45,MONTH($F858)+6,false)*G858*24,0)</f>
        <v>69.76560915</v>
      </c>
      <c r="O858" s="117" t="b">
        <f t="shared" si="2"/>
        <v>1</v>
      </c>
      <c r="P858" s="117" t="b">
        <v>1</v>
      </c>
      <c r="Q858" s="117" t="s">
        <v>368</v>
      </c>
    </row>
    <row r="859" hidden="1">
      <c r="A859" s="108"/>
      <c r="B859" s="220"/>
      <c r="C859" s="220" t="s">
        <v>55</v>
      </c>
      <c r="D859" s="220" t="str">
        <f>vlookup(M859,'Página10'!A:B,2,false)</f>
        <v>INOV00017</v>
      </c>
      <c r="E859" s="134" t="s">
        <v>137</v>
      </c>
      <c r="F859" s="221">
        <v>45092.0</v>
      </c>
      <c r="G859" s="222">
        <v>0.125</v>
      </c>
      <c r="H859" s="134" t="s">
        <v>411</v>
      </c>
      <c r="I859" s="223" t="s">
        <v>411</v>
      </c>
      <c r="J859" s="223" t="b">
        <f t="shared" si="1"/>
        <v>1</v>
      </c>
      <c r="K859" s="145" t="s">
        <v>1030</v>
      </c>
      <c r="L859" s="156"/>
      <c r="M859" s="134" t="s">
        <v>429</v>
      </c>
      <c r="N859" s="150">
        <f>if(and(O859=TRUE,P859=TRUE), VLOOKUP($E859,PESSOAL!$B$35:$S$45,MONTH($F859)+6,false)*G859*24,0)</f>
        <v>139.5312183</v>
      </c>
      <c r="O859" s="117" t="b">
        <f t="shared" si="2"/>
        <v>1</v>
      </c>
      <c r="P859" s="117" t="b">
        <v>1</v>
      </c>
      <c r="Q859" s="117" t="s">
        <v>368</v>
      </c>
    </row>
    <row r="860" hidden="1">
      <c r="A860" s="108"/>
      <c r="B860" s="220"/>
      <c r="C860" s="220" t="s">
        <v>61</v>
      </c>
      <c r="D860" s="220" t="str">
        <f>vlookup(M860,'Página10'!A:B,2,false)</f>
        <v>INOV00031</v>
      </c>
      <c r="E860" s="134" t="s">
        <v>137</v>
      </c>
      <c r="F860" s="221">
        <v>45092.0</v>
      </c>
      <c r="G860" s="222">
        <v>0.041666666666666664</v>
      </c>
      <c r="H860" s="134" t="s">
        <v>411</v>
      </c>
      <c r="I860" s="223" t="s">
        <v>411</v>
      </c>
      <c r="J860" s="223" t="b">
        <f t="shared" si="1"/>
        <v>1</v>
      </c>
      <c r="K860" s="145" t="s">
        <v>1031</v>
      </c>
      <c r="L860" s="156"/>
      <c r="M860" s="134" t="s">
        <v>451</v>
      </c>
      <c r="N860" s="150">
        <f>if(and(O860=TRUE,P860=TRUE), VLOOKUP($E860,PESSOAL!$B$35:$S$45,MONTH($F860)+6,false)*G860*24,0)</f>
        <v>46.5104061</v>
      </c>
      <c r="O860" s="117" t="b">
        <f t="shared" si="2"/>
        <v>1</v>
      </c>
      <c r="P860" s="117" t="b">
        <v>1</v>
      </c>
      <c r="Q860" s="117" t="s">
        <v>368</v>
      </c>
    </row>
    <row r="861" hidden="1">
      <c r="A861" s="108"/>
      <c r="B861" s="220"/>
      <c r="C861" s="220" t="s">
        <v>51</v>
      </c>
      <c r="D861" s="220" t="str">
        <f>vlookup(M861,'Página10'!A:B,2,false)</f>
        <v>INOV00010</v>
      </c>
      <c r="E861" s="134" t="s">
        <v>137</v>
      </c>
      <c r="F861" s="221">
        <v>45098.0</v>
      </c>
      <c r="G861" s="222">
        <v>0.041666666666666664</v>
      </c>
      <c r="H861" s="134" t="s">
        <v>411</v>
      </c>
      <c r="I861" s="223" t="s">
        <v>411</v>
      </c>
      <c r="J861" s="223" t="b">
        <f t="shared" si="1"/>
        <v>1</v>
      </c>
      <c r="K861" s="145" t="s">
        <v>1032</v>
      </c>
      <c r="L861" s="156"/>
      <c r="M861" s="134" t="s">
        <v>423</v>
      </c>
      <c r="N861" s="150">
        <f>if(and(O861=TRUE,P861=TRUE), VLOOKUP($E861,PESSOAL!$B$35:$S$45,MONTH($F861)+6,false)*G861*24,0)</f>
        <v>46.5104061</v>
      </c>
      <c r="O861" s="117" t="b">
        <f t="shared" si="2"/>
        <v>1</v>
      </c>
      <c r="P861" s="117" t="b">
        <v>1</v>
      </c>
      <c r="Q861" s="117" t="s">
        <v>368</v>
      </c>
    </row>
    <row r="862" hidden="1">
      <c r="A862" s="108"/>
      <c r="B862" s="220"/>
      <c r="C862" s="220" t="s">
        <v>68</v>
      </c>
      <c r="D862" s="220" t="str">
        <f>vlookup(M862,'Página10'!A:B,2,false)</f>
        <v>INOV00040</v>
      </c>
      <c r="E862" s="134" t="s">
        <v>137</v>
      </c>
      <c r="F862" s="221">
        <v>45098.0</v>
      </c>
      <c r="G862" s="222">
        <v>0.020833333333333332</v>
      </c>
      <c r="H862" s="134" t="s">
        <v>411</v>
      </c>
      <c r="I862" s="223" t="s">
        <v>411</v>
      </c>
      <c r="J862" s="223" t="b">
        <f t="shared" si="1"/>
        <v>1</v>
      </c>
      <c r="K862" s="145" t="s">
        <v>1033</v>
      </c>
      <c r="L862" s="156"/>
      <c r="M862" s="134" t="s">
        <v>462</v>
      </c>
      <c r="N862" s="150">
        <f>if(and(O862=TRUE,P862=TRUE), VLOOKUP($E862,PESSOAL!$B$35:$S$45,MONTH($F862)+6,false)*G862*24,0)</f>
        <v>0</v>
      </c>
      <c r="O862" s="117" t="b">
        <f t="shared" si="2"/>
        <v>1</v>
      </c>
      <c r="P862" s="117" t="b">
        <v>0</v>
      </c>
      <c r="Q862" s="117" t="s">
        <v>368</v>
      </c>
    </row>
    <row r="863" hidden="1">
      <c r="A863" s="108"/>
      <c r="B863" s="220"/>
      <c r="C863" s="220" t="s">
        <v>50</v>
      </c>
      <c r="D863" s="220" t="str">
        <f>vlookup(M863,'Página10'!A:B,2,false)</f>
        <v>INOV00006</v>
      </c>
      <c r="E863" s="134" t="s">
        <v>137</v>
      </c>
      <c r="F863" s="221">
        <v>45099.0</v>
      </c>
      <c r="G863" s="222">
        <v>0.020833333333333332</v>
      </c>
      <c r="H863" s="134" t="s">
        <v>411</v>
      </c>
      <c r="I863" s="223" t="s">
        <v>411</v>
      </c>
      <c r="J863" s="223" t="b">
        <f t="shared" si="1"/>
        <v>1</v>
      </c>
      <c r="K863" s="145" t="s">
        <v>971</v>
      </c>
      <c r="L863" s="156"/>
      <c r="M863" s="134" t="s">
        <v>422</v>
      </c>
      <c r="N863" s="150">
        <f>if(and(O863=TRUE,P863=TRUE), VLOOKUP($E863,PESSOAL!$B$35:$S$45,MONTH($F863)+6,false)*G863*24,0)</f>
        <v>23.25520305</v>
      </c>
      <c r="O863" s="117" t="b">
        <f t="shared" si="2"/>
        <v>1</v>
      </c>
      <c r="P863" s="117" t="b">
        <v>1</v>
      </c>
      <c r="Q863" s="117" t="s">
        <v>368</v>
      </c>
    </row>
    <row r="864" hidden="1">
      <c r="A864" s="108"/>
      <c r="B864" s="220"/>
      <c r="C864" s="220" t="s">
        <v>55</v>
      </c>
      <c r="D864" s="220" t="str">
        <f>vlookup(M864,'Página10'!A:B,2,false)</f>
        <v>INOV00017</v>
      </c>
      <c r="E864" s="134" t="s">
        <v>137</v>
      </c>
      <c r="F864" s="221">
        <v>45103.0</v>
      </c>
      <c r="G864" s="222">
        <v>0.16666666666666666</v>
      </c>
      <c r="H864" s="134" t="s">
        <v>411</v>
      </c>
      <c r="I864" s="223" t="s">
        <v>411</v>
      </c>
      <c r="J864" s="223" t="b">
        <f t="shared" si="1"/>
        <v>1</v>
      </c>
      <c r="K864" s="145" t="s">
        <v>1034</v>
      </c>
      <c r="L864" s="156"/>
      <c r="M864" s="134" t="s">
        <v>429</v>
      </c>
      <c r="N864" s="150">
        <f>if(and(O864=TRUE,P864=TRUE), VLOOKUP($E864,PESSOAL!$B$35:$S$45,MONTH($F864)+6,false)*G864*24,0)</f>
        <v>186.0416244</v>
      </c>
      <c r="O864" s="117" t="b">
        <f t="shared" si="2"/>
        <v>1</v>
      </c>
      <c r="P864" s="117" t="b">
        <v>1</v>
      </c>
      <c r="Q864" s="117" t="s">
        <v>368</v>
      </c>
    </row>
    <row r="865" hidden="1">
      <c r="A865" s="108"/>
      <c r="B865" s="220"/>
      <c r="C865" s="220" t="s">
        <v>68</v>
      </c>
      <c r="D865" s="220" t="str">
        <f>vlookup(M865,'Página10'!A:B,2,false)</f>
        <v>INOV00040</v>
      </c>
      <c r="E865" s="134" t="s">
        <v>137</v>
      </c>
      <c r="F865" s="221">
        <v>45103.0</v>
      </c>
      <c r="G865" s="222">
        <v>0.08333333333333333</v>
      </c>
      <c r="H865" s="134" t="s">
        <v>411</v>
      </c>
      <c r="I865" s="223" t="s">
        <v>411</v>
      </c>
      <c r="J865" s="223" t="b">
        <f t="shared" si="1"/>
        <v>1</v>
      </c>
      <c r="K865" s="145" t="s">
        <v>1035</v>
      </c>
      <c r="L865" s="156"/>
      <c r="M865" s="134" t="s">
        <v>462</v>
      </c>
      <c r="N865" s="150">
        <f>if(and(O865=TRUE,P865=TRUE), VLOOKUP($E865,PESSOAL!$B$35:$S$45,MONTH($F865)+6,false)*G865*24,0)</f>
        <v>0</v>
      </c>
      <c r="O865" s="117" t="b">
        <f t="shared" si="2"/>
        <v>1</v>
      </c>
      <c r="P865" s="117" t="b">
        <v>0</v>
      </c>
      <c r="Q865" s="117" t="s">
        <v>368</v>
      </c>
    </row>
    <row r="866" hidden="1">
      <c r="A866" s="108"/>
      <c r="B866" s="220"/>
      <c r="C866" s="220" t="s">
        <v>50</v>
      </c>
      <c r="D866" s="220" t="str">
        <f>vlookup(M866,'Página10'!A:B,2,false)</f>
        <v>INOV00006</v>
      </c>
      <c r="E866" s="134" t="s">
        <v>137</v>
      </c>
      <c r="F866" s="221">
        <v>45104.0</v>
      </c>
      <c r="G866" s="222">
        <v>0.16666666666666666</v>
      </c>
      <c r="H866" s="134" t="s">
        <v>411</v>
      </c>
      <c r="I866" s="223" t="s">
        <v>411</v>
      </c>
      <c r="J866" s="223" t="b">
        <f t="shared" si="1"/>
        <v>1</v>
      </c>
      <c r="K866" s="145" t="s">
        <v>1036</v>
      </c>
      <c r="L866" s="156"/>
      <c r="M866" s="134" t="s">
        <v>422</v>
      </c>
      <c r="N866" s="150">
        <f>if(and(O866=TRUE,P866=TRUE), VLOOKUP($E866,PESSOAL!$B$35:$S$45,MONTH($F866)+6,false)*G866*24,0)</f>
        <v>186.0416244</v>
      </c>
      <c r="O866" s="117" t="b">
        <f t="shared" si="2"/>
        <v>1</v>
      </c>
      <c r="P866" s="117" t="b">
        <v>1</v>
      </c>
      <c r="Q866" s="117" t="s">
        <v>368</v>
      </c>
    </row>
    <row r="867" hidden="1">
      <c r="A867" s="108"/>
      <c r="B867" s="220"/>
      <c r="C867" s="220" t="s">
        <v>55</v>
      </c>
      <c r="D867" s="220" t="str">
        <f>vlookup(M867,'Página10'!A:B,2,false)</f>
        <v>INOV00017</v>
      </c>
      <c r="E867" s="134" t="s">
        <v>137</v>
      </c>
      <c r="F867" s="221">
        <v>45104.0</v>
      </c>
      <c r="G867" s="222">
        <v>0.020833333333333332</v>
      </c>
      <c r="H867" s="134" t="s">
        <v>411</v>
      </c>
      <c r="I867" s="223" t="s">
        <v>411</v>
      </c>
      <c r="J867" s="223" t="b">
        <f t="shared" si="1"/>
        <v>1</v>
      </c>
      <c r="K867" s="145" t="s">
        <v>1037</v>
      </c>
      <c r="L867" s="156"/>
      <c r="M867" s="134" t="s">
        <v>429</v>
      </c>
      <c r="N867" s="150">
        <f>if(and(O867=TRUE,P867=TRUE), VLOOKUP($E867,PESSOAL!$B$35:$S$45,MONTH($F867)+6,false)*G867*24,0)</f>
        <v>23.25520305</v>
      </c>
      <c r="O867" s="117" t="b">
        <f t="shared" si="2"/>
        <v>1</v>
      </c>
      <c r="P867" s="117" t="b">
        <v>1</v>
      </c>
      <c r="Q867" s="117" t="s">
        <v>368</v>
      </c>
    </row>
    <row r="868" hidden="1">
      <c r="A868" s="108"/>
      <c r="B868" s="220"/>
      <c r="C868" s="220" t="s">
        <v>68</v>
      </c>
      <c r="D868" s="220" t="str">
        <f>vlookup(M868,'Página10'!A:B,2,false)</f>
        <v>INOV00040</v>
      </c>
      <c r="E868" s="134" t="s">
        <v>137</v>
      </c>
      <c r="F868" s="221">
        <v>45104.0</v>
      </c>
      <c r="G868" s="222">
        <v>0.020833333333333332</v>
      </c>
      <c r="H868" s="134" t="s">
        <v>411</v>
      </c>
      <c r="I868" s="223" t="s">
        <v>411</v>
      </c>
      <c r="J868" s="223" t="b">
        <f t="shared" si="1"/>
        <v>1</v>
      </c>
      <c r="K868" s="145" t="s">
        <v>1037</v>
      </c>
      <c r="L868" s="156"/>
      <c r="M868" s="134" t="s">
        <v>462</v>
      </c>
      <c r="N868" s="150">
        <f>if(and(O868=TRUE,P868=TRUE), VLOOKUP($E868,PESSOAL!$B$35:$S$45,MONTH($F868)+6,false)*G868*24,0)</f>
        <v>0</v>
      </c>
      <c r="O868" s="117" t="b">
        <f t="shared" si="2"/>
        <v>1</v>
      </c>
      <c r="P868" s="117" t="b">
        <v>0</v>
      </c>
      <c r="Q868" s="117" t="s">
        <v>368</v>
      </c>
    </row>
    <row r="869" hidden="1">
      <c r="A869" s="108"/>
      <c r="B869" s="220"/>
      <c r="C869" s="220" t="s">
        <v>50</v>
      </c>
      <c r="D869" s="220" t="str">
        <f>vlookup(M869,'Página10'!A:B,2,false)</f>
        <v>INOV00006</v>
      </c>
      <c r="E869" s="134" t="s">
        <v>137</v>
      </c>
      <c r="F869" s="221">
        <v>45104.0</v>
      </c>
      <c r="G869" s="222">
        <v>0.08333333333333333</v>
      </c>
      <c r="H869" s="134" t="s">
        <v>479</v>
      </c>
      <c r="I869" s="223" t="s">
        <v>479</v>
      </c>
      <c r="J869" s="223" t="b">
        <f t="shared" si="1"/>
        <v>1</v>
      </c>
      <c r="K869" s="145" t="s">
        <v>1038</v>
      </c>
      <c r="L869" s="156"/>
      <c r="M869" s="134" t="s">
        <v>422</v>
      </c>
      <c r="N869" s="150">
        <f>if(and(O869=TRUE,P869=TRUE), VLOOKUP($E869,PESSOAL!$B$35:$S$45,MONTH($F869)+6,false)*G869*24,0)</f>
        <v>0</v>
      </c>
      <c r="O869" s="117" t="b">
        <f t="shared" si="2"/>
        <v>0</v>
      </c>
      <c r="P869" s="117" t="b">
        <v>1</v>
      </c>
      <c r="Q869" s="117" t="s">
        <v>368</v>
      </c>
    </row>
    <row r="870" hidden="1">
      <c r="A870" s="108"/>
      <c r="B870" s="220"/>
      <c r="C870" s="220" t="s">
        <v>50</v>
      </c>
      <c r="D870" s="220" t="str">
        <f>vlookup(M870,'Página10'!A:B,2,false)</f>
        <v>INOV00006</v>
      </c>
      <c r="E870" s="134" t="s">
        <v>137</v>
      </c>
      <c r="F870" s="221">
        <v>45105.0</v>
      </c>
      <c r="G870" s="222">
        <v>0.3541666666666667</v>
      </c>
      <c r="H870" s="134" t="s">
        <v>479</v>
      </c>
      <c r="I870" s="223" t="s">
        <v>479</v>
      </c>
      <c r="J870" s="223" t="b">
        <f t="shared" si="1"/>
        <v>1</v>
      </c>
      <c r="K870" s="145" t="s">
        <v>976</v>
      </c>
      <c r="L870" s="156"/>
      <c r="M870" s="134" t="s">
        <v>422</v>
      </c>
      <c r="N870" s="150">
        <f>if(and(O870=TRUE,P870=TRUE), VLOOKUP($E870,PESSOAL!$B$35:$S$45,MONTH($F870)+6,false)*G870*24,0)</f>
        <v>0</v>
      </c>
      <c r="O870" s="117" t="b">
        <f t="shared" si="2"/>
        <v>0</v>
      </c>
      <c r="P870" s="117" t="b">
        <v>1</v>
      </c>
      <c r="Q870" s="117" t="s">
        <v>368</v>
      </c>
    </row>
    <row r="871" hidden="1">
      <c r="A871" s="108"/>
      <c r="B871" s="220"/>
      <c r="C871" s="220" t="s">
        <v>68</v>
      </c>
      <c r="D871" s="220" t="str">
        <f>vlookup(M871,'Página10'!A:B,2,false)</f>
        <v>INOV00040</v>
      </c>
      <c r="E871" s="134" t="s">
        <v>137</v>
      </c>
      <c r="F871" s="221">
        <v>45105.0</v>
      </c>
      <c r="G871" s="222">
        <v>0.041666666666666664</v>
      </c>
      <c r="H871" s="134" t="s">
        <v>411</v>
      </c>
      <c r="I871" s="223" t="s">
        <v>411</v>
      </c>
      <c r="J871" s="223" t="b">
        <f t="shared" si="1"/>
        <v>1</v>
      </c>
      <c r="K871" s="145" t="s">
        <v>1033</v>
      </c>
      <c r="L871" s="156"/>
      <c r="M871" s="134" t="s">
        <v>462</v>
      </c>
      <c r="N871" s="150">
        <f>if(and(O871=TRUE,P871=TRUE), VLOOKUP($E871,PESSOAL!$B$35:$S$45,MONTH($F871)+6,false)*G871*24,0)</f>
        <v>0</v>
      </c>
      <c r="O871" s="117" t="b">
        <f t="shared" si="2"/>
        <v>1</v>
      </c>
      <c r="P871" s="117" t="b">
        <v>0</v>
      </c>
      <c r="Q871" s="117" t="s">
        <v>368</v>
      </c>
    </row>
    <row r="872" hidden="1">
      <c r="A872" s="108"/>
      <c r="B872" s="220"/>
      <c r="C872" s="220" t="s">
        <v>68</v>
      </c>
      <c r="D872" s="220" t="str">
        <f>vlookup(M872,'Página10'!A:B,2,false)</f>
        <v>INOV00040</v>
      </c>
      <c r="E872" s="134" t="s">
        <v>137</v>
      </c>
      <c r="F872" s="221">
        <v>45106.0</v>
      </c>
      <c r="G872" s="222">
        <v>0.14583333333333334</v>
      </c>
      <c r="H872" s="134" t="s">
        <v>411</v>
      </c>
      <c r="I872" s="223" t="s">
        <v>411</v>
      </c>
      <c r="J872" s="223" t="b">
        <f t="shared" si="1"/>
        <v>1</v>
      </c>
      <c r="K872" s="145" t="s">
        <v>1011</v>
      </c>
      <c r="L872" s="156"/>
      <c r="M872" s="134" t="s">
        <v>462</v>
      </c>
      <c r="N872" s="150">
        <f>if(and(O872=TRUE,P872=TRUE), VLOOKUP($E872,PESSOAL!$B$35:$S$45,MONTH($F872)+6,false)*G872*24,0)</f>
        <v>0</v>
      </c>
      <c r="O872" s="117" t="b">
        <f t="shared" si="2"/>
        <v>1</v>
      </c>
      <c r="P872" s="117" t="b">
        <v>0</v>
      </c>
      <c r="Q872" s="117" t="s">
        <v>368</v>
      </c>
    </row>
    <row r="873" hidden="1">
      <c r="A873" s="108"/>
      <c r="B873" s="220"/>
      <c r="C873" s="220" t="s">
        <v>61</v>
      </c>
      <c r="D873" s="220" t="str">
        <f>vlookup(M873,'Página10'!A:B,2,false)</f>
        <v>INOV00031</v>
      </c>
      <c r="E873" s="134" t="s">
        <v>137</v>
      </c>
      <c r="F873" s="221">
        <v>45106.0</v>
      </c>
      <c r="G873" s="222">
        <v>0.041666666666666664</v>
      </c>
      <c r="H873" s="134" t="s">
        <v>411</v>
      </c>
      <c r="I873" s="223" t="s">
        <v>411</v>
      </c>
      <c r="J873" s="223" t="b">
        <f t="shared" si="1"/>
        <v>1</v>
      </c>
      <c r="K873" s="145" t="s">
        <v>1039</v>
      </c>
      <c r="L873" s="156"/>
      <c r="M873" s="134" t="s">
        <v>451</v>
      </c>
      <c r="N873" s="150">
        <f>if(and(O873=TRUE,P873=TRUE), VLOOKUP($E873,PESSOAL!$B$35:$S$45,MONTH($F873)+6,false)*G873*24,0)</f>
        <v>46.5104061</v>
      </c>
      <c r="O873" s="117" t="b">
        <f t="shared" si="2"/>
        <v>1</v>
      </c>
      <c r="P873" s="117" t="b">
        <v>1</v>
      </c>
      <c r="Q873" s="117" t="s">
        <v>368</v>
      </c>
    </row>
    <row r="874" hidden="1">
      <c r="A874" s="108"/>
      <c r="B874" s="220"/>
      <c r="C874" s="220" t="s">
        <v>58</v>
      </c>
      <c r="D874" s="220" t="str">
        <f>vlookup(M874,'Página10'!A:B,2,false)</f>
        <v>INOV00023</v>
      </c>
      <c r="E874" s="134" t="s">
        <v>129</v>
      </c>
      <c r="F874" s="221">
        <v>45019.0</v>
      </c>
      <c r="G874" s="222">
        <v>0.08333333333333333</v>
      </c>
      <c r="H874" s="134" t="s">
        <v>475</v>
      </c>
      <c r="I874" s="223" t="s">
        <v>475</v>
      </c>
      <c r="J874" s="223" t="b">
        <f t="shared" si="1"/>
        <v>1</v>
      </c>
      <c r="K874" s="145" t="s">
        <v>620</v>
      </c>
      <c r="L874" s="156"/>
      <c r="M874" s="134" t="s">
        <v>438</v>
      </c>
      <c r="N874" s="150">
        <f>if(and(O874=TRUE,P874=TRUE), VLOOKUP($E874,PESSOAL!$B$35:$S$45,MONTH($F874)+6,false)*G874*24,0)</f>
        <v>341.4710625</v>
      </c>
      <c r="O874" s="117" t="b">
        <f t="shared" si="2"/>
        <v>1</v>
      </c>
      <c r="P874" s="117" t="b">
        <v>1</v>
      </c>
      <c r="Q874" s="117" t="s">
        <v>368</v>
      </c>
    </row>
    <row r="875" hidden="1">
      <c r="A875" s="108"/>
      <c r="B875" s="220"/>
      <c r="C875" s="220" t="s">
        <v>69</v>
      </c>
      <c r="D875" s="220" t="str">
        <f>vlookup(M875,'Página10'!A:B,2,false)</f>
        <v>INOV00041</v>
      </c>
      <c r="E875" s="134" t="s">
        <v>129</v>
      </c>
      <c r="F875" s="221">
        <v>45020.0</v>
      </c>
      <c r="G875" s="222">
        <v>0.041666666666666664</v>
      </c>
      <c r="H875" s="134" t="s">
        <v>411</v>
      </c>
      <c r="I875" s="223" t="s">
        <v>411</v>
      </c>
      <c r="J875" s="223" t="b">
        <f t="shared" si="1"/>
        <v>1</v>
      </c>
      <c r="K875" s="145" t="s">
        <v>616</v>
      </c>
      <c r="L875" s="156"/>
      <c r="M875" s="134" t="s">
        <v>463</v>
      </c>
      <c r="N875" s="224">
        <v>0.0</v>
      </c>
      <c r="O875" s="117" t="b">
        <f t="shared" si="2"/>
        <v>1</v>
      </c>
      <c r="P875" s="117" t="b">
        <v>1</v>
      </c>
      <c r="Q875" s="117" t="s">
        <v>368</v>
      </c>
    </row>
    <row r="876" hidden="1">
      <c r="A876" s="108"/>
      <c r="B876" s="220"/>
      <c r="C876" s="220" t="s">
        <v>59</v>
      </c>
      <c r="D876" s="220" t="str">
        <f>vlookup(M876,'Página10'!A:B,2,false)</f>
        <v>INOV00024</v>
      </c>
      <c r="E876" s="134" t="s">
        <v>129</v>
      </c>
      <c r="F876" s="221">
        <v>45020.0</v>
      </c>
      <c r="G876" s="222">
        <v>0.041666666666666664</v>
      </c>
      <c r="H876" s="134" t="s">
        <v>475</v>
      </c>
      <c r="I876" s="223" t="s">
        <v>475</v>
      </c>
      <c r="J876" s="223" t="b">
        <f t="shared" si="1"/>
        <v>1</v>
      </c>
      <c r="K876" s="145" t="s">
        <v>1040</v>
      </c>
      <c r="L876" s="156"/>
      <c r="M876" s="134" t="s">
        <v>439</v>
      </c>
      <c r="N876" s="150">
        <f>if(and(O876=TRUE,P876=TRUE), VLOOKUP($E876,PESSOAL!$B$35:$S$45,MONTH($F876)+6,false)*G876*24,0)</f>
        <v>170.7355313</v>
      </c>
      <c r="O876" s="117" t="b">
        <f t="shared" si="2"/>
        <v>1</v>
      </c>
      <c r="P876" s="117" t="b">
        <v>1</v>
      </c>
      <c r="Q876" s="117" t="s">
        <v>368</v>
      </c>
    </row>
    <row r="877" hidden="1">
      <c r="A877" s="108"/>
      <c r="B877" s="220"/>
      <c r="C877" s="220" t="s">
        <v>69</v>
      </c>
      <c r="D877" s="220" t="str">
        <f>vlookup(M877,'Página10'!A:B,2,false)</f>
        <v>INOV00041</v>
      </c>
      <c r="E877" s="134" t="s">
        <v>129</v>
      </c>
      <c r="F877" s="221">
        <v>45021.0</v>
      </c>
      <c r="G877" s="222">
        <v>0.08333333333333333</v>
      </c>
      <c r="H877" s="134" t="s">
        <v>411</v>
      </c>
      <c r="I877" s="223" t="s">
        <v>475</v>
      </c>
      <c r="J877" s="223" t="b">
        <f t="shared" si="1"/>
        <v>0</v>
      </c>
      <c r="K877" s="145" t="s">
        <v>616</v>
      </c>
      <c r="L877" s="156"/>
      <c r="M877" s="134" t="s">
        <v>463</v>
      </c>
      <c r="N877" s="224">
        <v>0.0</v>
      </c>
      <c r="O877" s="117" t="b">
        <f t="shared" si="2"/>
        <v>1</v>
      </c>
      <c r="P877" s="117" t="b">
        <v>1</v>
      </c>
      <c r="Q877" s="117" t="s">
        <v>368</v>
      </c>
    </row>
    <row r="878" hidden="1">
      <c r="A878" s="108"/>
      <c r="B878" s="220"/>
      <c r="C878" s="220" t="s">
        <v>69</v>
      </c>
      <c r="D878" s="220" t="str">
        <f>vlookup(M878,'Página10'!A:B,2,false)</f>
        <v>INOV00041</v>
      </c>
      <c r="E878" s="134" t="s">
        <v>129</v>
      </c>
      <c r="F878" s="221">
        <v>45022.0</v>
      </c>
      <c r="G878" s="222">
        <v>0.08333333333333333</v>
      </c>
      <c r="H878" s="134" t="s">
        <v>411</v>
      </c>
      <c r="I878" s="223" t="s">
        <v>475</v>
      </c>
      <c r="J878" s="223" t="b">
        <f t="shared" si="1"/>
        <v>0</v>
      </c>
      <c r="K878" s="145" t="s">
        <v>616</v>
      </c>
      <c r="L878" s="156"/>
      <c r="M878" s="134" t="s">
        <v>463</v>
      </c>
      <c r="N878" s="224">
        <v>0.0</v>
      </c>
      <c r="O878" s="117" t="b">
        <f t="shared" si="2"/>
        <v>1</v>
      </c>
      <c r="P878" s="117" t="b">
        <v>1</v>
      </c>
      <c r="Q878" s="117" t="s">
        <v>368</v>
      </c>
    </row>
    <row r="879" hidden="1">
      <c r="A879" s="108"/>
      <c r="B879" s="220"/>
      <c r="C879" s="220" t="s">
        <v>54</v>
      </c>
      <c r="D879" s="220" t="str">
        <f>vlookup(M879,'Página10'!A:B,2,false)</f>
        <v>INOV00016</v>
      </c>
      <c r="E879" s="134" t="s">
        <v>129</v>
      </c>
      <c r="F879" s="221">
        <v>45022.0</v>
      </c>
      <c r="G879" s="222">
        <v>0.041666666666666664</v>
      </c>
      <c r="H879" s="134" t="s">
        <v>475</v>
      </c>
      <c r="I879" s="223" t="s">
        <v>475</v>
      </c>
      <c r="J879" s="223" t="b">
        <f t="shared" si="1"/>
        <v>1</v>
      </c>
      <c r="K879" s="145" t="s">
        <v>1041</v>
      </c>
      <c r="L879" s="156"/>
      <c r="M879" s="134" t="s">
        <v>428</v>
      </c>
      <c r="N879" s="150">
        <f>if(and(O879=TRUE,P879=TRUE), VLOOKUP($E879,PESSOAL!$B$35:$S$45,MONTH($F879)+6,false)*G879*24,0)</f>
        <v>170.7355313</v>
      </c>
      <c r="O879" s="117" t="b">
        <f t="shared" si="2"/>
        <v>1</v>
      </c>
      <c r="P879" s="117" t="b">
        <v>1</v>
      </c>
      <c r="Q879" s="117" t="s">
        <v>368</v>
      </c>
    </row>
    <row r="880" hidden="1">
      <c r="A880" s="108"/>
      <c r="B880" s="220"/>
      <c r="C880" s="220" t="s">
        <v>290</v>
      </c>
      <c r="D880" s="220" t="str">
        <f>vlookup(M880,'Página10'!A:B,2,false)</f>
        <v>INOV00001</v>
      </c>
      <c r="E880" s="134" t="s">
        <v>129</v>
      </c>
      <c r="F880" s="221">
        <v>45022.0</v>
      </c>
      <c r="G880" s="222">
        <v>0.041666666666666664</v>
      </c>
      <c r="H880" s="134" t="s">
        <v>411</v>
      </c>
      <c r="I880" s="223" t="s">
        <v>411</v>
      </c>
      <c r="J880" s="223" t="b">
        <f t="shared" si="1"/>
        <v>1</v>
      </c>
      <c r="K880" s="145" t="s">
        <v>1042</v>
      </c>
      <c r="L880" s="156"/>
      <c r="M880" s="134" t="s">
        <v>416</v>
      </c>
      <c r="N880" s="150">
        <f>if(and(O880=TRUE,P880=TRUE), VLOOKUP($E880,PESSOAL!$B$35:$S$45,MONTH($F880)+6,false)*G880*24,0)</f>
        <v>170.7355313</v>
      </c>
      <c r="O880" s="117" t="b">
        <f t="shared" si="2"/>
        <v>1</v>
      </c>
      <c r="P880" s="117" t="b">
        <v>1</v>
      </c>
      <c r="Q880" s="117" t="s">
        <v>368</v>
      </c>
    </row>
    <row r="881" hidden="1">
      <c r="A881" s="108"/>
      <c r="B881" s="220"/>
      <c r="C881" s="220" t="s">
        <v>290</v>
      </c>
      <c r="D881" s="220" t="str">
        <f>vlookup(M881,'Página10'!A:B,2,false)</f>
        <v>INOV00001</v>
      </c>
      <c r="E881" s="134" t="s">
        <v>129</v>
      </c>
      <c r="F881" s="221">
        <v>45036.0</v>
      </c>
      <c r="G881" s="222">
        <v>0.4166666666666667</v>
      </c>
      <c r="H881" s="134" t="s">
        <v>411</v>
      </c>
      <c r="I881" s="223" t="s">
        <v>411</v>
      </c>
      <c r="J881" s="223" t="b">
        <f t="shared" si="1"/>
        <v>1</v>
      </c>
      <c r="K881" s="145" t="s">
        <v>1043</v>
      </c>
      <c r="L881" s="156"/>
      <c r="M881" s="134" t="s">
        <v>416</v>
      </c>
      <c r="N881" s="150">
        <f>if(and(O881=TRUE,P881=TRUE), VLOOKUP($E881,PESSOAL!$B$35:$S$45,MONTH($F881)+6,false)*G881*24,0)</f>
        <v>1707.355313</v>
      </c>
      <c r="O881" s="117" t="b">
        <f t="shared" si="2"/>
        <v>1</v>
      </c>
      <c r="P881" s="117" t="b">
        <v>1</v>
      </c>
      <c r="Q881" s="117" t="s">
        <v>368</v>
      </c>
    </row>
    <row r="882" hidden="1">
      <c r="A882" s="108"/>
      <c r="B882" s="220"/>
      <c r="C882" s="220" t="s">
        <v>69</v>
      </c>
      <c r="D882" s="220" t="str">
        <f>vlookup(M882,'Página10'!A:B,2,false)</f>
        <v>INOV00041</v>
      </c>
      <c r="E882" s="134" t="s">
        <v>129</v>
      </c>
      <c r="F882" s="221">
        <v>45037.0</v>
      </c>
      <c r="G882" s="222">
        <v>0.4166666666666667</v>
      </c>
      <c r="H882" s="134" t="s">
        <v>411</v>
      </c>
      <c r="I882" s="223" t="s">
        <v>411</v>
      </c>
      <c r="J882" s="223" t="b">
        <f t="shared" si="1"/>
        <v>1</v>
      </c>
      <c r="K882" s="145" t="s">
        <v>1043</v>
      </c>
      <c r="L882" s="156"/>
      <c r="M882" s="134" t="s">
        <v>463</v>
      </c>
      <c r="N882" s="224">
        <v>0.0</v>
      </c>
      <c r="O882" s="117" t="b">
        <f t="shared" si="2"/>
        <v>1</v>
      </c>
      <c r="P882" s="117" t="b">
        <v>1</v>
      </c>
      <c r="Q882" s="117" t="s">
        <v>368</v>
      </c>
    </row>
    <row r="883" hidden="1">
      <c r="A883" s="108"/>
      <c r="B883" s="220"/>
      <c r="C883" s="220" t="s">
        <v>50</v>
      </c>
      <c r="D883" s="220" t="str">
        <f>vlookup(M883,'Página10'!A:B,2,false)</f>
        <v>INOV00006</v>
      </c>
      <c r="E883" s="134" t="s">
        <v>129</v>
      </c>
      <c r="F883" s="221">
        <v>45038.0</v>
      </c>
      <c r="G883" s="222">
        <v>0.4166666666666667</v>
      </c>
      <c r="H883" s="134" t="s">
        <v>411</v>
      </c>
      <c r="I883" s="223" t="s">
        <v>411</v>
      </c>
      <c r="J883" s="223" t="b">
        <f t="shared" si="1"/>
        <v>1</v>
      </c>
      <c r="K883" s="145" t="s">
        <v>1043</v>
      </c>
      <c r="L883" s="156"/>
      <c r="M883" s="134" t="s">
        <v>422</v>
      </c>
      <c r="N883" s="150">
        <f>if(and(O883=TRUE,P883=TRUE), VLOOKUP($E883,PESSOAL!$B$35:$S$45,MONTH($F883)+6,false)*G883*24,0)</f>
        <v>1707.355313</v>
      </c>
      <c r="O883" s="117" t="b">
        <f t="shared" si="2"/>
        <v>1</v>
      </c>
      <c r="P883" s="117" t="b">
        <v>1</v>
      </c>
      <c r="Q883" s="117" t="s">
        <v>368</v>
      </c>
    </row>
    <row r="884" hidden="1">
      <c r="A884" s="108"/>
      <c r="B884" s="220"/>
      <c r="C884" s="220" t="s">
        <v>290</v>
      </c>
      <c r="D884" s="220" t="str">
        <f>vlookup(M884,'Página10'!A:B,2,false)</f>
        <v>INOV00001</v>
      </c>
      <c r="E884" s="134" t="s">
        <v>129</v>
      </c>
      <c r="F884" s="221">
        <v>45039.0</v>
      </c>
      <c r="G884" s="222">
        <v>0.4166666666666667</v>
      </c>
      <c r="H884" s="134" t="s">
        <v>411</v>
      </c>
      <c r="I884" s="223" t="s">
        <v>411</v>
      </c>
      <c r="J884" s="223" t="b">
        <f t="shared" si="1"/>
        <v>1</v>
      </c>
      <c r="K884" s="145" t="s">
        <v>1043</v>
      </c>
      <c r="L884" s="156"/>
      <c r="M884" s="134" t="s">
        <v>416</v>
      </c>
      <c r="N884" s="150">
        <f>if(and(O884=TRUE,P884=TRUE), VLOOKUP($E884,PESSOAL!$B$35:$S$45,MONTH($F884)+6,false)*G884*24,0)</f>
        <v>1707.355313</v>
      </c>
      <c r="O884" s="117" t="b">
        <f t="shared" si="2"/>
        <v>1</v>
      </c>
      <c r="P884" s="117" t="b">
        <v>1</v>
      </c>
      <c r="Q884" s="117" t="s">
        <v>368</v>
      </c>
    </row>
    <row r="885" hidden="1">
      <c r="A885" s="108"/>
      <c r="B885" s="220"/>
      <c r="C885" s="220" t="s">
        <v>69</v>
      </c>
      <c r="D885" s="220" t="str">
        <f>vlookup(M885,'Página10'!A:B,2,false)</f>
        <v>INOV00041</v>
      </c>
      <c r="E885" s="134" t="s">
        <v>129</v>
      </c>
      <c r="F885" s="221">
        <v>45044.0</v>
      </c>
      <c r="G885" s="222">
        <v>0.0625</v>
      </c>
      <c r="H885" s="134" t="s">
        <v>411</v>
      </c>
      <c r="I885" s="223" t="s">
        <v>475</v>
      </c>
      <c r="J885" s="223" t="b">
        <f t="shared" si="1"/>
        <v>0</v>
      </c>
      <c r="K885" s="145" t="s">
        <v>616</v>
      </c>
      <c r="L885" s="156"/>
      <c r="M885" s="134" t="s">
        <v>463</v>
      </c>
      <c r="N885" s="224">
        <v>0.0</v>
      </c>
      <c r="O885" s="117" t="b">
        <f t="shared" si="2"/>
        <v>1</v>
      </c>
      <c r="P885" s="117" t="b">
        <v>1</v>
      </c>
      <c r="Q885" s="117" t="s">
        <v>368</v>
      </c>
    </row>
    <row r="886" hidden="1">
      <c r="A886" s="108"/>
      <c r="B886" s="220"/>
      <c r="C886" s="220" t="s">
        <v>50</v>
      </c>
      <c r="D886" s="220" t="str">
        <f>vlookup(M886,'Página10'!A:B,2,false)</f>
        <v>INOV00006</v>
      </c>
      <c r="E886" s="134" t="s">
        <v>129</v>
      </c>
      <c r="F886" s="221">
        <v>45044.0</v>
      </c>
      <c r="G886" s="222">
        <v>0.10416666666666667</v>
      </c>
      <c r="H886" s="134" t="s">
        <v>475</v>
      </c>
      <c r="I886" s="223" t="s">
        <v>475</v>
      </c>
      <c r="J886" s="223" t="b">
        <f t="shared" si="1"/>
        <v>1</v>
      </c>
      <c r="K886" s="145" t="s">
        <v>1043</v>
      </c>
      <c r="L886" s="156"/>
      <c r="M886" s="134" t="s">
        <v>422</v>
      </c>
      <c r="N886" s="150">
        <f>if(and(O886=TRUE,P886=TRUE), VLOOKUP($E886,PESSOAL!$B$35:$S$45,MONTH($F886)+6,false)*G886*24,0)</f>
        <v>426.8388281</v>
      </c>
      <c r="O886" s="117" t="b">
        <f t="shared" si="2"/>
        <v>1</v>
      </c>
      <c r="P886" s="117" t="b">
        <v>1</v>
      </c>
      <c r="Q886" s="117" t="s">
        <v>368</v>
      </c>
    </row>
    <row r="887" hidden="1">
      <c r="A887" s="108"/>
      <c r="B887" s="220"/>
      <c r="C887" s="220" t="s">
        <v>290</v>
      </c>
      <c r="D887" s="220" t="str">
        <f>vlookup(M887,'Página10'!A:B,2,false)</f>
        <v>INOV00001</v>
      </c>
      <c r="E887" s="134" t="s">
        <v>129</v>
      </c>
      <c r="F887" s="221">
        <v>45044.0</v>
      </c>
      <c r="G887" s="222">
        <v>0.16666666666666666</v>
      </c>
      <c r="H887" s="134" t="s">
        <v>475</v>
      </c>
      <c r="I887" s="223" t="s">
        <v>475</v>
      </c>
      <c r="J887" s="223" t="b">
        <f t="shared" si="1"/>
        <v>1</v>
      </c>
      <c r="K887" s="145" t="s">
        <v>1043</v>
      </c>
      <c r="L887" s="156"/>
      <c r="M887" s="134" t="s">
        <v>416</v>
      </c>
      <c r="N887" s="150">
        <f>if(and(O887=TRUE,P887=TRUE), VLOOKUP($E887,PESSOAL!$B$35:$S$45,MONTH($F887)+6,false)*G887*24,0)</f>
        <v>682.942125</v>
      </c>
      <c r="O887" s="117" t="b">
        <f t="shared" si="2"/>
        <v>1</v>
      </c>
      <c r="P887" s="117" t="b">
        <v>1</v>
      </c>
      <c r="Q887" s="117" t="s">
        <v>368</v>
      </c>
    </row>
    <row r="888" hidden="1">
      <c r="A888" s="108"/>
      <c r="B888" s="220"/>
      <c r="C888" s="220" t="s">
        <v>57</v>
      </c>
      <c r="D888" s="220" t="str">
        <f>vlookup(M888,'Página10'!A:B,2,false)</f>
        <v>INOV00022</v>
      </c>
      <c r="E888" s="134" t="s">
        <v>129</v>
      </c>
      <c r="F888" s="221">
        <v>45050.0</v>
      </c>
      <c r="G888" s="222">
        <v>0.08333333333333333</v>
      </c>
      <c r="H888" s="134" t="s">
        <v>475</v>
      </c>
      <c r="I888" s="223" t="s">
        <v>475</v>
      </c>
      <c r="J888" s="223" t="b">
        <f t="shared" si="1"/>
        <v>1</v>
      </c>
      <c r="K888" s="145" t="s">
        <v>604</v>
      </c>
      <c r="L888" s="156"/>
      <c r="M888" s="134" t="s">
        <v>437</v>
      </c>
      <c r="N888" s="150">
        <f>if(and(O888=TRUE,P888=TRUE), VLOOKUP($E888,PESSOAL!$B$35:$S$45,MONTH($F888)+6,false)*G888*24,0)</f>
        <v>291.9578085</v>
      </c>
      <c r="O888" s="117" t="b">
        <f t="shared" si="2"/>
        <v>1</v>
      </c>
      <c r="P888" s="117" t="b">
        <v>1</v>
      </c>
      <c r="Q888" s="117" t="s">
        <v>368</v>
      </c>
    </row>
    <row r="889" hidden="1">
      <c r="A889" s="108"/>
      <c r="B889" s="220"/>
      <c r="C889" s="220" t="s">
        <v>57</v>
      </c>
      <c r="D889" s="220" t="str">
        <f>vlookup(M889,'Página10'!A:B,2,false)</f>
        <v>INOV00022</v>
      </c>
      <c r="E889" s="134" t="s">
        <v>129</v>
      </c>
      <c r="F889" s="221">
        <v>45051.0</v>
      </c>
      <c r="G889" s="222">
        <v>0.041666666666666664</v>
      </c>
      <c r="H889" s="134" t="s">
        <v>475</v>
      </c>
      <c r="I889" s="223" t="s">
        <v>475</v>
      </c>
      <c r="J889" s="223" t="b">
        <f t="shared" si="1"/>
        <v>1</v>
      </c>
      <c r="K889" s="145" t="s">
        <v>604</v>
      </c>
      <c r="L889" s="156"/>
      <c r="M889" s="134" t="s">
        <v>437</v>
      </c>
      <c r="N889" s="150">
        <f>if(and(O889=TRUE,P889=TRUE), VLOOKUP($E889,PESSOAL!$B$35:$S$45,MONTH($F889)+6,false)*G889*24,0)</f>
        <v>145.9789043</v>
      </c>
      <c r="O889" s="117" t="b">
        <f t="shared" si="2"/>
        <v>1</v>
      </c>
      <c r="P889" s="117" t="b">
        <v>1</v>
      </c>
      <c r="Q889" s="117" t="s">
        <v>368</v>
      </c>
    </row>
    <row r="890" hidden="1">
      <c r="A890" s="108"/>
      <c r="B890" s="220"/>
      <c r="C890" s="220" t="s">
        <v>59</v>
      </c>
      <c r="D890" s="220" t="str">
        <f>vlookup(M890,'Página10'!A:B,2,false)</f>
        <v>INOV00024</v>
      </c>
      <c r="E890" s="134" t="s">
        <v>129</v>
      </c>
      <c r="F890" s="221">
        <v>45051.0</v>
      </c>
      <c r="G890" s="222">
        <v>0.041666666666666664</v>
      </c>
      <c r="H890" s="134" t="s">
        <v>475</v>
      </c>
      <c r="I890" s="223" t="s">
        <v>475</v>
      </c>
      <c r="J890" s="223" t="b">
        <f t="shared" si="1"/>
        <v>1</v>
      </c>
      <c r="K890" s="145" t="s">
        <v>1044</v>
      </c>
      <c r="L890" s="156"/>
      <c r="M890" s="134" t="s">
        <v>439</v>
      </c>
      <c r="N890" s="150">
        <f>if(and(O890=TRUE,P890=TRUE), VLOOKUP($E890,PESSOAL!$B$35:$S$45,MONTH($F890)+6,false)*G890*24,0)</f>
        <v>145.9789043</v>
      </c>
      <c r="O890" s="117" t="b">
        <f t="shared" si="2"/>
        <v>1</v>
      </c>
      <c r="P890" s="117" t="b">
        <v>1</v>
      </c>
      <c r="Q890" s="117" t="s">
        <v>368</v>
      </c>
    </row>
    <row r="891" hidden="1">
      <c r="A891" s="108"/>
      <c r="B891" s="220"/>
      <c r="C891" s="220" t="s">
        <v>62</v>
      </c>
      <c r="D891" s="220" t="str">
        <f>vlookup(M891,'Página10'!A:B,2,false)</f>
        <v>INOV00034</v>
      </c>
      <c r="E891" s="134" t="s">
        <v>129</v>
      </c>
      <c r="F891" s="221">
        <v>45051.0</v>
      </c>
      <c r="G891" s="222">
        <v>0.020833333333333332</v>
      </c>
      <c r="H891" s="134" t="s">
        <v>475</v>
      </c>
      <c r="I891" s="223" t="s">
        <v>475</v>
      </c>
      <c r="J891" s="223" t="b">
        <f t="shared" si="1"/>
        <v>1</v>
      </c>
      <c r="K891" s="145" t="s">
        <v>604</v>
      </c>
      <c r="L891" s="156"/>
      <c r="M891" s="134" t="s">
        <v>456</v>
      </c>
      <c r="N891" s="150">
        <f>if(and(O891=TRUE,P891=TRUE), VLOOKUP($E891,PESSOAL!$B$35:$S$45,MONTH($F891)+6,false)*G891*24,0)</f>
        <v>72.98945213</v>
      </c>
      <c r="O891" s="117" t="b">
        <f t="shared" si="2"/>
        <v>1</v>
      </c>
      <c r="P891" s="117" t="b">
        <v>1</v>
      </c>
      <c r="Q891" s="117" t="s">
        <v>368</v>
      </c>
    </row>
    <row r="892" hidden="1">
      <c r="A892" s="108"/>
      <c r="B892" s="220"/>
      <c r="C892" s="220" t="s">
        <v>65</v>
      </c>
      <c r="D892" s="220" t="str">
        <f>vlookup(M892,'Página10'!A:B,2,false)</f>
        <v>INOV00037</v>
      </c>
      <c r="E892" s="134" t="s">
        <v>129</v>
      </c>
      <c r="F892" s="221">
        <v>45051.0</v>
      </c>
      <c r="G892" s="222">
        <v>0.041666666666666664</v>
      </c>
      <c r="H892" s="134" t="s">
        <v>475</v>
      </c>
      <c r="I892" s="223" t="s">
        <v>475</v>
      </c>
      <c r="J892" s="223" t="b">
        <f t="shared" si="1"/>
        <v>1</v>
      </c>
      <c r="K892" s="145" t="s">
        <v>604</v>
      </c>
      <c r="L892" s="156"/>
      <c r="M892" s="134" t="s">
        <v>459</v>
      </c>
      <c r="N892" s="150">
        <f>if(and(O892=TRUE,P892=TRUE), VLOOKUP($E892,PESSOAL!$B$35:$S$45,MONTH($F892)+6,false)*G892*24,0)</f>
        <v>145.9789043</v>
      </c>
      <c r="O892" s="117" t="b">
        <f t="shared" si="2"/>
        <v>1</v>
      </c>
      <c r="P892" s="117" t="b">
        <v>1</v>
      </c>
      <c r="Q892" s="117" t="s">
        <v>368</v>
      </c>
    </row>
    <row r="893" hidden="1">
      <c r="A893" s="108"/>
      <c r="B893" s="220"/>
      <c r="C893" s="220" t="s">
        <v>69</v>
      </c>
      <c r="D893" s="220" t="str">
        <f>vlookup(M893,'Página10'!A:B,2,false)</f>
        <v>INOV00041</v>
      </c>
      <c r="E893" s="134" t="s">
        <v>129</v>
      </c>
      <c r="F893" s="221">
        <v>45055.0</v>
      </c>
      <c r="G893" s="222">
        <v>0.041666666666666664</v>
      </c>
      <c r="H893" s="134" t="s">
        <v>411</v>
      </c>
      <c r="I893" s="223" t="s">
        <v>475</v>
      </c>
      <c r="J893" s="223" t="b">
        <f t="shared" si="1"/>
        <v>0</v>
      </c>
      <c r="K893" s="145" t="s">
        <v>616</v>
      </c>
      <c r="L893" s="156"/>
      <c r="M893" s="134" t="s">
        <v>463</v>
      </c>
      <c r="N893" s="224">
        <v>0.0</v>
      </c>
      <c r="O893" s="117" t="b">
        <f t="shared" si="2"/>
        <v>1</v>
      </c>
      <c r="P893" s="117" t="b">
        <v>1</v>
      </c>
      <c r="Q893" s="117" t="s">
        <v>368</v>
      </c>
    </row>
    <row r="894" hidden="1">
      <c r="A894" s="108"/>
      <c r="B894" s="220"/>
      <c r="C894" s="220" t="s">
        <v>57</v>
      </c>
      <c r="D894" s="220" t="str">
        <f>vlookup(M894,'Página10'!A:B,2,false)</f>
        <v>INOV00022</v>
      </c>
      <c r="E894" s="134" t="s">
        <v>129</v>
      </c>
      <c r="F894" s="221">
        <v>45058.0</v>
      </c>
      <c r="G894" s="222">
        <v>0.0625</v>
      </c>
      <c r="H894" s="134" t="s">
        <v>475</v>
      </c>
      <c r="I894" s="223" t="s">
        <v>475</v>
      </c>
      <c r="J894" s="223" t="b">
        <f t="shared" si="1"/>
        <v>1</v>
      </c>
      <c r="K894" s="145" t="s">
        <v>604</v>
      </c>
      <c r="L894" s="156"/>
      <c r="M894" s="134" t="s">
        <v>437</v>
      </c>
      <c r="N894" s="150">
        <f>if(and(O894=TRUE,P894=TRUE), VLOOKUP($E894,PESSOAL!$B$35:$S$45,MONTH($F894)+6,false)*G894*24,0)</f>
        <v>218.9683564</v>
      </c>
      <c r="O894" s="117" t="b">
        <f t="shared" si="2"/>
        <v>1</v>
      </c>
      <c r="P894" s="117" t="b">
        <v>1</v>
      </c>
      <c r="Q894" s="117" t="s">
        <v>368</v>
      </c>
    </row>
    <row r="895" hidden="1">
      <c r="A895" s="108"/>
      <c r="B895" s="220"/>
      <c r="C895" s="220" t="s">
        <v>435</v>
      </c>
      <c r="D895" s="220" t="str">
        <f>vlookup(M895,'Página10'!A:B,2,false)</f>
        <v>INOV00020</v>
      </c>
      <c r="E895" s="134" t="s">
        <v>129</v>
      </c>
      <c r="F895" s="221">
        <v>45062.0</v>
      </c>
      <c r="G895" s="222">
        <v>0.08333333333333333</v>
      </c>
      <c r="H895" s="134" t="s">
        <v>411</v>
      </c>
      <c r="I895" s="223" t="s">
        <v>475</v>
      </c>
      <c r="J895" s="223" t="b">
        <f t="shared" si="1"/>
        <v>0</v>
      </c>
      <c r="K895" s="145" t="s">
        <v>616</v>
      </c>
      <c r="L895" s="156"/>
      <c r="M895" s="134" t="s">
        <v>434</v>
      </c>
      <c r="N895" s="150">
        <f>if(and(O895=TRUE,P895=TRUE), VLOOKUP($E895,PESSOAL!$B$35:$S$45,MONTH($F895)+6,false)*G895*24,0)</f>
        <v>0</v>
      </c>
      <c r="O895" s="117" t="b">
        <f t="shared" si="2"/>
        <v>1</v>
      </c>
      <c r="P895" s="117" t="b">
        <v>0</v>
      </c>
      <c r="Q895" s="117" t="s">
        <v>368</v>
      </c>
    </row>
    <row r="896" hidden="1">
      <c r="A896" s="108"/>
      <c r="B896" s="220"/>
      <c r="C896" s="220" t="s">
        <v>435</v>
      </c>
      <c r="D896" s="220" t="str">
        <f>vlookup(M896,'Página10'!A:B,2,false)</f>
        <v>INOV00020</v>
      </c>
      <c r="E896" s="134" t="s">
        <v>129</v>
      </c>
      <c r="F896" s="221">
        <v>45064.0</v>
      </c>
      <c r="G896" s="222">
        <v>0.041666666666666664</v>
      </c>
      <c r="H896" s="134" t="s">
        <v>411</v>
      </c>
      <c r="I896" s="223" t="s">
        <v>475</v>
      </c>
      <c r="J896" s="223" t="b">
        <f t="shared" si="1"/>
        <v>0</v>
      </c>
      <c r="K896" s="145" t="s">
        <v>616</v>
      </c>
      <c r="L896" s="156"/>
      <c r="M896" s="134" t="s">
        <v>434</v>
      </c>
      <c r="N896" s="150">
        <f>if(and(O896=TRUE,P896=TRUE), VLOOKUP($E896,PESSOAL!$B$35:$S$45,MONTH($F896)+6,false)*G896*24,0)</f>
        <v>0</v>
      </c>
      <c r="O896" s="117" t="b">
        <f t="shared" si="2"/>
        <v>1</v>
      </c>
      <c r="P896" s="117" t="b">
        <v>0</v>
      </c>
      <c r="Q896" s="117" t="s">
        <v>368</v>
      </c>
    </row>
    <row r="897" hidden="1">
      <c r="A897" s="108"/>
      <c r="B897" s="220"/>
      <c r="C897" s="220" t="s">
        <v>69</v>
      </c>
      <c r="D897" s="220" t="str">
        <f>vlookup(M897,'Página10'!A:B,2,false)</f>
        <v>INOV00041</v>
      </c>
      <c r="E897" s="134" t="s">
        <v>129</v>
      </c>
      <c r="F897" s="221">
        <v>45065.0</v>
      </c>
      <c r="G897" s="222">
        <v>0.041666666666666664</v>
      </c>
      <c r="H897" s="134" t="s">
        <v>411</v>
      </c>
      <c r="I897" s="223" t="s">
        <v>475</v>
      </c>
      <c r="J897" s="223" t="b">
        <f t="shared" si="1"/>
        <v>0</v>
      </c>
      <c r="K897" s="145" t="s">
        <v>616</v>
      </c>
      <c r="L897" s="156"/>
      <c r="M897" s="134" t="s">
        <v>463</v>
      </c>
      <c r="N897" s="224">
        <v>0.0</v>
      </c>
      <c r="O897" s="117" t="b">
        <f t="shared" si="2"/>
        <v>1</v>
      </c>
      <c r="P897" s="117" t="b">
        <v>1</v>
      </c>
      <c r="Q897" s="117" t="s">
        <v>368</v>
      </c>
    </row>
    <row r="898" hidden="1">
      <c r="A898" s="108"/>
      <c r="B898" s="220"/>
      <c r="C898" s="220" t="s">
        <v>58</v>
      </c>
      <c r="D898" s="220" t="str">
        <f>vlookup(M898,'Página10'!A:B,2,false)</f>
        <v>INOV00023</v>
      </c>
      <c r="E898" s="134" t="s">
        <v>129</v>
      </c>
      <c r="F898" s="221">
        <v>45069.0</v>
      </c>
      <c r="G898" s="222">
        <v>0.041666666666666664</v>
      </c>
      <c r="H898" s="134" t="s">
        <v>475</v>
      </c>
      <c r="I898" s="223" t="s">
        <v>475</v>
      </c>
      <c r="J898" s="223" t="b">
        <f t="shared" si="1"/>
        <v>1</v>
      </c>
      <c r="K898" s="145" t="s">
        <v>620</v>
      </c>
      <c r="L898" s="156"/>
      <c r="M898" s="134" t="s">
        <v>438</v>
      </c>
      <c r="N898" s="150">
        <f>if(and(O898=TRUE,P898=TRUE), VLOOKUP($E898,PESSOAL!$B$35:$S$45,MONTH($F898)+6,false)*G898*24,0)</f>
        <v>145.9789043</v>
      </c>
      <c r="O898" s="117" t="b">
        <f t="shared" si="2"/>
        <v>1</v>
      </c>
      <c r="P898" s="117" t="b">
        <v>1</v>
      </c>
      <c r="Q898" s="117" t="s">
        <v>368</v>
      </c>
    </row>
    <row r="899" hidden="1">
      <c r="A899" s="108"/>
      <c r="B899" s="220"/>
      <c r="C899" s="220" t="s">
        <v>62</v>
      </c>
      <c r="D899" s="220" t="str">
        <f>vlookup(M899,'Página10'!A:B,2,false)</f>
        <v>INOV00034</v>
      </c>
      <c r="E899" s="134" t="s">
        <v>129</v>
      </c>
      <c r="F899" s="221">
        <v>45070.0</v>
      </c>
      <c r="G899" s="222">
        <v>0.041666666666666664</v>
      </c>
      <c r="H899" s="134" t="s">
        <v>475</v>
      </c>
      <c r="I899" s="223" t="s">
        <v>475</v>
      </c>
      <c r="J899" s="223" t="b">
        <f t="shared" si="1"/>
        <v>1</v>
      </c>
      <c r="K899" s="145" t="s">
        <v>604</v>
      </c>
      <c r="L899" s="156"/>
      <c r="M899" s="134" t="s">
        <v>456</v>
      </c>
      <c r="N899" s="150">
        <f>if(and(O899=TRUE,P899=TRUE), VLOOKUP($E899,PESSOAL!$B$35:$S$45,MONTH($F899)+6,false)*G899*24,0)</f>
        <v>145.9789043</v>
      </c>
      <c r="O899" s="117" t="b">
        <f t="shared" si="2"/>
        <v>1</v>
      </c>
      <c r="P899" s="117" t="b">
        <v>1</v>
      </c>
      <c r="Q899" s="117" t="s">
        <v>368</v>
      </c>
    </row>
    <row r="900" hidden="1">
      <c r="A900" s="108"/>
      <c r="B900" s="220"/>
      <c r="C900" s="220" t="s">
        <v>59</v>
      </c>
      <c r="D900" s="220" t="str">
        <f>vlookup(M900,'Página10'!A:B,2,false)</f>
        <v>INOV00024</v>
      </c>
      <c r="E900" s="134" t="s">
        <v>129</v>
      </c>
      <c r="F900" s="221">
        <v>45071.0</v>
      </c>
      <c r="G900" s="222">
        <v>0.041666666666666664</v>
      </c>
      <c r="H900" s="134" t="s">
        <v>475</v>
      </c>
      <c r="I900" s="223" t="s">
        <v>475</v>
      </c>
      <c r="J900" s="223" t="b">
        <f t="shared" si="1"/>
        <v>1</v>
      </c>
      <c r="K900" s="145" t="s">
        <v>1044</v>
      </c>
      <c r="L900" s="156"/>
      <c r="M900" s="134" t="s">
        <v>439</v>
      </c>
      <c r="N900" s="150">
        <f>if(and(O900=TRUE,P900=TRUE), VLOOKUP($E900,PESSOAL!$B$35:$S$45,MONTH($F900)+6,false)*G900*24,0)</f>
        <v>145.9789043</v>
      </c>
      <c r="O900" s="117" t="b">
        <f t="shared" si="2"/>
        <v>1</v>
      </c>
      <c r="P900" s="117" t="b">
        <v>1</v>
      </c>
      <c r="Q900" s="117" t="s">
        <v>368</v>
      </c>
    </row>
    <row r="901" hidden="1">
      <c r="A901" s="108"/>
      <c r="B901" s="220"/>
      <c r="C901" s="220" t="s">
        <v>59</v>
      </c>
      <c r="D901" s="220" t="str">
        <f>vlookup(M901,'Página10'!A:B,2,false)</f>
        <v>INOV00024</v>
      </c>
      <c r="E901" s="134" t="s">
        <v>129</v>
      </c>
      <c r="F901" s="221">
        <v>45071.0</v>
      </c>
      <c r="G901" s="222">
        <v>0.041666666666666664</v>
      </c>
      <c r="H901" s="134" t="s">
        <v>475</v>
      </c>
      <c r="I901" s="223" t="s">
        <v>475</v>
      </c>
      <c r="J901" s="223" t="b">
        <f t="shared" si="1"/>
        <v>1</v>
      </c>
      <c r="K901" s="145" t="s">
        <v>1044</v>
      </c>
      <c r="L901" s="156"/>
      <c r="M901" s="134" t="s">
        <v>439</v>
      </c>
      <c r="N901" s="150">
        <f>if(and(O901=TRUE,P901=TRUE), VLOOKUP($E901,PESSOAL!$B$35:$S$45,MONTH($F901)+6,false)*G901*24,0)</f>
        <v>145.9789043</v>
      </c>
      <c r="O901" s="117" t="b">
        <f t="shared" si="2"/>
        <v>1</v>
      </c>
      <c r="P901" s="117" t="b">
        <v>1</v>
      </c>
      <c r="Q901" s="117" t="s">
        <v>368</v>
      </c>
    </row>
    <row r="902" hidden="1">
      <c r="A902" s="108"/>
      <c r="B902" s="220"/>
      <c r="C902" s="220" t="s">
        <v>50</v>
      </c>
      <c r="D902" s="220" t="str">
        <f>vlookup(M902,'Página10'!A:B,2,false)</f>
        <v>INOV00006</v>
      </c>
      <c r="E902" s="134" t="s">
        <v>129</v>
      </c>
      <c r="F902" s="221">
        <v>45071.0</v>
      </c>
      <c r="G902" s="222">
        <v>0.041666666666666664</v>
      </c>
      <c r="H902" s="134" t="s">
        <v>475</v>
      </c>
      <c r="I902" s="223" t="s">
        <v>475</v>
      </c>
      <c r="J902" s="223" t="b">
        <f t="shared" si="1"/>
        <v>1</v>
      </c>
      <c r="K902" s="145" t="s">
        <v>616</v>
      </c>
      <c r="L902" s="156"/>
      <c r="M902" s="134" t="s">
        <v>422</v>
      </c>
      <c r="N902" s="150">
        <f>if(and(O902=TRUE,P902=TRUE), VLOOKUP($E902,PESSOAL!$B$35:$S$45,MONTH($F902)+6,false)*G902*24,0)</f>
        <v>145.9789043</v>
      </c>
      <c r="O902" s="117" t="b">
        <f t="shared" si="2"/>
        <v>1</v>
      </c>
      <c r="P902" s="117" t="b">
        <v>1</v>
      </c>
      <c r="Q902" s="117" t="s">
        <v>368</v>
      </c>
    </row>
    <row r="903" hidden="1">
      <c r="A903" s="108"/>
      <c r="B903" s="220"/>
      <c r="C903" s="220" t="s">
        <v>50</v>
      </c>
      <c r="D903" s="220" t="str">
        <f>vlookup(M903,'Página10'!A:B,2,false)</f>
        <v>INOV00006</v>
      </c>
      <c r="E903" s="134" t="s">
        <v>129</v>
      </c>
      <c r="F903" s="221">
        <v>45079.0</v>
      </c>
      <c r="G903" s="222">
        <v>0.041666666666666664</v>
      </c>
      <c r="H903" s="134" t="s">
        <v>411</v>
      </c>
      <c r="I903" s="223" t="s">
        <v>475</v>
      </c>
      <c r="J903" s="223" t="b">
        <f t="shared" si="1"/>
        <v>0</v>
      </c>
      <c r="K903" s="145" t="s">
        <v>616</v>
      </c>
      <c r="L903" s="156"/>
      <c r="M903" s="134" t="s">
        <v>422</v>
      </c>
      <c r="N903" s="150">
        <f>if(and(O903=TRUE,P903=TRUE), VLOOKUP($E903,PESSOAL!$B$35:$S$45,MONTH($F903)+6,false)*G903*24,0)</f>
        <v>152.9302807</v>
      </c>
      <c r="O903" s="117" t="b">
        <f t="shared" si="2"/>
        <v>1</v>
      </c>
      <c r="P903" s="117" t="b">
        <v>1</v>
      </c>
      <c r="Q903" s="117" t="s">
        <v>368</v>
      </c>
    </row>
    <row r="904" hidden="1">
      <c r="A904" s="108"/>
      <c r="B904" s="220"/>
      <c r="C904" s="220" t="s">
        <v>57</v>
      </c>
      <c r="D904" s="220" t="str">
        <f>vlookup(M904,'Página10'!A:B,2,false)</f>
        <v>INOV00022</v>
      </c>
      <c r="E904" s="134" t="s">
        <v>129</v>
      </c>
      <c r="F904" s="221">
        <v>45079.0</v>
      </c>
      <c r="G904" s="222">
        <v>0.041666666666666664</v>
      </c>
      <c r="H904" s="134" t="s">
        <v>475</v>
      </c>
      <c r="I904" s="223" t="s">
        <v>475</v>
      </c>
      <c r="J904" s="223" t="b">
        <f t="shared" si="1"/>
        <v>1</v>
      </c>
      <c r="K904" s="145" t="s">
        <v>604</v>
      </c>
      <c r="L904" s="156"/>
      <c r="M904" s="134" t="s">
        <v>437</v>
      </c>
      <c r="N904" s="150">
        <f>if(and(O904=TRUE,P904=TRUE), VLOOKUP($E904,PESSOAL!$B$35:$S$45,MONTH($F904)+6,false)*G904*24,0)</f>
        <v>152.9302807</v>
      </c>
      <c r="O904" s="117" t="b">
        <f t="shared" si="2"/>
        <v>1</v>
      </c>
      <c r="P904" s="117" t="b">
        <v>1</v>
      </c>
      <c r="Q904" s="117" t="s">
        <v>368</v>
      </c>
    </row>
    <row r="905" hidden="1">
      <c r="A905" s="108"/>
      <c r="B905" s="220"/>
      <c r="C905" s="220" t="s">
        <v>66</v>
      </c>
      <c r="D905" s="220" t="str">
        <f>vlookup(M905,'Página10'!A:B,2,false)</f>
        <v>INOV00038</v>
      </c>
      <c r="E905" s="134" t="s">
        <v>129</v>
      </c>
      <c r="F905" s="221">
        <v>45083.0</v>
      </c>
      <c r="G905" s="222">
        <v>0.041666666666666664</v>
      </c>
      <c r="H905" s="134" t="s">
        <v>475</v>
      </c>
      <c r="I905" s="223" t="s">
        <v>411</v>
      </c>
      <c r="J905" s="223" t="b">
        <f t="shared" si="1"/>
        <v>0</v>
      </c>
      <c r="K905" s="145" t="s">
        <v>1045</v>
      </c>
      <c r="L905" s="156"/>
      <c r="M905" s="134" t="s">
        <v>460</v>
      </c>
      <c r="N905" s="150">
        <f>if(and(O905=TRUE,P905=TRUE), VLOOKUP($E905,PESSOAL!$B$35:$S$45,MONTH($F905)+6,false)*G905*24,0)</f>
        <v>152.9302807</v>
      </c>
      <c r="O905" s="117" t="b">
        <f t="shared" si="2"/>
        <v>1</v>
      </c>
      <c r="P905" s="117" t="b">
        <v>1</v>
      </c>
      <c r="Q905" s="117" t="s">
        <v>368</v>
      </c>
    </row>
    <row r="906" hidden="1">
      <c r="A906" s="108"/>
      <c r="B906" s="220"/>
      <c r="C906" s="220" t="s">
        <v>69</v>
      </c>
      <c r="D906" s="220" t="str">
        <f>vlookup(M906,'Página10'!A:B,2,false)</f>
        <v>INOV00041</v>
      </c>
      <c r="E906" s="134" t="s">
        <v>129</v>
      </c>
      <c r="F906" s="221">
        <v>45084.0</v>
      </c>
      <c r="G906" s="222">
        <v>0.041666666666666664</v>
      </c>
      <c r="H906" s="134" t="s">
        <v>411</v>
      </c>
      <c r="I906" s="223" t="s">
        <v>475</v>
      </c>
      <c r="J906" s="223" t="b">
        <f t="shared" si="1"/>
        <v>0</v>
      </c>
      <c r="K906" s="145" t="s">
        <v>616</v>
      </c>
      <c r="L906" s="156"/>
      <c r="M906" s="134" t="s">
        <v>463</v>
      </c>
      <c r="N906" s="224">
        <v>0.0</v>
      </c>
      <c r="O906" s="117" t="b">
        <f t="shared" si="2"/>
        <v>1</v>
      </c>
      <c r="P906" s="117" t="b">
        <v>1</v>
      </c>
      <c r="Q906" s="117" t="s">
        <v>368</v>
      </c>
    </row>
    <row r="907" hidden="1">
      <c r="A907" s="108"/>
      <c r="B907" s="220"/>
      <c r="C907" s="220" t="s">
        <v>58</v>
      </c>
      <c r="D907" s="220" t="str">
        <f>vlookup(M907,'Página10'!A:B,2,false)</f>
        <v>INOV00023</v>
      </c>
      <c r="E907" s="134" t="s">
        <v>129</v>
      </c>
      <c r="F907" s="221">
        <v>45084.0</v>
      </c>
      <c r="G907" s="222">
        <v>0.041666666666666664</v>
      </c>
      <c r="H907" s="134" t="s">
        <v>475</v>
      </c>
      <c r="I907" s="223" t="s">
        <v>411</v>
      </c>
      <c r="J907" s="223" t="b">
        <f t="shared" si="1"/>
        <v>0</v>
      </c>
      <c r="K907" s="145" t="s">
        <v>1045</v>
      </c>
      <c r="L907" s="156"/>
      <c r="M907" s="134" t="s">
        <v>438</v>
      </c>
      <c r="N907" s="150">
        <f>if(and(O907=TRUE,P907=TRUE), VLOOKUP($E907,PESSOAL!$B$35:$S$45,MONTH($F907)+6,false)*G907*24,0)</f>
        <v>152.9302807</v>
      </c>
      <c r="O907" s="117" t="b">
        <f t="shared" si="2"/>
        <v>1</v>
      </c>
      <c r="P907" s="117" t="b">
        <v>1</v>
      </c>
      <c r="Q907" s="117" t="s">
        <v>368</v>
      </c>
    </row>
    <row r="908" hidden="1">
      <c r="A908" s="108"/>
      <c r="B908" s="220"/>
      <c r="C908" s="220" t="s">
        <v>57</v>
      </c>
      <c r="D908" s="220" t="str">
        <f>vlookup(M908,'Página10'!A:B,2,false)</f>
        <v>INOV00022</v>
      </c>
      <c r="E908" s="134" t="s">
        <v>129</v>
      </c>
      <c r="F908" s="221">
        <v>45086.0</v>
      </c>
      <c r="G908" s="222">
        <v>0.0625</v>
      </c>
      <c r="H908" s="134" t="s">
        <v>475</v>
      </c>
      <c r="I908" s="223" t="s">
        <v>475</v>
      </c>
      <c r="J908" s="223" t="b">
        <f t="shared" si="1"/>
        <v>1</v>
      </c>
      <c r="K908" s="145" t="s">
        <v>604</v>
      </c>
      <c r="L908" s="156"/>
      <c r="M908" s="134" t="s">
        <v>437</v>
      </c>
      <c r="N908" s="150">
        <f>if(and(O908=TRUE,P908=TRUE), VLOOKUP($E908,PESSOAL!$B$35:$S$45,MONTH($F908)+6,false)*G908*24,0)</f>
        <v>229.395421</v>
      </c>
      <c r="O908" s="117" t="b">
        <f t="shared" si="2"/>
        <v>1</v>
      </c>
      <c r="P908" s="117" t="b">
        <v>1</v>
      </c>
      <c r="Q908" s="117" t="s">
        <v>368</v>
      </c>
    </row>
    <row r="909" hidden="1">
      <c r="A909" s="108"/>
      <c r="B909" s="220"/>
      <c r="C909" s="220" t="s">
        <v>57</v>
      </c>
      <c r="D909" s="220" t="str">
        <f>vlookup(M909,'Página10'!A:B,2,false)</f>
        <v>INOV00022</v>
      </c>
      <c r="E909" s="134" t="s">
        <v>129</v>
      </c>
      <c r="F909" s="221">
        <v>45089.0</v>
      </c>
      <c r="G909" s="222">
        <v>0.041666666666666664</v>
      </c>
      <c r="H909" s="134" t="s">
        <v>475</v>
      </c>
      <c r="I909" s="223" t="s">
        <v>475</v>
      </c>
      <c r="J909" s="223" t="b">
        <f t="shared" si="1"/>
        <v>1</v>
      </c>
      <c r="K909" s="145" t="s">
        <v>604</v>
      </c>
      <c r="L909" s="156"/>
      <c r="M909" s="134" t="s">
        <v>437</v>
      </c>
      <c r="N909" s="150">
        <f>if(and(O909=TRUE,P909=TRUE), VLOOKUP($E909,PESSOAL!$B$35:$S$45,MONTH($F909)+6,false)*G909*24,0)</f>
        <v>152.9302807</v>
      </c>
      <c r="O909" s="117" t="b">
        <f t="shared" si="2"/>
        <v>1</v>
      </c>
      <c r="P909" s="117" t="b">
        <v>1</v>
      </c>
      <c r="Q909" s="117" t="s">
        <v>368</v>
      </c>
    </row>
    <row r="910" hidden="1">
      <c r="A910" s="108"/>
      <c r="B910" s="220"/>
      <c r="C910" s="220" t="s">
        <v>57</v>
      </c>
      <c r="D910" s="220" t="str">
        <f>vlookup(M910,'Página10'!A:B,2,false)</f>
        <v>INOV00022</v>
      </c>
      <c r="E910" s="134" t="s">
        <v>129</v>
      </c>
      <c r="F910" s="221">
        <v>45090.0</v>
      </c>
      <c r="G910" s="222">
        <v>0.08333333333333333</v>
      </c>
      <c r="H910" s="134" t="s">
        <v>475</v>
      </c>
      <c r="I910" s="223" t="s">
        <v>475</v>
      </c>
      <c r="J910" s="223" t="b">
        <f t="shared" si="1"/>
        <v>1</v>
      </c>
      <c r="K910" s="145" t="s">
        <v>604</v>
      </c>
      <c r="L910" s="156"/>
      <c r="M910" s="134" t="s">
        <v>437</v>
      </c>
      <c r="N910" s="150">
        <f>if(and(O910=TRUE,P910=TRUE), VLOOKUP($E910,PESSOAL!$B$35:$S$45,MONTH($F910)+6,false)*G910*24,0)</f>
        <v>305.8605613</v>
      </c>
      <c r="O910" s="117" t="b">
        <f t="shared" si="2"/>
        <v>1</v>
      </c>
      <c r="P910" s="117" t="b">
        <v>1</v>
      </c>
      <c r="Q910" s="117" t="s">
        <v>368</v>
      </c>
    </row>
    <row r="911" hidden="1">
      <c r="A911" s="108"/>
      <c r="B911" s="220"/>
      <c r="C911" s="220" t="s">
        <v>50</v>
      </c>
      <c r="D911" s="220" t="str">
        <f>vlookup(M911,'Página10'!A:B,2,false)</f>
        <v>INOV00006</v>
      </c>
      <c r="E911" s="134" t="s">
        <v>129</v>
      </c>
      <c r="F911" s="221">
        <v>45090.0</v>
      </c>
      <c r="G911" s="222">
        <v>0.16666666666666666</v>
      </c>
      <c r="H911" s="134" t="s">
        <v>411</v>
      </c>
      <c r="I911" s="223" t="s">
        <v>475</v>
      </c>
      <c r="J911" s="223" t="b">
        <f t="shared" si="1"/>
        <v>0</v>
      </c>
      <c r="K911" s="145" t="s">
        <v>1046</v>
      </c>
      <c r="L911" s="156"/>
      <c r="M911" s="134" t="s">
        <v>422</v>
      </c>
      <c r="N911" s="150">
        <f>if(and(O911=TRUE,P911=TRUE), VLOOKUP($E911,PESSOAL!$B$35:$S$45,MONTH($F911)+6,false)*G911*24,0)</f>
        <v>611.7211226</v>
      </c>
      <c r="O911" s="117" t="b">
        <f t="shared" si="2"/>
        <v>1</v>
      </c>
      <c r="P911" s="117" t="b">
        <v>1</v>
      </c>
      <c r="Q911" s="117" t="s">
        <v>368</v>
      </c>
    </row>
    <row r="912" hidden="1">
      <c r="A912" s="108"/>
      <c r="B912" s="220"/>
      <c r="C912" s="220" t="s">
        <v>66</v>
      </c>
      <c r="D912" s="220" t="str">
        <f>vlookup(M912,'Página10'!A:B,2,false)</f>
        <v>INOV00038</v>
      </c>
      <c r="E912" s="134" t="s">
        <v>129</v>
      </c>
      <c r="F912" s="221">
        <v>45098.0</v>
      </c>
      <c r="G912" s="222">
        <v>0.0625</v>
      </c>
      <c r="H912" s="134" t="s">
        <v>475</v>
      </c>
      <c r="I912" s="223" t="s">
        <v>475</v>
      </c>
      <c r="J912" s="223" t="b">
        <f t="shared" si="1"/>
        <v>1</v>
      </c>
      <c r="K912" s="145" t="s">
        <v>620</v>
      </c>
      <c r="L912" s="156"/>
      <c r="M912" s="134" t="s">
        <v>460</v>
      </c>
      <c r="N912" s="150">
        <f>if(and(O912=TRUE,P912=TRUE), VLOOKUP($E912,PESSOAL!$B$35:$S$45,MONTH($F912)+6,false)*G912*24,0)</f>
        <v>229.395421</v>
      </c>
      <c r="O912" s="117" t="b">
        <f t="shared" si="2"/>
        <v>1</v>
      </c>
      <c r="P912" s="117" t="b">
        <v>1</v>
      </c>
      <c r="Q912" s="117" t="s">
        <v>368</v>
      </c>
    </row>
    <row r="913" hidden="1">
      <c r="A913" s="108"/>
      <c r="B913" s="220"/>
      <c r="C913" s="220" t="s">
        <v>435</v>
      </c>
      <c r="D913" s="220" t="str">
        <f>vlookup(M913,'Página10'!A:B,2,false)</f>
        <v>INOV00020</v>
      </c>
      <c r="E913" s="134" t="s">
        <v>129</v>
      </c>
      <c r="F913" s="221">
        <v>45099.0</v>
      </c>
      <c r="G913" s="222">
        <v>0.041666666666666664</v>
      </c>
      <c r="H913" s="134" t="s">
        <v>411</v>
      </c>
      <c r="I913" s="223" t="s">
        <v>475</v>
      </c>
      <c r="J913" s="223" t="b">
        <f t="shared" si="1"/>
        <v>0</v>
      </c>
      <c r="K913" s="145" t="s">
        <v>616</v>
      </c>
      <c r="L913" s="156"/>
      <c r="M913" s="134" t="s">
        <v>434</v>
      </c>
      <c r="N913" s="150">
        <f>if(and(O913=TRUE,P913=TRUE), VLOOKUP($E913,PESSOAL!$B$35:$S$45,MONTH($F913)+6,false)*G913*24,0)</f>
        <v>0</v>
      </c>
      <c r="O913" s="117" t="b">
        <f t="shared" si="2"/>
        <v>1</v>
      </c>
      <c r="P913" s="117" t="b">
        <v>0</v>
      </c>
      <c r="Q913" s="117" t="s">
        <v>368</v>
      </c>
    </row>
    <row r="914" hidden="1">
      <c r="A914" s="108"/>
      <c r="B914" s="220"/>
      <c r="C914" s="220" t="s">
        <v>59</v>
      </c>
      <c r="D914" s="220" t="str">
        <f>vlookup(M914,'Página10'!A:B,2,false)</f>
        <v>INOV00024</v>
      </c>
      <c r="E914" s="134" t="s">
        <v>129</v>
      </c>
      <c r="F914" s="221">
        <v>45099.0</v>
      </c>
      <c r="G914" s="222">
        <v>0.08333333333333333</v>
      </c>
      <c r="H914" s="134" t="s">
        <v>475</v>
      </c>
      <c r="I914" s="223" t="s">
        <v>475</v>
      </c>
      <c r="J914" s="223" t="b">
        <f t="shared" si="1"/>
        <v>1</v>
      </c>
      <c r="K914" s="145" t="s">
        <v>1044</v>
      </c>
      <c r="L914" s="156"/>
      <c r="M914" s="134" t="s">
        <v>439</v>
      </c>
      <c r="N914" s="150">
        <f>if(and(O914=TRUE,P914=TRUE), VLOOKUP($E914,PESSOAL!$B$35:$S$45,MONTH($F914)+6,false)*G914*24,0)</f>
        <v>305.8605613</v>
      </c>
      <c r="O914" s="117" t="b">
        <f t="shared" si="2"/>
        <v>1</v>
      </c>
      <c r="P914" s="117" t="b">
        <v>1</v>
      </c>
      <c r="Q914" s="117" t="s">
        <v>368</v>
      </c>
    </row>
    <row r="915" hidden="1">
      <c r="A915" s="108"/>
      <c r="B915" s="220"/>
      <c r="C915" s="220" t="s">
        <v>66</v>
      </c>
      <c r="D915" s="220" t="str">
        <f>vlookup(M915,'Página10'!A:B,2,false)</f>
        <v>INOV00038</v>
      </c>
      <c r="E915" s="134" t="s">
        <v>129</v>
      </c>
      <c r="F915" s="221">
        <v>45104.0</v>
      </c>
      <c r="G915" s="222">
        <v>0.041666666666666664</v>
      </c>
      <c r="H915" s="134" t="s">
        <v>475</v>
      </c>
      <c r="I915" s="223" t="s">
        <v>475</v>
      </c>
      <c r="J915" s="223" t="b">
        <f t="shared" si="1"/>
        <v>1</v>
      </c>
      <c r="K915" s="145" t="s">
        <v>620</v>
      </c>
      <c r="L915" s="156"/>
      <c r="M915" s="134" t="s">
        <v>460</v>
      </c>
      <c r="N915" s="150">
        <f>if(and(O915=TRUE,P915=TRUE), VLOOKUP($E915,PESSOAL!$B$35:$S$45,MONTH($F915)+6,false)*G915*24,0)</f>
        <v>152.9302807</v>
      </c>
      <c r="O915" s="117" t="b">
        <f t="shared" si="2"/>
        <v>1</v>
      </c>
      <c r="P915" s="117" t="b">
        <v>1</v>
      </c>
      <c r="Q915" s="117" t="s">
        <v>368</v>
      </c>
    </row>
    <row r="916" hidden="1">
      <c r="A916" s="108"/>
      <c r="B916" s="220"/>
      <c r="C916" s="220" t="s">
        <v>290</v>
      </c>
      <c r="D916" s="220" t="str">
        <f>vlookup(M916,'Página10'!A:B,2,false)</f>
        <v>INOV00001</v>
      </c>
      <c r="E916" s="134" t="s">
        <v>146</v>
      </c>
      <c r="F916" s="221">
        <v>45017.0</v>
      </c>
      <c r="G916" s="222">
        <v>0.16111111111111112</v>
      </c>
      <c r="H916" s="134" t="s">
        <v>475</v>
      </c>
      <c r="I916" s="223" t="s">
        <v>475</v>
      </c>
      <c r="J916" s="223" t="b">
        <f t="shared" si="1"/>
        <v>1</v>
      </c>
      <c r="K916" s="145" t="s">
        <v>1047</v>
      </c>
      <c r="L916" s="156"/>
      <c r="M916" s="134" t="s">
        <v>416</v>
      </c>
      <c r="N916" s="150">
        <f>if(and(O916=TRUE,P916=TRUE), VLOOKUP($E916,PESSOAL!$B$35:$S$45,MONTH($F916)+6,false)*G916*24,0)</f>
        <v>389.9001828</v>
      </c>
      <c r="O916" s="117" t="b">
        <f t="shared" si="2"/>
        <v>1</v>
      </c>
      <c r="P916" s="117" t="b">
        <v>1</v>
      </c>
      <c r="Q916" s="117" t="s">
        <v>368</v>
      </c>
    </row>
    <row r="917" hidden="1">
      <c r="A917" s="108"/>
      <c r="B917" s="220"/>
      <c r="C917" s="220" t="s">
        <v>290</v>
      </c>
      <c r="D917" s="220" t="str">
        <f>vlookup(M917,'Página10'!A:B,2,false)</f>
        <v>INOV00001</v>
      </c>
      <c r="E917" s="134" t="s">
        <v>146</v>
      </c>
      <c r="F917" s="221">
        <v>45017.0</v>
      </c>
      <c r="G917" s="222">
        <v>0.11527777777777778</v>
      </c>
      <c r="H917" s="134" t="s">
        <v>475</v>
      </c>
      <c r="I917" s="223" t="s">
        <v>475</v>
      </c>
      <c r="J917" s="223" t="b">
        <f t="shared" si="1"/>
        <v>1</v>
      </c>
      <c r="K917" s="145" t="s">
        <v>1047</v>
      </c>
      <c r="L917" s="156"/>
      <c r="M917" s="134" t="s">
        <v>416</v>
      </c>
      <c r="N917" s="150">
        <f>if(and(O917=TRUE,P917=TRUE), VLOOKUP($E917,PESSOAL!$B$35:$S$45,MONTH($F917)+6,false)*G917*24,0)</f>
        <v>278.9803032</v>
      </c>
      <c r="O917" s="117" t="b">
        <f t="shared" si="2"/>
        <v>1</v>
      </c>
      <c r="P917" s="117" t="b">
        <v>1</v>
      </c>
      <c r="Q917" s="117" t="s">
        <v>368</v>
      </c>
    </row>
    <row r="918" hidden="1">
      <c r="A918" s="108"/>
      <c r="B918" s="220"/>
      <c r="C918" s="220" t="s">
        <v>61</v>
      </c>
      <c r="D918" s="220" t="str">
        <f>vlookup(M918,'Página10'!A:B,2,false)</f>
        <v>INOV00031</v>
      </c>
      <c r="E918" s="134" t="s">
        <v>146</v>
      </c>
      <c r="F918" s="221">
        <v>45019.0</v>
      </c>
      <c r="G918" s="222">
        <v>0.0625</v>
      </c>
      <c r="H918" s="134" t="s">
        <v>411</v>
      </c>
      <c r="I918" s="223" t="s">
        <v>411</v>
      </c>
      <c r="J918" s="223" t="b">
        <f t="shared" si="1"/>
        <v>1</v>
      </c>
      <c r="K918" s="145" t="s">
        <v>1048</v>
      </c>
      <c r="L918" s="156"/>
      <c r="M918" s="134" t="s">
        <v>451</v>
      </c>
      <c r="N918" s="150">
        <f>if(and(O918=TRUE,P918=TRUE), VLOOKUP($E918,PESSOAL!$B$35:$S$45,MONTH($F918)+6,false)*G918*24,0)</f>
        <v>151.2543813</v>
      </c>
      <c r="O918" s="117" t="b">
        <f t="shared" si="2"/>
        <v>1</v>
      </c>
      <c r="P918" s="117" t="b">
        <v>1</v>
      </c>
      <c r="Q918" s="117" t="s">
        <v>368</v>
      </c>
    </row>
    <row r="919" hidden="1">
      <c r="A919" s="108"/>
      <c r="B919" s="220"/>
      <c r="C919" s="220" t="s">
        <v>54</v>
      </c>
      <c r="D919" s="220" t="str">
        <f>vlookup(M919,'Página10'!A:B,2,false)</f>
        <v>INOV00016</v>
      </c>
      <c r="E919" s="134" t="s">
        <v>146</v>
      </c>
      <c r="F919" s="221">
        <v>45019.0</v>
      </c>
      <c r="G919" s="222">
        <v>0.0625</v>
      </c>
      <c r="H919" s="134" t="s">
        <v>411</v>
      </c>
      <c r="I919" s="223" t="s">
        <v>411</v>
      </c>
      <c r="J919" s="223" t="b">
        <f t="shared" si="1"/>
        <v>1</v>
      </c>
      <c r="K919" s="145" t="s">
        <v>1049</v>
      </c>
      <c r="L919" s="156"/>
      <c r="M919" s="134" t="s">
        <v>428</v>
      </c>
      <c r="N919" s="150">
        <f>if(and(O919=TRUE,P919=TRUE), VLOOKUP($E919,PESSOAL!$B$35:$S$45,MONTH($F919)+6,false)*G919*24,0)</f>
        <v>151.2543813</v>
      </c>
      <c r="O919" s="117" t="b">
        <f t="shared" si="2"/>
        <v>1</v>
      </c>
      <c r="P919" s="117" t="b">
        <v>1</v>
      </c>
      <c r="Q919" s="117" t="s">
        <v>368</v>
      </c>
    </row>
    <row r="920" hidden="1">
      <c r="A920" s="108"/>
      <c r="B920" s="220"/>
      <c r="C920" s="220" t="s">
        <v>53</v>
      </c>
      <c r="D920" s="220" t="str">
        <f>vlookup(M920,'Página10'!A:B,2,false)</f>
        <v>INOV00014</v>
      </c>
      <c r="E920" s="134" t="s">
        <v>146</v>
      </c>
      <c r="F920" s="221">
        <v>45019.0</v>
      </c>
      <c r="G920" s="222">
        <v>0.0625</v>
      </c>
      <c r="H920" s="134" t="s">
        <v>411</v>
      </c>
      <c r="I920" s="223" t="s">
        <v>411</v>
      </c>
      <c r="J920" s="223" t="b">
        <f t="shared" si="1"/>
        <v>1</v>
      </c>
      <c r="K920" s="145" t="s">
        <v>1049</v>
      </c>
      <c r="L920" s="156"/>
      <c r="M920" s="134" t="s">
        <v>427</v>
      </c>
      <c r="N920" s="150">
        <f>if(and(O920=TRUE,P920=TRUE), VLOOKUP($E920,PESSOAL!$B$35:$S$45,MONTH($F920)+6,false)*G920*24,0)</f>
        <v>151.2543813</v>
      </c>
      <c r="O920" s="117" t="b">
        <f t="shared" si="2"/>
        <v>1</v>
      </c>
      <c r="P920" s="117" t="b">
        <v>1</v>
      </c>
      <c r="Q920" s="117" t="s">
        <v>368</v>
      </c>
    </row>
    <row r="921" hidden="1">
      <c r="A921" s="108"/>
      <c r="B921" s="220"/>
      <c r="C921" s="220" t="s">
        <v>54</v>
      </c>
      <c r="D921" s="220" t="str">
        <f>vlookup(M921,'Página10'!A:B,2,false)</f>
        <v>INOV00016</v>
      </c>
      <c r="E921" s="134" t="s">
        <v>146</v>
      </c>
      <c r="F921" s="221">
        <v>45020.0</v>
      </c>
      <c r="G921" s="222">
        <v>0.0625</v>
      </c>
      <c r="H921" s="134" t="s">
        <v>411</v>
      </c>
      <c r="I921" s="223" t="s">
        <v>411</v>
      </c>
      <c r="J921" s="223" t="b">
        <f t="shared" si="1"/>
        <v>1</v>
      </c>
      <c r="K921" s="145" t="s">
        <v>1050</v>
      </c>
      <c r="L921" s="156"/>
      <c r="M921" s="134" t="s">
        <v>428</v>
      </c>
      <c r="N921" s="150">
        <f>if(and(O921=TRUE,P921=TRUE), VLOOKUP($E921,PESSOAL!$B$35:$S$45,MONTH($F921)+6,false)*G921*24,0)</f>
        <v>151.2543813</v>
      </c>
      <c r="O921" s="117" t="b">
        <f t="shared" si="2"/>
        <v>1</v>
      </c>
      <c r="P921" s="117" t="b">
        <v>1</v>
      </c>
      <c r="Q921" s="117" t="s">
        <v>368</v>
      </c>
    </row>
    <row r="922" hidden="1">
      <c r="A922" s="108"/>
      <c r="B922" s="220"/>
      <c r="C922" s="220" t="s">
        <v>53</v>
      </c>
      <c r="D922" s="220" t="str">
        <f>vlookup(M922,'Página10'!A:B,2,false)</f>
        <v>INOV00014</v>
      </c>
      <c r="E922" s="134" t="s">
        <v>146</v>
      </c>
      <c r="F922" s="221">
        <v>45020.0</v>
      </c>
      <c r="G922" s="222">
        <v>0.0625</v>
      </c>
      <c r="H922" s="134" t="s">
        <v>411</v>
      </c>
      <c r="I922" s="223" t="s">
        <v>411</v>
      </c>
      <c r="J922" s="223" t="b">
        <f t="shared" si="1"/>
        <v>1</v>
      </c>
      <c r="K922" s="145" t="s">
        <v>1050</v>
      </c>
      <c r="L922" s="156"/>
      <c r="M922" s="134" t="s">
        <v>427</v>
      </c>
      <c r="N922" s="150">
        <f>if(and(O922=TRUE,P922=TRUE), VLOOKUP($E922,PESSOAL!$B$35:$S$45,MONTH($F922)+6,false)*G922*24,0)</f>
        <v>151.2543813</v>
      </c>
      <c r="O922" s="117" t="b">
        <f t="shared" si="2"/>
        <v>1</v>
      </c>
      <c r="P922" s="117" t="b">
        <v>1</v>
      </c>
      <c r="Q922" s="117" t="s">
        <v>368</v>
      </c>
    </row>
    <row r="923" hidden="1">
      <c r="A923" s="108"/>
      <c r="B923" s="220"/>
      <c r="C923" s="220" t="s">
        <v>290</v>
      </c>
      <c r="D923" s="220" t="str">
        <f>vlookup(M923,'Página10'!A:B,2,false)</f>
        <v>INOV00001</v>
      </c>
      <c r="E923" s="134" t="s">
        <v>146</v>
      </c>
      <c r="F923" s="221">
        <v>45020.0</v>
      </c>
      <c r="G923" s="222">
        <v>0.10416666666666667</v>
      </c>
      <c r="H923" s="134" t="s">
        <v>411</v>
      </c>
      <c r="I923" s="223" t="s">
        <v>411</v>
      </c>
      <c r="J923" s="223" t="b">
        <f t="shared" si="1"/>
        <v>1</v>
      </c>
      <c r="K923" s="145" t="s">
        <v>1051</v>
      </c>
      <c r="L923" s="156"/>
      <c r="M923" s="134" t="s">
        <v>416</v>
      </c>
      <c r="N923" s="150">
        <f>if(and(O923=TRUE,P923=TRUE), VLOOKUP($E923,PESSOAL!$B$35:$S$45,MONTH($F923)+6,false)*G923*24,0)</f>
        <v>252.0906354</v>
      </c>
      <c r="O923" s="117" t="b">
        <f t="shared" si="2"/>
        <v>1</v>
      </c>
      <c r="P923" s="117" t="b">
        <v>1</v>
      </c>
      <c r="Q923" s="117" t="s">
        <v>368</v>
      </c>
    </row>
    <row r="924" hidden="1">
      <c r="A924" s="108"/>
      <c r="B924" s="220"/>
      <c r="C924" s="220" t="s">
        <v>69</v>
      </c>
      <c r="D924" s="220" t="str">
        <f>vlookup(M924,'Página10'!A:B,2,false)</f>
        <v>INOV00041</v>
      </c>
      <c r="E924" s="134" t="s">
        <v>146</v>
      </c>
      <c r="F924" s="221">
        <v>45020.0</v>
      </c>
      <c r="G924" s="222">
        <v>0.125</v>
      </c>
      <c r="H924" s="134" t="s">
        <v>475</v>
      </c>
      <c r="I924" s="223" t="s">
        <v>475</v>
      </c>
      <c r="J924" s="223" t="b">
        <f t="shared" si="1"/>
        <v>1</v>
      </c>
      <c r="K924" s="145" t="s">
        <v>1052</v>
      </c>
      <c r="L924" s="156"/>
      <c r="M924" s="134" t="s">
        <v>463</v>
      </c>
      <c r="N924" s="224">
        <v>0.0</v>
      </c>
      <c r="O924" s="117" t="b">
        <f t="shared" si="2"/>
        <v>1</v>
      </c>
      <c r="P924" s="117" t="b">
        <v>1</v>
      </c>
      <c r="Q924" s="117" t="s">
        <v>368</v>
      </c>
    </row>
    <row r="925" hidden="1">
      <c r="A925" s="108"/>
      <c r="B925" s="220"/>
      <c r="C925" s="220" t="s">
        <v>290</v>
      </c>
      <c r="D925" s="220" t="str">
        <f>vlookup(M925,'Página10'!A:B,2,false)</f>
        <v>INOV00001</v>
      </c>
      <c r="E925" s="134" t="s">
        <v>146</v>
      </c>
      <c r="F925" s="221">
        <v>45021.0</v>
      </c>
      <c r="G925" s="222">
        <v>0.11458333333333333</v>
      </c>
      <c r="H925" s="134" t="s">
        <v>475</v>
      </c>
      <c r="I925" s="223" t="s">
        <v>475</v>
      </c>
      <c r="J925" s="223" t="b">
        <f t="shared" si="1"/>
        <v>1</v>
      </c>
      <c r="K925" s="145" t="s">
        <v>1053</v>
      </c>
      <c r="L925" s="156"/>
      <c r="M925" s="134" t="s">
        <v>416</v>
      </c>
      <c r="N925" s="150">
        <f>if(and(O925=TRUE,P925=TRUE), VLOOKUP($E925,PESSOAL!$B$35:$S$45,MONTH($F925)+6,false)*G925*24,0)</f>
        <v>277.299699</v>
      </c>
      <c r="O925" s="117" t="b">
        <f t="shared" si="2"/>
        <v>1</v>
      </c>
      <c r="P925" s="117" t="b">
        <v>1</v>
      </c>
      <c r="Q925" s="117" t="s">
        <v>368</v>
      </c>
    </row>
    <row r="926" hidden="1">
      <c r="A926" s="108"/>
      <c r="B926" s="220"/>
      <c r="C926" s="220" t="s">
        <v>290</v>
      </c>
      <c r="D926" s="220" t="str">
        <f>vlookup(M926,'Página10'!A:B,2,false)</f>
        <v>INOV00001</v>
      </c>
      <c r="E926" s="134" t="s">
        <v>146</v>
      </c>
      <c r="F926" s="221">
        <v>45021.0</v>
      </c>
      <c r="G926" s="222">
        <v>0.10416666666666667</v>
      </c>
      <c r="H926" s="134" t="s">
        <v>411</v>
      </c>
      <c r="I926" s="223" t="s">
        <v>411</v>
      </c>
      <c r="J926" s="223" t="b">
        <f t="shared" si="1"/>
        <v>1</v>
      </c>
      <c r="K926" s="145" t="s">
        <v>1054</v>
      </c>
      <c r="L926" s="156"/>
      <c r="M926" s="134" t="s">
        <v>416</v>
      </c>
      <c r="N926" s="150">
        <f>if(and(O926=TRUE,P926=TRUE), VLOOKUP($E926,PESSOAL!$B$35:$S$45,MONTH($F926)+6,false)*G926*24,0)</f>
        <v>252.0906354</v>
      </c>
      <c r="O926" s="117" t="b">
        <f t="shared" si="2"/>
        <v>1</v>
      </c>
      <c r="P926" s="117" t="b">
        <v>1</v>
      </c>
      <c r="Q926" s="117" t="s">
        <v>368</v>
      </c>
    </row>
    <row r="927" hidden="1">
      <c r="A927" s="108"/>
      <c r="B927" s="220"/>
      <c r="C927" s="220" t="s">
        <v>54</v>
      </c>
      <c r="D927" s="220" t="str">
        <f>vlookup(M927,'Página10'!A:B,2,false)</f>
        <v>INOV00016</v>
      </c>
      <c r="E927" s="134" t="s">
        <v>146</v>
      </c>
      <c r="F927" s="221">
        <v>45021.0</v>
      </c>
      <c r="G927" s="222">
        <v>0.020833333333333332</v>
      </c>
      <c r="H927" s="134" t="s">
        <v>479</v>
      </c>
      <c r="I927" s="223" t="s">
        <v>479</v>
      </c>
      <c r="J927" s="223" t="b">
        <f t="shared" si="1"/>
        <v>1</v>
      </c>
      <c r="K927" s="145" t="s">
        <v>1055</v>
      </c>
      <c r="L927" s="156"/>
      <c r="M927" s="134" t="s">
        <v>428</v>
      </c>
      <c r="N927" s="150">
        <f>if(and(O927=TRUE,P927=TRUE), VLOOKUP($E927,PESSOAL!$B$35:$S$45,MONTH($F927)+6,false)*G927*24,0)</f>
        <v>0</v>
      </c>
      <c r="O927" s="117" t="b">
        <f t="shared" si="2"/>
        <v>0</v>
      </c>
      <c r="P927" s="117" t="b">
        <v>1</v>
      </c>
      <c r="Q927" s="117" t="s">
        <v>368</v>
      </c>
    </row>
    <row r="928" hidden="1">
      <c r="A928" s="108"/>
      <c r="B928" s="220"/>
      <c r="C928" s="220" t="s">
        <v>290</v>
      </c>
      <c r="D928" s="220" t="str">
        <f>vlookup(M928,'Página10'!A:B,2,false)</f>
        <v>INOV00001</v>
      </c>
      <c r="E928" s="134" t="s">
        <v>146</v>
      </c>
      <c r="F928" s="221">
        <v>45021.0</v>
      </c>
      <c r="G928" s="222">
        <v>0.08333333333333333</v>
      </c>
      <c r="H928" s="134" t="s">
        <v>475</v>
      </c>
      <c r="I928" s="223" t="s">
        <v>475</v>
      </c>
      <c r="J928" s="223" t="b">
        <f t="shared" si="1"/>
        <v>1</v>
      </c>
      <c r="K928" s="145" t="s">
        <v>1053</v>
      </c>
      <c r="L928" s="156"/>
      <c r="M928" s="134" t="s">
        <v>416</v>
      </c>
      <c r="N928" s="150">
        <f>if(and(O928=TRUE,P928=TRUE), VLOOKUP($E928,PESSOAL!$B$35:$S$45,MONTH($F928)+6,false)*G928*24,0)</f>
        <v>201.6725083</v>
      </c>
      <c r="O928" s="117" t="b">
        <f t="shared" si="2"/>
        <v>1</v>
      </c>
      <c r="P928" s="117" t="b">
        <v>1</v>
      </c>
      <c r="Q928" s="117" t="s">
        <v>368</v>
      </c>
    </row>
    <row r="929" hidden="1">
      <c r="A929" s="108"/>
      <c r="B929" s="220"/>
      <c r="C929" s="220" t="s">
        <v>53</v>
      </c>
      <c r="D929" s="220" t="str">
        <f>vlookup(M929,'Página10'!A:B,2,false)</f>
        <v>INOV00014</v>
      </c>
      <c r="E929" s="134" t="s">
        <v>146</v>
      </c>
      <c r="F929" s="221">
        <v>45022.0</v>
      </c>
      <c r="G929" s="222">
        <v>0.10416666666666667</v>
      </c>
      <c r="H929" s="134" t="s">
        <v>411</v>
      </c>
      <c r="I929" s="223" t="s">
        <v>411</v>
      </c>
      <c r="J929" s="223" t="b">
        <f t="shared" si="1"/>
        <v>1</v>
      </c>
      <c r="K929" s="145" t="s">
        <v>1056</v>
      </c>
      <c r="L929" s="156"/>
      <c r="M929" s="134" t="s">
        <v>427</v>
      </c>
      <c r="N929" s="150">
        <f>if(and(O929=TRUE,P929=TRUE), VLOOKUP($E929,PESSOAL!$B$35:$S$45,MONTH($F929)+6,false)*G929*24,0)</f>
        <v>252.0906354</v>
      </c>
      <c r="O929" s="117" t="b">
        <f t="shared" si="2"/>
        <v>1</v>
      </c>
      <c r="P929" s="117" t="b">
        <v>1</v>
      </c>
      <c r="Q929" s="117" t="s">
        <v>368</v>
      </c>
    </row>
    <row r="930" hidden="1">
      <c r="A930" s="108"/>
      <c r="B930" s="220"/>
      <c r="C930" s="220" t="s">
        <v>290</v>
      </c>
      <c r="D930" s="220" t="str">
        <f>vlookup(M930,'Página10'!A:B,2,false)</f>
        <v>INOV00001</v>
      </c>
      <c r="E930" s="134" t="s">
        <v>146</v>
      </c>
      <c r="F930" s="221">
        <v>45022.0</v>
      </c>
      <c r="G930" s="222">
        <v>0.08333333333333333</v>
      </c>
      <c r="H930" s="134" t="s">
        <v>411</v>
      </c>
      <c r="I930" s="223" t="s">
        <v>411</v>
      </c>
      <c r="J930" s="223" t="b">
        <f t="shared" si="1"/>
        <v>1</v>
      </c>
      <c r="K930" s="145" t="s">
        <v>1057</v>
      </c>
      <c r="L930" s="156"/>
      <c r="M930" s="134" t="s">
        <v>416</v>
      </c>
      <c r="N930" s="150">
        <f>if(and(O930=TRUE,P930=TRUE), VLOOKUP($E930,PESSOAL!$B$35:$S$45,MONTH($F930)+6,false)*G930*24,0)</f>
        <v>201.6725083</v>
      </c>
      <c r="O930" s="117" t="b">
        <f t="shared" si="2"/>
        <v>1</v>
      </c>
      <c r="P930" s="117" t="b">
        <v>1</v>
      </c>
      <c r="Q930" s="117" t="s">
        <v>368</v>
      </c>
    </row>
    <row r="931" hidden="1">
      <c r="A931" s="108"/>
      <c r="B931" s="220"/>
      <c r="C931" s="220" t="s">
        <v>290</v>
      </c>
      <c r="D931" s="220" t="str">
        <f>vlookup(M931,'Página10'!A:B,2,false)</f>
        <v>INOV00001</v>
      </c>
      <c r="E931" s="134" t="s">
        <v>146</v>
      </c>
      <c r="F931" s="221">
        <v>45022.0</v>
      </c>
      <c r="G931" s="222">
        <v>0.125</v>
      </c>
      <c r="H931" s="134" t="s">
        <v>411</v>
      </c>
      <c r="I931" s="223" t="s">
        <v>411</v>
      </c>
      <c r="J931" s="223" t="b">
        <f t="shared" si="1"/>
        <v>1</v>
      </c>
      <c r="K931" s="145" t="s">
        <v>1058</v>
      </c>
      <c r="L931" s="156"/>
      <c r="M931" s="134" t="s">
        <v>416</v>
      </c>
      <c r="N931" s="150">
        <f>if(and(O931=TRUE,P931=TRUE), VLOOKUP($E931,PESSOAL!$B$35:$S$45,MONTH($F931)+6,false)*G931*24,0)</f>
        <v>302.5087625</v>
      </c>
      <c r="O931" s="117" t="b">
        <f t="shared" si="2"/>
        <v>1</v>
      </c>
      <c r="P931" s="117" t="b">
        <v>1</v>
      </c>
      <c r="Q931" s="117" t="s">
        <v>368</v>
      </c>
    </row>
    <row r="932" hidden="1">
      <c r="A932" s="108"/>
      <c r="B932" s="220"/>
      <c r="C932" s="220" t="s">
        <v>290</v>
      </c>
      <c r="D932" s="220" t="str">
        <f>vlookup(M932,'Página10'!A:B,2,false)</f>
        <v>INOV00001</v>
      </c>
      <c r="E932" s="134" t="s">
        <v>146</v>
      </c>
      <c r="F932" s="221">
        <v>45026.0</v>
      </c>
      <c r="G932" s="222">
        <v>0.10416666666666667</v>
      </c>
      <c r="H932" s="134" t="s">
        <v>411</v>
      </c>
      <c r="I932" s="223" t="s">
        <v>411</v>
      </c>
      <c r="J932" s="223" t="b">
        <f t="shared" si="1"/>
        <v>1</v>
      </c>
      <c r="K932" s="145" t="s">
        <v>1059</v>
      </c>
      <c r="L932" s="156"/>
      <c r="M932" s="134" t="s">
        <v>416</v>
      </c>
      <c r="N932" s="150">
        <f>if(and(O932=TRUE,P932=TRUE), VLOOKUP($E932,PESSOAL!$B$35:$S$45,MONTH($F932)+6,false)*G932*24,0)</f>
        <v>252.0906354</v>
      </c>
      <c r="O932" s="117" t="b">
        <f t="shared" si="2"/>
        <v>1</v>
      </c>
      <c r="P932" s="117" t="b">
        <v>1</v>
      </c>
      <c r="Q932" s="117" t="s">
        <v>368</v>
      </c>
    </row>
    <row r="933" hidden="1">
      <c r="A933" s="108"/>
      <c r="B933" s="220"/>
      <c r="C933" s="220" t="s">
        <v>290</v>
      </c>
      <c r="D933" s="220" t="str">
        <f>vlookup(M933,'Página10'!A:B,2,false)</f>
        <v>INOV00001</v>
      </c>
      <c r="E933" s="134" t="s">
        <v>146</v>
      </c>
      <c r="F933" s="221">
        <v>45026.0</v>
      </c>
      <c r="G933" s="222">
        <v>0.0625</v>
      </c>
      <c r="H933" s="134" t="s">
        <v>411</v>
      </c>
      <c r="I933" s="223" t="s">
        <v>411</v>
      </c>
      <c r="J933" s="223" t="b">
        <f t="shared" si="1"/>
        <v>1</v>
      </c>
      <c r="K933" s="145" t="s">
        <v>1060</v>
      </c>
      <c r="L933" s="156"/>
      <c r="M933" s="134" t="s">
        <v>416</v>
      </c>
      <c r="N933" s="150">
        <f>if(and(O933=TRUE,P933=TRUE), VLOOKUP($E933,PESSOAL!$B$35:$S$45,MONTH($F933)+6,false)*G933*24,0)</f>
        <v>151.2543813</v>
      </c>
      <c r="O933" s="117" t="b">
        <f t="shared" si="2"/>
        <v>1</v>
      </c>
      <c r="P933" s="117" t="b">
        <v>1</v>
      </c>
      <c r="Q933" s="117" t="s">
        <v>368</v>
      </c>
    </row>
    <row r="934" hidden="1">
      <c r="A934" s="108"/>
      <c r="B934" s="220"/>
      <c r="C934" s="220" t="s">
        <v>68</v>
      </c>
      <c r="D934" s="220" t="str">
        <f>vlookup(M934,'Página10'!A:B,2,false)</f>
        <v>INOV00040</v>
      </c>
      <c r="E934" s="134" t="s">
        <v>146</v>
      </c>
      <c r="F934" s="221">
        <v>45026.0</v>
      </c>
      <c r="G934" s="222">
        <v>0.041666666666666664</v>
      </c>
      <c r="H934" s="134" t="s">
        <v>411</v>
      </c>
      <c r="I934" s="223" t="s">
        <v>411</v>
      </c>
      <c r="J934" s="223" t="b">
        <f t="shared" si="1"/>
        <v>1</v>
      </c>
      <c r="K934" s="145" t="s">
        <v>1061</v>
      </c>
      <c r="L934" s="156"/>
      <c r="M934" s="134" t="s">
        <v>462</v>
      </c>
      <c r="N934" s="150">
        <f>if(and(O934=TRUE,P934=TRUE), VLOOKUP($E934,PESSOAL!$B$35:$S$45,MONTH($F934)+6,false)*G934*24,0)</f>
        <v>0</v>
      </c>
      <c r="O934" s="117" t="b">
        <f t="shared" si="2"/>
        <v>1</v>
      </c>
      <c r="P934" s="117" t="b">
        <v>0</v>
      </c>
      <c r="Q934" s="117" t="s">
        <v>368</v>
      </c>
    </row>
    <row r="935" hidden="1">
      <c r="A935" s="108"/>
      <c r="B935" s="220"/>
      <c r="C935" s="220" t="s">
        <v>55</v>
      </c>
      <c r="D935" s="220" t="str">
        <f>vlookup(M935,'Página10'!A:B,2,false)</f>
        <v>INOV00017</v>
      </c>
      <c r="E935" s="134" t="s">
        <v>146</v>
      </c>
      <c r="F935" s="221">
        <v>45026.0</v>
      </c>
      <c r="G935" s="222">
        <v>0.10416666666666667</v>
      </c>
      <c r="H935" s="134" t="s">
        <v>411</v>
      </c>
      <c r="I935" s="223" t="s">
        <v>411</v>
      </c>
      <c r="J935" s="223" t="b">
        <f t="shared" si="1"/>
        <v>1</v>
      </c>
      <c r="K935" s="145" t="s">
        <v>1062</v>
      </c>
      <c r="L935" s="156"/>
      <c r="M935" s="134" t="s">
        <v>429</v>
      </c>
      <c r="N935" s="150">
        <f>if(and(O935=TRUE,P935=TRUE), VLOOKUP($E935,PESSOAL!$B$35:$S$45,MONTH($F935)+6,false)*G935*24,0)</f>
        <v>252.0906354</v>
      </c>
      <c r="O935" s="117" t="b">
        <f t="shared" si="2"/>
        <v>1</v>
      </c>
      <c r="P935" s="117" t="b">
        <v>1</v>
      </c>
      <c r="Q935" s="117" t="s">
        <v>368</v>
      </c>
    </row>
    <row r="936" hidden="1">
      <c r="A936" s="108"/>
      <c r="B936" s="220"/>
      <c r="C936" s="220" t="s">
        <v>290</v>
      </c>
      <c r="D936" s="220" t="str">
        <f>vlookup(M936,'Página10'!A:B,2,false)</f>
        <v>INOV00001</v>
      </c>
      <c r="E936" s="134" t="s">
        <v>146</v>
      </c>
      <c r="F936" s="221">
        <v>45027.0</v>
      </c>
      <c r="G936" s="222">
        <v>0.14583333333333334</v>
      </c>
      <c r="H936" s="134" t="s">
        <v>475</v>
      </c>
      <c r="I936" s="223" t="s">
        <v>411</v>
      </c>
      <c r="J936" s="223" t="b">
        <f t="shared" si="1"/>
        <v>0</v>
      </c>
      <c r="K936" s="145" t="s">
        <v>1063</v>
      </c>
      <c r="L936" s="156"/>
      <c r="M936" s="134" t="s">
        <v>416</v>
      </c>
      <c r="N936" s="150">
        <f>if(and(O936=TRUE,P936=TRUE), VLOOKUP($E936,PESSOAL!$B$35:$S$45,MONTH($F936)+6,false)*G936*24,0)</f>
        <v>352.9268896</v>
      </c>
      <c r="O936" s="117" t="b">
        <f t="shared" si="2"/>
        <v>1</v>
      </c>
      <c r="P936" s="117" t="b">
        <v>1</v>
      </c>
      <c r="Q936" s="117" t="s">
        <v>368</v>
      </c>
    </row>
    <row r="937" hidden="1">
      <c r="A937" s="108"/>
      <c r="B937" s="220"/>
      <c r="C937" s="220" t="s">
        <v>290</v>
      </c>
      <c r="D937" s="220" t="str">
        <f>vlookup(M937,'Página10'!A:B,2,false)</f>
        <v>INOV00001</v>
      </c>
      <c r="E937" s="134" t="s">
        <v>146</v>
      </c>
      <c r="F937" s="221">
        <v>45027.0</v>
      </c>
      <c r="G937" s="222">
        <v>0.041666666666666664</v>
      </c>
      <c r="H937" s="134" t="s">
        <v>411</v>
      </c>
      <c r="I937" s="223" t="s">
        <v>411</v>
      </c>
      <c r="J937" s="223" t="b">
        <f t="shared" si="1"/>
        <v>1</v>
      </c>
      <c r="K937" s="145" t="s">
        <v>1064</v>
      </c>
      <c r="L937" s="156"/>
      <c r="M937" s="134" t="s">
        <v>416</v>
      </c>
      <c r="N937" s="150">
        <f>if(and(O937=TRUE,P937=TRUE), VLOOKUP($E937,PESSOAL!$B$35:$S$45,MONTH($F937)+6,false)*G937*24,0)</f>
        <v>100.8362542</v>
      </c>
      <c r="O937" s="117" t="b">
        <f t="shared" si="2"/>
        <v>1</v>
      </c>
      <c r="P937" s="117" t="b">
        <v>1</v>
      </c>
      <c r="Q937" s="117" t="s">
        <v>368</v>
      </c>
    </row>
    <row r="938" hidden="1">
      <c r="A938" s="108"/>
      <c r="B938" s="220"/>
      <c r="C938" s="220" t="s">
        <v>56</v>
      </c>
      <c r="D938" s="220" t="str">
        <f>vlookup(M938,'Página10'!A:B,2,false)</f>
        <v>INOV00021</v>
      </c>
      <c r="E938" s="134" t="s">
        <v>146</v>
      </c>
      <c r="F938" s="221">
        <v>45027.0</v>
      </c>
      <c r="G938" s="222">
        <v>0.041666666666666664</v>
      </c>
      <c r="H938" s="134" t="s">
        <v>411</v>
      </c>
      <c r="I938" s="223" t="s">
        <v>411</v>
      </c>
      <c r="J938" s="223" t="b">
        <f t="shared" si="1"/>
        <v>1</v>
      </c>
      <c r="K938" s="145" t="s">
        <v>1065</v>
      </c>
      <c r="L938" s="156"/>
      <c r="M938" s="134" t="s">
        <v>436</v>
      </c>
      <c r="N938" s="150">
        <f>if(and(O938=TRUE,P938=TRUE), VLOOKUP($E938,PESSOAL!$B$35:$S$45,MONTH($F938)+6,false)*G938*24,0)</f>
        <v>100.8362542</v>
      </c>
      <c r="O938" s="117" t="b">
        <f t="shared" si="2"/>
        <v>1</v>
      </c>
      <c r="P938" s="117" t="b">
        <v>1</v>
      </c>
      <c r="Q938" s="117" t="s">
        <v>368</v>
      </c>
    </row>
    <row r="939" hidden="1">
      <c r="A939" s="108"/>
      <c r="B939" s="220"/>
      <c r="C939" s="220" t="s">
        <v>290</v>
      </c>
      <c r="D939" s="220" t="str">
        <f>vlookup(M939,'Página10'!A:B,2,false)</f>
        <v>INOV00001</v>
      </c>
      <c r="E939" s="134" t="s">
        <v>146</v>
      </c>
      <c r="F939" s="221">
        <v>45027.0</v>
      </c>
      <c r="G939" s="222">
        <v>0.125</v>
      </c>
      <c r="H939" s="134" t="s">
        <v>411</v>
      </c>
      <c r="I939" s="223" t="s">
        <v>411</v>
      </c>
      <c r="J939" s="223" t="b">
        <f t="shared" si="1"/>
        <v>1</v>
      </c>
      <c r="K939" s="145" t="s">
        <v>1066</v>
      </c>
      <c r="L939" s="156"/>
      <c r="M939" s="134" t="s">
        <v>416</v>
      </c>
      <c r="N939" s="150">
        <f>if(and(O939=TRUE,P939=TRUE), VLOOKUP($E939,PESSOAL!$B$35:$S$45,MONTH($F939)+6,false)*G939*24,0)</f>
        <v>302.5087625</v>
      </c>
      <c r="O939" s="117" t="b">
        <f t="shared" si="2"/>
        <v>1</v>
      </c>
      <c r="P939" s="117" t="b">
        <v>1</v>
      </c>
      <c r="Q939" s="117" t="s">
        <v>368</v>
      </c>
    </row>
    <row r="940" hidden="1">
      <c r="A940" s="108"/>
      <c r="B940" s="220"/>
      <c r="C940" s="220" t="s">
        <v>68</v>
      </c>
      <c r="D940" s="220" t="str">
        <f>vlookup(M940,'Página10'!A:B,2,false)</f>
        <v>INOV00040</v>
      </c>
      <c r="E940" s="134" t="s">
        <v>146</v>
      </c>
      <c r="F940" s="221">
        <v>45028.0</v>
      </c>
      <c r="G940" s="222">
        <v>0.125</v>
      </c>
      <c r="H940" s="134" t="s">
        <v>411</v>
      </c>
      <c r="I940" s="223" t="s">
        <v>411</v>
      </c>
      <c r="J940" s="223" t="b">
        <f t="shared" si="1"/>
        <v>1</v>
      </c>
      <c r="K940" s="145" t="s">
        <v>1067</v>
      </c>
      <c r="L940" s="156"/>
      <c r="M940" s="134" t="s">
        <v>462</v>
      </c>
      <c r="N940" s="150">
        <f>if(and(O940=TRUE,P940=TRUE), VLOOKUP($E940,PESSOAL!$B$35:$S$45,MONTH($F940)+6,false)*G940*24,0)</f>
        <v>0</v>
      </c>
      <c r="O940" s="117" t="b">
        <f t="shared" si="2"/>
        <v>1</v>
      </c>
      <c r="P940" s="117" t="b">
        <v>0</v>
      </c>
      <c r="Q940" s="117" t="s">
        <v>368</v>
      </c>
    </row>
    <row r="941" hidden="1">
      <c r="A941" s="108"/>
      <c r="B941" s="220"/>
      <c r="C941" s="220" t="s">
        <v>55</v>
      </c>
      <c r="D941" s="220" t="str">
        <f>vlookup(M941,'Página10'!A:B,2,false)</f>
        <v>INOV00017</v>
      </c>
      <c r="E941" s="134" t="s">
        <v>146</v>
      </c>
      <c r="F941" s="221">
        <v>45028.0</v>
      </c>
      <c r="G941" s="222">
        <v>0.125</v>
      </c>
      <c r="H941" s="134" t="s">
        <v>411</v>
      </c>
      <c r="I941" s="223" t="s">
        <v>411</v>
      </c>
      <c r="J941" s="223" t="b">
        <f t="shared" si="1"/>
        <v>1</v>
      </c>
      <c r="K941" s="145" t="s">
        <v>1068</v>
      </c>
      <c r="L941" s="156"/>
      <c r="M941" s="134" t="s">
        <v>429</v>
      </c>
      <c r="N941" s="150">
        <f>if(and(O941=TRUE,P941=TRUE), VLOOKUP($E941,PESSOAL!$B$35:$S$45,MONTH($F941)+6,false)*G941*24,0)</f>
        <v>302.5087625</v>
      </c>
      <c r="O941" s="117" t="b">
        <f t="shared" si="2"/>
        <v>1</v>
      </c>
      <c r="P941" s="117" t="b">
        <v>1</v>
      </c>
      <c r="Q941" s="117" t="s">
        <v>368</v>
      </c>
    </row>
    <row r="942" hidden="1">
      <c r="A942" s="108"/>
      <c r="B942" s="220"/>
      <c r="C942" s="220" t="s">
        <v>290</v>
      </c>
      <c r="D942" s="220" t="str">
        <f>vlookup(M942,'Página10'!A:B,2,false)</f>
        <v>INOV00001</v>
      </c>
      <c r="E942" s="134" t="s">
        <v>146</v>
      </c>
      <c r="F942" s="221">
        <v>45029.0</v>
      </c>
      <c r="G942" s="222">
        <v>0.020833333333333332</v>
      </c>
      <c r="H942" s="134" t="s">
        <v>411</v>
      </c>
      <c r="I942" s="223" t="s">
        <v>411</v>
      </c>
      <c r="J942" s="223" t="b">
        <f t="shared" si="1"/>
        <v>1</v>
      </c>
      <c r="K942" s="145" t="s">
        <v>1069</v>
      </c>
      <c r="L942" s="156"/>
      <c r="M942" s="134" t="s">
        <v>416</v>
      </c>
      <c r="N942" s="150">
        <f>if(and(O942=TRUE,P942=TRUE), VLOOKUP($E942,PESSOAL!$B$35:$S$45,MONTH($F942)+6,false)*G942*24,0)</f>
        <v>50.41812708</v>
      </c>
      <c r="O942" s="117" t="b">
        <f t="shared" si="2"/>
        <v>1</v>
      </c>
      <c r="P942" s="117" t="b">
        <v>1</v>
      </c>
      <c r="Q942" s="117" t="s">
        <v>368</v>
      </c>
    </row>
    <row r="943" hidden="1">
      <c r="A943" s="108"/>
      <c r="B943" s="220"/>
      <c r="C943" s="220" t="s">
        <v>290</v>
      </c>
      <c r="D943" s="220" t="str">
        <f>vlookup(M943,'Página10'!A:B,2,false)</f>
        <v>INOV00001</v>
      </c>
      <c r="E943" s="134" t="s">
        <v>146</v>
      </c>
      <c r="F943" s="221">
        <v>45030.0</v>
      </c>
      <c r="G943" s="222">
        <v>0.20833333333333334</v>
      </c>
      <c r="H943" s="134" t="s">
        <v>411</v>
      </c>
      <c r="I943" s="223" t="s">
        <v>411</v>
      </c>
      <c r="J943" s="223" t="b">
        <f t="shared" si="1"/>
        <v>1</v>
      </c>
      <c r="K943" s="145" t="s">
        <v>1070</v>
      </c>
      <c r="L943" s="156"/>
      <c r="M943" s="134" t="s">
        <v>416</v>
      </c>
      <c r="N943" s="150">
        <f>if(and(O943=TRUE,P943=TRUE), VLOOKUP($E943,PESSOAL!$B$35:$S$45,MONTH($F943)+6,false)*G943*24,0)</f>
        <v>504.1812708</v>
      </c>
      <c r="O943" s="117" t="b">
        <f t="shared" si="2"/>
        <v>1</v>
      </c>
      <c r="P943" s="117" t="b">
        <v>1</v>
      </c>
      <c r="Q943" s="117" t="s">
        <v>368</v>
      </c>
    </row>
    <row r="944" hidden="1">
      <c r="A944" s="108"/>
      <c r="B944" s="220"/>
      <c r="C944" s="220" t="s">
        <v>53</v>
      </c>
      <c r="D944" s="220" t="str">
        <f>vlookup(M944,'Página10'!A:B,2,false)</f>
        <v>INOV00014</v>
      </c>
      <c r="E944" s="134" t="s">
        <v>146</v>
      </c>
      <c r="F944" s="221">
        <v>45033.0</v>
      </c>
      <c r="G944" s="222">
        <v>0.1875</v>
      </c>
      <c r="H944" s="134" t="s">
        <v>411</v>
      </c>
      <c r="I944" s="223" t="s">
        <v>475</v>
      </c>
      <c r="J944" s="223" t="b">
        <f t="shared" si="1"/>
        <v>0</v>
      </c>
      <c r="K944" s="145" t="s">
        <v>1071</v>
      </c>
      <c r="L944" s="156"/>
      <c r="M944" s="134" t="s">
        <v>427</v>
      </c>
      <c r="N944" s="150">
        <f>if(and(O944=TRUE,P944=TRUE), VLOOKUP($E944,PESSOAL!$B$35:$S$45,MONTH($F944)+6,false)*G944*24,0)</f>
        <v>453.7631438</v>
      </c>
      <c r="O944" s="117" t="b">
        <f t="shared" si="2"/>
        <v>1</v>
      </c>
      <c r="P944" s="117" t="b">
        <v>1</v>
      </c>
      <c r="Q944" s="117" t="s">
        <v>368</v>
      </c>
    </row>
    <row r="945" hidden="1">
      <c r="A945" s="108"/>
      <c r="B945" s="220"/>
      <c r="C945" s="220" t="s">
        <v>290</v>
      </c>
      <c r="D945" s="220" t="str">
        <f>vlookup(M945,'Página10'!A:B,2,false)</f>
        <v>INOV00001</v>
      </c>
      <c r="E945" s="134" t="s">
        <v>146</v>
      </c>
      <c r="F945" s="221">
        <v>45033.0</v>
      </c>
      <c r="G945" s="222">
        <v>0.08333333333333333</v>
      </c>
      <c r="H945" s="134" t="s">
        <v>411</v>
      </c>
      <c r="I945" s="223" t="s">
        <v>411</v>
      </c>
      <c r="J945" s="223" t="b">
        <f t="shared" si="1"/>
        <v>1</v>
      </c>
      <c r="K945" s="145" t="s">
        <v>1072</v>
      </c>
      <c r="L945" s="156"/>
      <c r="M945" s="134" t="s">
        <v>416</v>
      </c>
      <c r="N945" s="150">
        <f>if(and(O945=TRUE,P945=TRUE), VLOOKUP($E945,PESSOAL!$B$35:$S$45,MONTH($F945)+6,false)*G945*24,0)</f>
        <v>201.6725083</v>
      </c>
      <c r="O945" s="117" t="b">
        <f t="shared" si="2"/>
        <v>1</v>
      </c>
      <c r="P945" s="117" t="b">
        <v>1</v>
      </c>
      <c r="Q945" s="117" t="s">
        <v>368</v>
      </c>
    </row>
    <row r="946" hidden="1">
      <c r="A946" s="108"/>
      <c r="B946" s="220"/>
      <c r="C946" s="220" t="s">
        <v>51</v>
      </c>
      <c r="D946" s="220" t="str">
        <f>vlookup(M946,'Página10'!A:B,2,false)</f>
        <v>INOV00010</v>
      </c>
      <c r="E946" s="134" t="s">
        <v>146</v>
      </c>
      <c r="F946" s="221">
        <v>45034.0</v>
      </c>
      <c r="G946" s="222">
        <v>0.0625</v>
      </c>
      <c r="H946" s="134" t="s">
        <v>411</v>
      </c>
      <c r="I946" s="223" t="s">
        <v>411</v>
      </c>
      <c r="J946" s="223" t="b">
        <f t="shared" si="1"/>
        <v>1</v>
      </c>
      <c r="K946" s="145" t="s">
        <v>1073</v>
      </c>
      <c r="L946" s="156"/>
      <c r="M946" s="134" t="s">
        <v>423</v>
      </c>
      <c r="N946" s="150">
        <f>if(and(O946=TRUE,P946=TRUE), VLOOKUP($E946,PESSOAL!$B$35:$S$45,MONTH($F946)+6,false)*G946*24,0)</f>
        <v>151.2543813</v>
      </c>
      <c r="O946" s="117" t="b">
        <f t="shared" si="2"/>
        <v>1</v>
      </c>
      <c r="P946" s="117" t="b">
        <v>1</v>
      </c>
      <c r="Q946" s="117" t="s">
        <v>368</v>
      </c>
    </row>
    <row r="947" hidden="1">
      <c r="A947" s="108"/>
      <c r="B947" s="220"/>
      <c r="C947" s="220" t="s">
        <v>290</v>
      </c>
      <c r="D947" s="220" t="str">
        <f>vlookup(M947,'Página10'!A:B,2,false)</f>
        <v>INOV00001</v>
      </c>
      <c r="E947" s="134" t="s">
        <v>146</v>
      </c>
      <c r="F947" s="221">
        <v>45034.0</v>
      </c>
      <c r="G947" s="222">
        <v>0.041666666666666664</v>
      </c>
      <c r="H947" s="134" t="s">
        <v>479</v>
      </c>
      <c r="I947" s="223" t="s">
        <v>479</v>
      </c>
      <c r="J947" s="223" t="b">
        <f t="shared" si="1"/>
        <v>1</v>
      </c>
      <c r="K947" s="145" t="s">
        <v>1074</v>
      </c>
      <c r="L947" s="156"/>
      <c r="M947" s="134" t="s">
        <v>416</v>
      </c>
      <c r="N947" s="150">
        <f>if(and(O947=TRUE,P947=TRUE), VLOOKUP($E947,PESSOAL!$B$35:$S$45,MONTH($F947)+6,false)*G947*24,0)</f>
        <v>0</v>
      </c>
      <c r="O947" s="117" t="b">
        <f t="shared" si="2"/>
        <v>0</v>
      </c>
      <c r="P947" s="117" t="b">
        <v>1</v>
      </c>
      <c r="Q947" s="117" t="s">
        <v>368</v>
      </c>
    </row>
    <row r="948" hidden="1">
      <c r="A948" s="108"/>
      <c r="B948" s="220"/>
      <c r="C948" s="220" t="s">
        <v>290</v>
      </c>
      <c r="D948" s="220" t="str">
        <f>vlookup(M948,'Página10'!A:B,2,false)</f>
        <v>INOV00001</v>
      </c>
      <c r="E948" s="134" t="s">
        <v>146</v>
      </c>
      <c r="F948" s="221">
        <v>45035.0</v>
      </c>
      <c r="G948" s="222">
        <v>0.041666666666666664</v>
      </c>
      <c r="H948" s="134" t="s">
        <v>411</v>
      </c>
      <c r="I948" s="223" t="s">
        <v>411</v>
      </c>
      <c r="J948" s="223" t="b">
        <f t="shared" si="1"/>
        <v>1</v>
      </c>
      <c r="K948" s="145" t="s">
        <v>1072</v>
      </c>
      <c r="L948" s="156"/>
      <c r="M948" s="134" t="s">
        <v>416</v>
      </c>
      <c r="N948" s="150">
        <f>if(and(O948=TRUE,P948=TRUE), VLOOKUP($E948,PESSOAL!$B$35:$S$45,MONTH($F948)+6,false)*G948*24,0)</f>
        <v>100.8362542</v>
      </c>
      <c r="O948" s="117" t="b">
        <f t="shared" si="2"/>
        <v>1</v>
      </c>
      <c r="P948" s="117" t="b">
        <v>1</v>
      </c>
      <c r="Q948" s="117" t="s">
        <v>368</v>
      </c>
    </row>
    <row r="949" hidden="1">
      <c r="A949" s="108"/>
      <c r="B949" s="220"/>
      <c r="C949" s="220" t="s">
        <v>290</v>
      </c>
      <c r="D949" s="220" t="str">
        <f>vlookup(M949,'Página10'!A:B,2,false)</f>
        <v>INOV00001</v>
      </c>
      <c r="E949" s="134" t="s">
        <v>146</v>
      </c>
      <c r="F949" s="221">
        <v>45035.0</v>
      </c>
      <c r="G949" s="222">
        <v>0.16666666666666666</v>
      </c>
      <c r="H949" s="134" t="s">
        <v>411</v>
      </c>
      <c r="I949" s="223" t="s">
        <v>411</v>
      </c>
      <c r="J949" s="223" t="b">
        <f t="shared" si="1"/>
        <v>1</v>
      </c>
      <c r="K949" s="145" t="s">
        <v>1075</v>
      </c>
      <c r="L949" s="156"/>
      <c r="M949" s="134" t="s">
        <v>416</v>
      </c>
      <c r="N949" s="150">
        <f>if(and(O949=TRUE,P949=TRUE), VLOOKUP($E949,PESSOAL!$B$35:$S$45,MONTH($F949)+6,false)*G949*24,0)</f>
        <v>403.3450167</v>
      </c>
      <c r="O949" s="117" t="b">
        <f t="shared" si="2"/>
        <v>1</v>
      </c>
      <c r="P949" s="117" t="b">
        <v>1</v>
      </c>
      <c r="Q949" s="117" t="s">
        <v>368</v>
      </c>
    </row>
    <row r="950" hidden="1">
      <c r="A950" s="108"/>
      <c r="B950" s="220"/>
      <c r="C950" s="220" t="s">
        <v>290</v>
      </c>
      <c r="D950" s="220" t="str">
        <f>vlookup(M950,'Página10'!A:B,2,false)</f>
        <v>INOV00001</v>
      </c>
      <c r="E950" s="134" t="s">
        <v>146</v>
      </c>
      <c r="F950" s="221">
        <v>45035.0</v>
      </c>
      <c r="G950" s="222">
        <v>0.08333333333333333</v>
      </c>
      <c r="H950" s="134" t="s">
        <v>411</v>
      </c>
      <c r="I950" s="223" t="s">
        <v>475</v>
      </c>
      <c r="J950" s="223" t="b">
        <f t="shared" si="1"/>
        <v>0</v>
      </c>
      <c r="K950" s="145" t="s">
        <v>1076</v>
      </c>
      <c r="L950" s="156"/>
      <c r="M950" s="134" t="s">
        <v>416</v>
      </c>
      <c r="N950" s="150">
        <f>if(and(O950=TRUE,P950=TRUE), VLOOKUP($E950,PESSOAL!$B$35:$S$45,MONTH($F950)+6,false)*G950*24,0)</f>
        <v>201.6725083</v>
      </c>
      <c r="O950" s="117" t="b">
        <f t="shared" si="2"/>
        <v>1</v>
      </c>
      <c r="P950" s="117" t="b">
        <v>1</v>
      </c>
      <c r="Q950" s="117" t="s">
        <v>368</v>
      </c>
    </row>
    <row r="951" hidden="1">
      <c r="A951" s="108"/>
      <c r="B951" s="220"/>
      <c r="C951" s="220" t="s">
        <v>55</v>
      </c>
      <c r="D951" s="220" t="str">
        <f>vlookup(M951,'Página10'!A:B,2,false)</f>
        <v>INOV00017</v>
      </c>
      <c r="E951" s="134" t="s">
        <v>146</v>
      </c>
      <c r="F951" s="221">
        <v>45035.0</v>
      </c>
      <c r="G951" s="222">
        <v>0.041666666666666664</v>
      </c>
      <c r="H951" s="134" t="s">
        <v>411</v>
      </c>
      <c r="I951" s="223" t="s">
        <v>411</v>
      </c>
      <c r="J951" s="223" t="b">
        <f t="shared" si="1"/>
        <v>1</v>
      </c>
      <c r="K951" s="145" t="s">
        <v>1077</v>
      </c>
      <c r="L951" s="156"/>
      <c r="M951" s="134" t="s">
        <v>429</v>
      </c>
      <c r="N951" s="150">
        <f>if(and(O951=TRUE,P951=TRUE), VLOOKUP($E951,PESSOAL!$B$35:$S$45,MONTH($F951)+6,false)*G951*24,0)</f>
        <v>100.8362542</v>
      </c>
      <c r="O951" s="117" t="b">
        <f t="shared" si="2"/>
        <v>1</v>
      </c>
      <c r="P951" s="117" t="b">
        <v>1</v>
      </c>
      <c r="Q951" s="117" t="s">
        <v>368</v>
      </c>
    </row>
    <row r="952" hidden="1">
      <c r="A952" s="108"/>
      <c r="B952" s="220"/>
      <c r="C952" s="220" t="s">
        <v>56</v>
      </c>
      <c r="D952" s="220" t="str">
        <f>vlookup(M952,'Página10'!A:B,2,false)</f>
        <v>INOV00021</v>
      </c>
      <c r="E952" s="134" t="s">
        <v>146</v>
      </c>
      <c r="F952" s="221">
        <v>45036.0</v>
      </c>
      <c r="G952" s="222">
        <v>0.041666666666666664</v>
      </c>
      <c r="H952" s="134" t="s">
        <v>475</v>
      </c>
      <c r="I952" s="223" t="s">
        <v>475</v>
      </c>
      <c r="J952" s="223" t="b">
        <f t="shared" si="1"/>
        <v>1</v>
      </c>
      <c r="K952" s="145" t="s">
        <v>1078</v>
      </c>
      <c r="L952" s="156"/>
      <c r="M952" s="134" t="s">
        <v>436</v>
      </c>
      <c r="N952" s="150">
        <f>if(and(O952=TRUE,P952=TRUE), VLOOKUP($E952,PESSOAL!$B$35:$S$45,MONTH($F952)+6,false)*G952*24,0)</f>
        <v>100.8362542</v>
      </c>
      <c r="O952" s="117" t="b">
        <f t="shared" si="2"/>
        <v>1</v>
      </c>
      <c r="P952" s="117" t="b">
        <v>1</v>
      </c>
      <c r="Q952" s="117" t="s">
        <v>368</v>
      </c>
    </row>
    <row r="953" hidden="1">
      <c r="A953" s="108"/>
      <c r="B953" s="220"/>
      <c r="C953" s="220" t="s">
        <v>290</v>
      </c>
      <c r="D953" s="220" t="str">
        <f>vlookup(M953,'Página10'!A:B,2,false)</f>
        <v>INOV00001</v>
      </c>
      <c r="E953" s="134" t="s">
        <v>146</v>
      </c>
      <c r="F953" s="221">
        <v>45036.0</v>
      </c>
      <c r="G953" s="222">
        <v>0.10416666666666667</v>
      </c>
      <c r="H953" s="134" t="s">
        <v>411</v>
      </c>
      <c r="I953" s="223" t="s">
        <v>411</v>
      </c>
      <c r="J953" s="223" t="b">
        <f t="shared" si="1"/>
        <v>1</v>
      </c>
      <c r="K953" s="145" t="s">
        <v>1075</v>
      </c>
      <c r="L953" s="156"/>
      <c r="M953" s="134" t="s">
        <v>416</v>
      </c>
      <c r="N953" s="150">
        <f>if(and(O953=TRUE,P953=TRUE), VLOOKUP($E953,PESSOAL!$B$35:$S$45,MONTH($F953)+6,false)*G953*24,0)</f>
        <v>252.0906354</v>
      </c>
      <c r="O953" s="117" t="b">
        <f t="shared" si="2"/>
        <v>1</v>
      </c>
      <c r="P953" s="117" t="b">
        <v>1</v>
      </c>
      <c r="Q953" s="117" t="s">
        <v>368</v>
      </c>
    </row>
    <row r="954" hidden="1">
      <c r="A954" s="108"/>
      <c r="B954" s="220"/>
      <c r="C954" s="220" t="s">
        <v>290</v>
      </c>
      <c r="D954" s="220" t="str">
        <f>vlookup(M954,'Página10'!A:B,2,false)</f>
        <v>INOV00001</v>
      </c>
      <c r="E954" s="134" t="s">
        <v>146</v>
      </c>
      <c r="F954" s="221">
        <v>45036.0</v>
      </c>
      <c r="G954" s="222">
        <v>0.0625</v>
      </c>
      <c r="H954" s="134" t="s">
        <v>479</v>
      </c>
      <c r="I954" s="223" t="s">
        <v>479</v>
      </c>
      <c r="J954" s="223" t="b">
        <f t="shared" si="1"/>
        <v>1</v>
      </c>
      <c r="K954" s="145" t="s">
        <v>1079</v>
      </c>
      <c r="L954" s="156"/>
      <c r="M954" s="134" t="s">
        <v>416</v>
      </c>
      <c r="N954" s="150">
        <f>if(and(O954=TRUE,P954=TRUE), VLOOKUP($E954,PESSOAL!$B$35:$S$45,MONTH($F954)+6,false)*G954*24,0)</f>
        <v>0</v>
      </c>
      <c r="O954" s="117" t="b">
        <f t="shared" si="2"/>
        <v>0</v>
      </c>
      <c r="P954" s="117" t="b">
        <v>1</v>
      </c>
      <c r="Q954" s="117" t="s">
        <v>368</v>
      </c>
    </row>
    <row r="955" hidden="1">
      <c r="A955" s="108"/>
      <c r="B955" s="220"/>
      <c r="C955" s="220" t="s">
        <v>54</v>
      </c>
      <c r="D955" s="220" t="str">
        <f>vlookup(M955,'Página10'!A:B,2,false)</f>
        <v>INOV00016</v>
      </c>
      <c r="E955" s="134" t="s">
        <v>146</v>
      </c>
      <c r="F955" s="221">
        <v>45040.0</v>
      </c>
      <c r="G955" s="222">
        <v>0.125</v>
      </c>
      <c r="H955" s="134" t="s">
        <v>411</v>
      </c>
      <c r="I955" s="223" t="s">
        <v>411</v>
      </c>
      <c r="J955" s="223" t="b">
        <f t="shared" si="1"/>
        <v>1</v>
      </c>
      <c r="K955" s="145" t="s">
        <v>1080</v>
      </c>
      <c r="L955" s="156"/>
      <c r="M955" s="134" t="s">
        <v>428</v>
      </c>
      <c r="N955" s="150">
        <f>if(and(O955=TRUE,P955=TRUE), VLOOKUP($E955,PESSOAL!$B$35:$S$45,MONTH($F955)+6,false)*G955*24,0)</f>
        <v>302.5087625</v>
      </c>
      <c r="O955" s="117" t="b">
        <f t="shared" si="2"/>
        <v>1</v>
      </c>
      <c r="P955" s="117" t="b">
        <v>1</v>
      </c>
      <c r="Q955" s="117" t="s">
        <v>368</v>
      </c>
    </row>
    <row r="956" hidden="1">
      <c r="A956" s="108"/>
      <c r="B956" s="220"/>
      <c r="C956" s="220" t="s">
        <v>290</v>
      </c>
      <c r="D956" s="220" t="str">
        <f>vlookup(M956,'Página10'!A:B,2,false)</f>
        <v>INOV00001</v>
      </c>
      <c r="E956" s="134" t="s">
        <v>146</v>
      </c>
      <c r="F956" s="221">
        <v>45041.0</v>
      </c>
      <c r="G956" s="222">
        <v>0.10416666666666667</v>
      </c>
      <c r="H956" s="134" t="s">
        <v>411</v>
      </c>
      <c r="I956" s="223" t="s">
        <v>411</v>
      </c>
      <c r="J956" s="223" t="b">
        <f t="shared" si="1"/>
        <v>1</v>
      </c>
      <c r="K956" s="145" t="s">
        <v>1081</v>
      </c>
      <c r="L956" s="156"/>
      <c r="M956" s="134" t="s">
        <v>416</v>
      </c>
      <c r="N956" s="150">
        <f>if(and(O956=TRUE,P956=TRUE), VLOOKUP($E956,PESSOAL!$B$35:$S$45,MONTH($F956)+6,false)*G956*24,0)</f>
        <v>252.0906354</v>
      </c>
      <c r="O956" s="117" t="b">
        <f t="shared" si="2"/>
        <v>1</v>
      </c>
      <c r="P956" s="117" t="b">
        <v>1</v>
      </c>
      <c r="Q956" s="117" t="s">
        <v>368</v>
      </c>
    </row>
    <row r="957" hidden="1">
      <c r="A957" s="108"/>
      <c r="B957" s="220"/>
      <c r="C957" s="220" t="s">
        <v>290</v>
      </c>
      <c r="D957" s="220" t="str">
        <f>vlookup(M957,'Página10'!A:B,2,false)</f>
        <v>INOV00001</v>
      </c>
      <c r="E957" s="134" t="s">
        <v>146</v>
      </c>
      <c r="F957" s="221">
        <v>45041.0</v>
      </c>
      <c r="G957" s="222">
        <v>0.125</v>
      </c>
      <c r="H957" s="134" t="s">
        <v>411</v>
      </c>
      <c r="I957" s="223" t="s">
        <v>411</v>
      </c>
      <c r="J957" s="223" t="b">
        <f t="shared" si="1"/>
        <v>1</v>
      </c>
      <c r="K957" s="145" t="s">
        <v>1082</v>
      </c>
      <c r="L957" s="156"/>
      <c r="M957" s="134" t="s">
        <v>416</v>
      </c>
      <c r="N957" s="150">
        <f>if(and(O957=TRUE,P957=TRUE), VLOOKUP($E957,PESSOAL!$B$35:$S$45,MONTH($F957)+6,false)*G957*24,0)</f>
        <v>302.5087625</v>
      </c>
      <c r="O957" s="117" t="b">
        <f t="shared" si="2"/>
        <v>1</v>
      </c>
      <c r="P957" s="117" t="b">
        <v>1</v>
      </c>
      <c r="Q957" s="117" t="s">
        <v>368</v>
      </c>
    </row>
    <row r="958" hidden="1">
      <c r="A958" s="108"/>
      <c r="B958" s="220"/>
      <c r="C958" s="220" t="s">
        <v>56</v>
      </c>
      <c r="D958" s="220" t="str">
        <f>vlookup(M958,'Página10'!A:B,2,false)</f>
        <v>INOV00021</v>
      </c>
      <c r="E958" s="134" t="s">
        <v>146</v>
      </c>
      <c r="F958" s="221">
        <v>45041.0</v>
      </c>
      <c r="G958" s="222">
        <v>0.041666666666666664</v>
      </c>
      <c r="H958" s="134" t="s">
        <v>475</v>
      </c>
      <c r="I958" s="223" t="s">
        <v>475</v>
      </c>
      <c r="J958" s="223" t="b">
        <f t="shared" si="1"/>
        <v>1</v>
      </c>
      <c r="K958" s="145" t="s">
        <v>1083</v>
      </c>
      <c r="L958" s="156"/>
      <c r="M958" s="134" t="s">
        <v>436</v>
      </c>
      <c r="N958" s="150">
        <f>if(and(O958=TRUE,P958=TRUE), VLOOKUP($E958,PESSOAL!$B$35:$S$45,MONTH($F958)+6,false)*G958*24,0)</f>
        <v>100.8362542</v>
      </c>
      <c r="O958" s="117" t="b">
        <f t="shared" si="2"/>
        <v>1</v>
      </c>
      <c r="P958" s="117" t="b">
        <v>1</v>
      </c>
      <c r="Q958" s="117" t="s">
        <v>368</v>
      </c>
    </row>
    <row r="959" hidden="1">
      <c r="A959" s="108"/>
      <c r="B959" s="220"/>
      <c r="C959" s="220" t="s">
        <v>54</v>
      </c>
      <c r="D959" s="220" t="str">
        <f>vlookup(M959,'Página10'!A:B,2,false)</f>
        <v>INOV00016</v>
      </c>
      <c r="E959" s="134" t="s">
        <v>146</v>
      </c>
      <c r="F959" s="221">
        <v>45042.0</v>
      </c>
      <c r="G959" s="222">
        <v>0.10416666666666667</v>
      </c>
      <c r="H959" s="134" t="s">
        <v>475</v>
      </c>
      <c r="I959" s="223" t="s">
        <v>475</v>
      </c>
      <c r="J959" s="223" t="b">
        <f t="shared" si="1"/>
        <v>1</v>
      </c>
      <c r="K959" s="145" t="s">
        <v>1084</v>
      </c>
      <c r="L959" s="156"/>
      <c r="M959" s="134" t="s">
        <v>428</v>
      </c>
      <c r="N959" s="150">
        <f>if(and(O959=TRUE,P959=TRUE), VLOOKUP($E959,PESSOAL!$B$35:$S$45,MONTH($F959)+6,false)*G959*24,0)</f>
        <v>252.0906354</v>
      </c>
      <c r="O959" s="117" t="b">
        <f t="shared" si="2"/>
        <v>1</v>
      </c>
      <c r="P959" s="117" t="b">
        <v>1</v>
      </c>
      <c r="Q959" s="117" t="s">
        <v>368</v>
      </c>
    </row>
    <row r="960" hidden="1">
      <c r="A960" s="108"/>
      <c r="B960" s="220"/>
      <c r="C960" s="220" t="s">
        <v>290</v>
      </c>
      <c r="D960" s="220" t="str">
        <f>vlookup(M960,'Página10'!A:B,2,false)</f>
        <v>INOV00001</v>
      </c>
      <c r="E960" s="134" t="s">
        <v>146</v>
      </c>
      <c r="F960" s="221">
        <v>45042.0</v>
      </c>
      <c r="G960" s="222">
        <v>0.10416666666666667</v>
      </c>
      <c r="H960" s="134" t="s">
        <v>411</v>
      </c>
      <c r="I960" s="223" t="s">
        <v>411</v>
      </c>
      <c r="J960" s="223" t="b">
        <f t="shared" si="1"/>
        <v>1</v>
      </c>
      <c r="K960" s="145" t="s">
        <v>1085</v>
      </c>
      <c r="L960" s="156"/>
      <c r="M960" s="134" t="s">
        <v>416</v>
      </c>
      <c r="N960" s="150">
        <f>if(and(O960=TRUE,P960=TRUE), VLOOKUP($E960,PESSOAL!$B$35:$S$45,MONTH($F960)+6,false)*G960*24,0)</f>
        <v>252.0906354</v>
      </c>
      <c r="O960" s="117" t="b">
        <f t="shared" si="2"/>
        <v>1</v>
      </c>
      <c r="P960" s="117" t="b">
        <v>1</v>
      </c>
      <c r="Q960" s="117" t="s">
        <v>368</v>
      </c>
    </row>
    <row r="961" hidden="1">
      <c r="A961" s="108"/>
      <c r="B961" s="220"/>
      <c r="C961" s="220" t="s">
        <v>53</v>
      </c>
      <c r="D961" s="220" t="str">
        <f>vlookup(M961,'Página10'!A:B,2,false)</f>
        <v>INOV00014</v>
      </c>
      <c r="E961" s="134" t="s">
        <v>146</v>
      </c>
      <c r="F961" s="221">
        <v>45043.0</v>
      </c>
      <c r="G961" s="222">
        <v>0.1875</v>
      </c>
      <c r="H961" s="134" t="s">
        <v>411</v>
      </c>
      <c r="I961" s="223" t="s">
        <v>411</v>
      </c>
      <c r="J961" s="223" t="b">
        <f t="shared" si="1"/>
        <v>1</v>
      </c>
      <c r="K961" s="145" t="s">
        <v>1086</v>
      </c>
      <c r="L961" s="156"/>
      <c r="M961" s="134" t="s">
        <v>427</v>
      </c>
      <c r="N961" s="150">
        <f>if(and(O961=TRUE,P961=TRUE), VLOOKUP($E961,PESSOAL!$B$35:$S$45,MONTH($F961)+6,false)*G961*24,0)</f>
        <v>453.7631438</v>
      </c>
      <c r="O961" s="117" t="b">
        <f t="shared" si="2"/>
        <v>1</v>
      </c>
      <c r="P961" s="117" t="b">
        <v>1</v>
      </c>
      <c r="Q961" s="117" t="s">
        <v>368</v>
      </c>
    </row>
    <row r="962" hidden="1">
      <c r="A962" s="108"/>
      <c r="B962" s="220"/>
      <c r="C962" s="220" t="s">
        <v>54</v>
      </c>
      <c r="D962" s="220" t="str">
        <f>vlookup(M962,'Página10'!A:B,2,false)</f>
        <v>INOV00016</v>
      </c>
      <c r="E962" s="134" t="s">
        <v>146</v>
      </c>
      <c r="F962" s="221">
        <v>45043.0</v>
      </c>
      <c r="G962" s="222">
        <v>0.20833333333333334</v>
      </c>
      <c r="H962" s="134" t="s">
        <v>411</v>
      </c>
      <c r="I962" s="223" t="s">
        <v>411</v>
      </c>
      <c r="J962" s="223" t="b">
        <f t="shared" si="1"/>
        <v>1</v>
      </c>
      <c r="K962" s="145" t="s">
        <v>1086</v>
      </c>
      <c r="L962" s="156"/>
      <c r="M962" s="134" t="s">
        <v>428</v>
      </c>
      <c r="N962" s="150">
        <f>if(and(O962=TRUE,P962=TRUE), VLOOKUP($E962,PESSOAL!$B$35:$S$45,MONTH($F962)+6,false)*G962*24,0)</f>
        <v>504.1812708</v>
      </c>
      <c r="O962" s="117" t="b">
        <f t="shared" si="2"/>
        <v>1</v>
      </c>
      <c r="P962" s="117" t="b">
        <v>1</v>
      </c>
      <c r="Q962" s="117" t="s">
        <v>368</v>
      </c>
    </row>
    <row r="963" hidden="1">
      <c r="A963" s="108"/>
      <c r="B963" s="220"/>
      <c r="C963" s="220" t="s">
        <v>53</v>
      </c>
      <c r="D963" s="220" t="str">
        <f>vlookup(M963,'Página10'!A:B,2,false)</f>
        <v>INOV00014</v>
      </c>
      <c r="E963" s="134" t="s">
        <v>146</v>
      </c>
      <c r="F963" s="221">
        <v>45044.0</v>
      </c>
      <c r="G963" s="222">
        <v>0.0625</v>
      </c>
      <c r="H963" s="134" t="s">
        <v>411</v>
      </c>
      <c r="I963" s="223" t="s">
        <v>411</v>
      </c>
      <c r="J963" s="223" t="b">
        <f t="shared" si="1"/>
        <v>1</v>
      </c>
      <c r="K963" s="145" t="s">
        <v>1087</v>
      </c>
      <c r="L963" s="156"/>
      <c r="M963" s="134" t="s">
        <v>427</v>
      </c>
      <c r="N963" s="150">
        <f>if(and(O963=TRUE,P963=TRUE), VLOOKUP($E963,PESSOAL!$B$35:$S$45,MONTH($F963)+6,false)*G963*24,0)</f>
        <v>151.2543813</v>
      </c>
      <c r="O963" s="117" t="b">
        <f t="shared" si="2"/>
        <v>1</v>
      </c>
      <c r="P963" s="117" t="b">
        <v>1</v>
      </c>
      <c r="Q963" s="117" t="s">
        <v>368</v>
      </c>
    </row>
    <row r="964" hidden="1">
      <c r="A964" s="108"/>
      <c r="B964" s="220"/>
      <c r="C964" s="220" t="s">
        <v>54</v>
      </c>
      <c r="D964" s="220" t="str">
        <f>vlookup(M964,'Página10'!A:B,2,false)</f>
        <v>INOV00016</v>
      </c>
      <c r="E964" s="134" t="s">
        <v>146</v>
      </c>
      <c r="F964" s="221">
        <v>45044.0</v>
      </c>
      <c r="G964" s="222">
        <v>0.0625</v>
      </c>
      <c r="H964" s="134" t="s">
        <v>411</v>
      </c>
      <c r="I964" s="223" t="s">
        <v>411</v>
      </c>
      <c r="J964" s="223" t="b">
        <f t="shared" si="1"/>
        <v>1</v>
      </c>
      <c r="K964" s="145" t="s">
        <v>1087</v>
      </c>
      <c r="L964" s="156"/>
      <c r="M964" s="134" t="s">
        <v>428</v>
      </c>
      <c r="N964" s="150">
        <f>if(and(O964=TRUE,P964=TRUE), VLOOKUP($E964,PESSOAL!$B$35:$S$45,MONTH($F964)+6,false)*G964*24,0)</f>
        <v>151.2543813</v>
      </c>
      <c r="O964" s="117" t="b">
        <f t="shared" si="2"/>
        <v>1</v>
      </c>
      <c r="P964" s="117" t="b">
        <v>1</v>
      </c>
      <c r="Q964" s="117" t="s">
        <v>368</v>
      </c>
    </row>
    <row r="965" hidden="1">
      <c r="A965" s="108"/>
      <c r="B965" s="220"/>
      <c r="C965" s="220" t="s">
        <v>54</v>
      </c>
      <c r="D965" s="220" t="str">
        <f>vlookup(M965,'Página10'!A:B,2,false)</f>
        <v>INOV00016</v>
      </c>
      <c r="E965" s="134" t="s">
        <v>146</v>
      </c>
      <c r="F965" s="221">
        <v>45048.0</v>
      </c>
      <c r="G965" s="222">
        <v>0.04513888888888889</v>
      </c>
      <c r="H965" s="134" t="s">
        <v>411</v>
      </c>
      <c r="I965" s="223" t="s">
        <v>411</v>
      </c>
      <c r="J965" s="223" t="b">
        <f t="shared" si="1"/>
        <v>1</v>
      </c>
      <c r="K965" s="145" t="s">
        <v>1088</v>
      </c>
      <c r="L965" s="156"/>
      <c r="M965" s="134" t="s">
        <v>428</v>
      </c>
      <c r="N965" s="150">
        <f>if(and(O965=TRUE,P965=TRUE), VLOOKUP($E965,PESSOAL!$B$35:$S$45,MONTH($F965)+6,false)*G965*24,0)</f>
        <v>93.39953701</v>
      </c>
      <c r="O965" s="117" t="b">
        <f t="shared" si="2"/>
        <v>1</v>
      </c>
      <c r="P965" s="117" t="b">
        <v>1</v>
      </c>
      <c r="Q965" s="117" t="s">
        <v>368</v>
      </c>
    </row>
    <row r="966" hidden="1">
      <c r="A966" s="108"/>
      <c r="B966" s="220"/>
      <c r="C966" s="220" t="s">
        <v>53</v>
      </c>
      <c r="D966" s="220" t="str">
        <f>vlookup(M966,'Página10'!A:B,2,false)</f>
        <v>INOV00014</v>
      </c>
      <c r="E966" s="134" t="s">
        <v>146</v>
      </c>
      <c r="F966" s="221">
        <v>45048.0</v>
      </c>
      <c r="G966" s="222">
        <v>0.041666666666666664</v>
      </c>
      <c r="H966" s="134" t="s">
        <v>411</v>
      </c>
      <c r="I966" s="223" t="s">
        <v>411</v>
      </c>
      <c r="J966" s="223" t="b">
        <f t="shared" si="1"/>
        <v>1</v>
      </c>
      <c r="K966" s="145" t="s">
        <v>1088</v>
      </c>
      <c r="L966" s="156"/>
      <c r="M966" s="134" t="s">
        <v>427</v>
      </c>
      <c r="N966" s="150">
        <f>if(and(O966=TRUE,P966=TRUE), VLOOKUP($E966,PESSOAL!$B$35:$S$45,MONTH($F966)+6,false)*G966*24,0)</f>
        <v>86.21495724</v>
      </c>
      <c r="O966" s="117" t="b">
        <f t="shared" si="2"/>
        <v>1</v>
      </c>
      <c r="P966" s="117" t="b">
        <v>1</v>
      </c>
      <c r="Q966" s="117" t="s">
        <v>368</v>
      </c>
    </row>
    <row r="967" hidden="1">
      <c r="A967" s="108"/>
      <c r="B967" s="220"/>
      <c r="C967" s="220" t="s">
        <v>433</v>
      </c>
      <c r="D967" s="220" t="str">
        <f>vlookup(M967,'Página10'!A:B,2,false)</f>
        <v>INOV00019</v>
      </c>
      <c r="E967" s="134" t="s">
        <v>146</v>
      </c>
      <c r="F967" s="221">
        <v>45048.0</v>
      </c>
      <c r="G967" s="222">
        <v>0.041666666666666664</v>
      </c>
      <c r="H967" s="134" t="s">
        <v>411</v>
      </c>
      <c r="I967" s="223" t="s">
        <v>475</v>
      </c>
      <c r="J967" s="223" t="b">
        <f t="shared" si="1"/>
        <v>0</v>
      </c>
      <c r="K967" s="145" t="s">
        <v>1089</v>
      </c>
      <c r="L967" s="156"/>
      <c r="M967" s="134" t="s">
        <v>432</v>
      </c>
      <c r="N967" s="150">
        <f>if(and(O967=TRUE,P967=TRUE), VLOOKUP($E967,PESSOAL!$B$35:$S$45,MONTH($F967)+6,false)*G967*24,0)</f>
        <v>0</v>
      </c>
      <c r="O967" s="117" t="b">
        <f t="shared" si="2"/>
        <v>1</v>
      </c>
      <c r="P967" s="117" t="b">
        <v>0</v>
      </c>
      <c r="Q967" s="117" t="s">
        <v>368</v>
      </c>
    </row>
    <row r="968" hidden="1">
      <c r="A968" s="108"/>
      <c r="B968" s="220"/>
      <c r="C968" s="220" t="s">
        <v>290</v>
      </c>
      <c r="D968" s="220" t="str">
        <f>vlookup(M968,'Página10'!A:B,2,false)</f>
        <v>INOV00001</v>
      </c>
      <c r="E968" s="134" t="s">
        <v>146</v>
      </c>
      <c r="F968" s="221">
        <v>45048.0</v>
      </c>
      <c r="G968" s="222">
        <v>0.027777777777777776</v>
      </c>
      <c r="H968" s="134" t="s">
        <v>411</v>
      </c>
      <c r="I968" s="223" t="s">
        <v>411</v>
      </c>
      <c r="J968" s="223" t="b">
        <f t="shared" si="1"/>
        <v>1</v>
      </c>
      <c r="K968" s="145" t="s">
        <v>1090</v>
      </c>
      <c r="L968" s="156"/>
      <c r="M968" s="134" t="s">
        <v>416</v>
      </c>
      <c r="N968" s="150">
        <f>if(and(O968=TRUE,P968=TRUE), VLOOKUP($E968,PESSOAL!$B$35:$S$45,MONTH($F968)+6,false)*G968*24,0)</f>
        <v>57.47663816</v>
      </c>
      <c r="O968" s="117" t="b">
        <f t="shared" si="2"/>
        <v>1</v>
      </c>
      <c r="P968" s="117" t="b">
        <v>1</v>
      </c>
      <c r="Q968" s="117" t="s">
        <v>368</v>
      </c>
    </row>
    <row r="969" hidden="1">
      <c r="A969" s="108"/>
      <c r="B969" s="220"/>
      <c r="C969" s="220" t="s">
        <v>54</v>
      </c>
      <c r="D969" s="220" t="str">
        <f>vlookup(M969,'Página10'!A:B,2,false)</f>
        <v>INOV00016</v>
      </c>
      <c r="E969" s="134" t="s">
        <v>146</v>
      </c>
      <c r="F969" s="221">
        <v>45049.0</v>
      </c>
      <c r="G969" s="222">
        <v>0.03125</v>
      </c>
      <c r="H969" s="134" t="s">
        <v>411</v>
      </c>
      <c r="I969" s="223" t="s">
        <v>475</v>
      </c>
      <c r="J969" s="223" t="b">
        <f t="shared" si="1"/>
        <v>0</v>
      </c>
      <c r="K969" s="145" t="s">
        <v>1091</v>
      </c>
      <c r="L969" s="156"/>
      <c r="M969" s="134" t="s">
        <v>428</v>
      </c>
      <c r="N969" s="150">
        <f>if(and(O969=TRUE,P969=TRUE), VLOOKUP($E969,PESSOAL!$B$35:$S$45,MONTH($F969)+6,false)*G969*24,0)</f>
        <v>64.66121793</v>
      </c>
      <c r="O969" s="117" t="b">
        <f t="shared" si="2"/>
        <v>1</v>
      </c>
      <c r="P969" s="117" t="b">
        <v>1</v>
      </c>
      <c r="Q969" s="117" t="s">
        <v>368</v>
      </c>
    </row>
    <row r="970" hidden="1">
      <c r="A970" s="108"/>
      <c r="B970" s="220"/>
      <c r="C970" s="220" t="s">
        <v>53</v>
      </c>
      <c r="D970" s="220" t="str">
        <f>vlookup(M970,'Página10'!A:B,2,false)</f>
        <v>INOV00014</v>
      </c>
      <c r="E970" s="134" t="s">
        <v>146</v>
      </c>
      <c r="F970" s="221">
        <v>45049.0</v>
      </c>
      <c r="G970" s="222">
        <v>0.020833333333333332</v>
      </c>
      <c r="H970" s="134" t="s">
        <v>411</v>
      </c>
      <c r="I970" s="223" t="s">
        <v>475</v>
      </c>
      <c r="J970" s="223" t="b">
        <f t="shared" si="1"/>
        <v>0</v>
      </c>
      <c r="K970" s="145" t="s">
        <v>1091</v>
      </c>
      <c r="L970" s="156"/>
      <c r="M970" s="134" t="s">
        <v>427</v>
      </c>
      <c r="N970" s="150">
        <f>if(and(O970=TRUE,P970=TRUE), VLOOKUP($E970,PESSOAL!$B$35:$S$45,MONTH($F970)+6,false)*G970*24,0)</f>
        <v>43.10747862</v>
      </c>
      <c r="O970" s="117" t="b">
        <f t="shared" si="2"/>
        <v>1</v>
      </c>
      <c r="P970" s="117" t="b">
        <v>1</v>
      </c>
      <c r="Q970" s="117" t="s">
        <v>368</v>
      </c>
    </row>
    <row r="971" hidden="1">
      <c r="A971" s="108"/>
      <c r="B971" s="220"/>
      <c r="C971" s="220" t="s">
        <v>54</v>
      </c>
      <c r="D971" s="220" t="str">
        <f>vlookup(M971,'Página10'!A:B,2,false)</f>
        <v>INOV00016</v>
      </c>
      <c r="E971" s="134" t="s">
        <v>146</v>
      </c>
      <c r="F971" s="221">
        <v>45049.0</v>
      </c>
      <c r="G971" s="222">
        <v>0.08333333333333333</v>
      </c>
      <c r="H971" s="134" t="s">
        <v>411</v>
      </c>
      <c r="I971" s="223" t="s">
        <v>411</v>
      </c>
      <c r="J971" s="223" t="b">
        <f t="shared" si="1"/>
        <v>1</v>
      </c>
      <c r="K971" s="145" t="s">
        <v>1092</v>
      </c>
      <c r="L971" s="156"/>
      <c r="M971" s="134" t="s">
        <v>428</v>
      </c>
      <c r="N971" s="150">
        <f>if(and(O971=TRUE,P971=TRUE), VLOOKUP($E971,PESSOAL!$B$35:$S$45,MONTH($F971)+6,false)*G971*24,0)</f>
        <v>172.4299145</v>
      </c>
      <c r="O971" s="117" t="b">
        <f t="shared" si="2"/>
        <v>1</v>
      </c>
      <c r="P971" s="117" t="b">
        <v>1</v>
      </c>
      <c r="Q971" s="117" t="s">
        <v>368</v>
      </c>
    </row>
    <row r="972" hidden="1">
      <c r="A972" s="108"/>
      <c r="B972" s="220"/>
      <c r="C972" s="220" t="s">
        <v>290</v>
      </c>
      <c r="D972" s="220" t="str">
        <f>vlookup(M972,'Página10'!A:B,2,false)</f>
        <v>INOV00001</v>
      </c>
      <c r="E972" s="134" t="s">
        <v>146</v>
      </c>
      <c r="F972" s="221">
        <v>45049.0</v>
      </c>
      <c r="G972" s="222">
        <v>0.08333333333333333</v>
      </c>
      <c r="H972" s="134" t="s">
        <v>411</v>
      </c>
      <c r="I972" s="223" t="s">
        <v>475</v>
      </c>
      <c r="J972" s="223" t="b">
        <f t="shared" si="1"/>
        <v>0</v>
      </c>
      <c r="K972" s="145" t="s">
        <v>1093</v>
      </c>
      <c r="L972" s="156"/>
      <c r="M972" s="134" t="s">
        <v>416</v>
      </c>
      <c r="N972" s="150">
        <f>if(and(O972=TRUE,P972=TRUE), VLOOKUP($E972,PESSOAL!$B$35:$S$45,MONTH($F972)+6,false)*G972*24,0)</f>
        <v>172.4299145</v>
      </c>
      <c r="O972" s="117" t="b">
        <f t="shared" si="2"/>
        <v>1</v>
      </c>
      <c r="P972" s="117" t="b">
        <v>1</v>
      </c>
      <c r="Q972" s="117" t="s">
        <v>368</v>
      </c>
    </row>
    <row r="973" hidden="1">
      <c r="A973" s="108"/>
      <c r="B973" s="220"/>
      <c r="C973" s="220" t="s">
        <v>290</v>
      </c>
      <c r="D973" s="220" t="str">
        <f>vlookup(M973,'Página10'!A:B,2,false)</f>
        <v>INOV00001</v>
      </c>
      <c r="E973" s="134" t="s">
        <v>146</v>
      </c>
      <c r="F973" s="221">
        <v>45050.0</v>
      </c>
      <c r="G973" s="222">
        <v>0.08333333333333333</v>
      </c>
      <c r="H973" s="134" t="s">
        <v>411</v>
      </c>
      <c r="I973" s="223" t="s">
        <v>411</v>
      </c>
      <c r="J973" s="223" t="b">
        <f t="shared" si="1"/>
        <v>1</v>
      </c>
      <c r="K973" s="145" t="s">
        <v>1094</v>
      </c>
      <c r="L973" s="156"/>
      <c r="M973" s="134" t="s">
        <v>416</v>
      </c>
      <c r="N973" s="150">
        <f>if(and(O973=TRUE,P973=TRUE), VLOOKUP($E973,PESSOAL!$B$35:$S$45,MONTH($F973)+6,false)*G973*24,0)</f>
        <v>172.4299145</v>
      </c>
      <c r="O973" s="117" t="b">
        <f t="shared" si="2"/>
        <v>1</v>
      </c>
      <c r="P973" s="117" t="b">
        <v>1</v>
      </c>
      <c r="Q973" s="117" t="s">
        <v>368</v>
      </c>
    </row>
    <row r="974" hidden="1">
      <c r="A974" s="108"/>
      <c r="B974" s="220"/>
      <c r="C974" s="220" t="s">
        <v>290</v>
      </c>
      <c r="D974" s="220" t="str">
        <f>vlookup(M974,'Página10'!A:B,2,false)</f>
        <v>INOV00001</v>
      </c>
      <c r="E974" s="134" t="s">
        <v>146</v>
      </c>
      <c r="F974" s="221">
        <v>45050.0</v>
      </c>
      <c r="G974" s="222">
        <v>0.08333333333333333</v>
      </c>
      <c r="H974" s="134" t="s">
        <v>411</v>
      </c>
      <c r="I974" s="223" t="s">
        <v>411</v>
      </c>
      <c r="J974" s="223" t="b">
        <f t="shared" si="1"/>
        <v>1</v>
      </c>
      <c r="K974" s="145" t="s">
        <v>1095</v>
      </c>
      <c r="L974" s="156"/>
      <c r="M974" s="134" t="s">
        <v>416</v>
      </c>
      <c r="N974" s="150">
        <f>if(and(O974=TRUE,P974=TRUE), VLOOKUP($E974,PESSOAL!$B$35:$S$45,MONTH($F974)+6,false)*G974*24,0)</f>
        <v>172.4299145</v>
      </c>
      <c r="O974" s="117" t="b">
        <f t="shared" si="2"/>
        <v>1</v>
      </c>
      <c r="P974" s="117" t="b">
        <v>1</v>
      </c>
      <c r="Q974" s="117" t="s">
        <v>368</v>
      </c>
    </row>
    <row r="975" hidden="1">
      <c r="A975" s="108"/>
      <c r="B975" s="220"/>
      <c r="C975" s="220" t="s">
        <v>56</v>
      </c>
      <c r="D975" s="220" t="str">
        <f>vlookup(M975,'Página10'!A:B,2,false)</f>
        <v>INOV00021</v>
      </c>
      <c r="E975" s="134" t="s">
        <v>146</v>
      </c>
      <c r="F975" s="221">
        <v>45050.0</v>
      </c>
      <c r="G975" s="222">
        <v>0.041666666666666664</v>
      </c>
      <c r="H975" s="134" t="s">
        <v>411</v>
      </c>
      <c r="I975" s="223" t="s">
        <v>411</v>
      </c>
      <c r="J975" s="223" t="b">
        <f t="shared" si="1"/>
        <v>1</v>
      </c>
      <c r="K975" s="145" t="s">
        <v>1096</v>
      </c>
      <c r="L975" s="156"/>
      <c r="M975" s="134" t="s">
        <v>436</v>
      </c>
      <c r="N975" s="150">
        <f>if(and(O975=TRUE,P975=TRUE), VLOOKUP($E975,PESSOAL!$B$35:$S$45,MONTH($F975)+6,false)*G975*24,0)</f>
        <v>86.21495724</v>
      </c>
      <c r="O975" s="117" t="b">
        <f t="shared" si="2"/>
        <v>1</v>
      </c>
      <c r="P975" s="117" t="b">
        <v>1</v>
      </c>
      <c r="Q975" s="117" t="s">
        <v>368</v>
      </c>
    </row>
    <row r="976" hidden="1">
      <c r="A976" s="108"/>
      <c r="B976" s="220"/>
      <c r="C976" s="220" t="s">
        <v>54</v>
      </c>
      <c r="D976" s="220" t="str">
        <f>vlookup(M976,'Página10'!A:B,2,false)</f>
        <v>INOV00016</v>
      </c>
      <c r="E976" s="134" t="s">
        <v>146</v>
      </c>
      <c r="F976" s="221">
        <v>45051.0</v>
      </c>
      <c r="G976" s="222">
        <v>0.16666666666666666</v>
      </c>
      <c r="H976" s="134" t="s">
        <v>475</v>
      </c>
      <c r="I976" s="223" t="s">
        <v>475</v>
      </c>
      <c r="J976" s="223" t="b">
        <f t="shared" si="1"/>
        <v>1</v>
      </c>
      <c r="K976" s="145" t="s">
        <v>1097</v>
      </c>
      <c r="L976" s="156"/>
      <c r="M976" s="134" t="s">
        <v>428</v>
      </c>
      <c r="N976" s="150">
        <f>if(and(O976=TRUE,P976=TRUE), VLOOKUP($E976,PESSOAL!$B$35:$S$45,MONTH($F976)+6,false)*G976*24,0)</f>
        <v>344.859829</v>
      </c>
      <c r="O976" s="117" t="b">
        <f t="shared" si="2"/>
        <v>1</v>
      </c>
      <c r="P976" s="117" t="b">
        <v>1</v>
      </c>
      <c r="Q976" s="117" t="s">
        <v>368</v>
      </c>
    </row>
    <row r="977" hidden="1">
      <c r="A977" s="108"/>
      <c r="B977" s="220"/>
      <c r="C977" s="220" t="s">
        <v>53</v>
      </c>
      <c r="D977" s="220" t="str">
        <f>vlookup(M977,'Página10'!A:B,2,false)</f>
        <v>INOV00014</v>
      </c>
      <c r="E977" s="134" t="s">
        <v>146</v>
      </c>
      <c r="F977" s="221">
        <v>45051.0</v>
      </c>
      <c r="G977" s="222">
        <v>0.125</v>
      </c>
      <c r="H977" s="134" t="s">
        <v>475</v>
      </c>
      <c r="I977" s="223" t="s">
        <v>475</v>
      </c>
      <c r="J977" s="223" t="b">
        <f t="shared" si="1"/>
        <v>1</v>
      </c>
      <c r="K977" s="145" t="s">
        <v>1097</v>
      </c>
      <c r="L977" s="156"/>
      <c r="M977" s="134" t="s">
        <v>427</v>
      </c>
      <c r="N977" s="150">
        <f>if(and(O977=TRUE,P977=TRUE), VLOOKUP($E977,PESSOAL!$B$35:$S$45,MONTH($F977)+6,false)*G977*24,0)</f>
        <v>258.6448717</v>
      </c>
      <c r="O977" s="117" t="b">
        <f t="shared" si="2"/>
        <v>1</v>
      </c>
      <c r="P977" s="117" t="b">
        <v>1</v>
      </c>
      <c r="Q977" s="117" t="s">
        <v>368</v>
      </c>
    </row>
    <row r="978" hidden="1">
      <c r="A978" s="108"/>
      <c r="B978" s="220"/>
      <c r="C978" s="220" t="s">
        <v>55</v>
      </c>
      <c r="D978" s="220" t="str">
        <f>vlookup(M978,'Página10'!A:B,2,false)</f>
        <v>INOV00017</v>
      </c>
      <c r="E978" s="134" t="s">
        <v>146</v>
      </c>
      <c r="F978" s="221">
        <v>45054.0</v>
      </c>
      <c r="G978" s="222">
        <v>0.10416666666666667</v>
      </c>
      <c r="H978" s="134" t="s">
        <v>475</v>
      </c>
      <c r="I978" s="223" t="s">
        <v>475</v>
      </c>
      <c r="J978" s="223" t="b">
        <f t="shared" si="1"/>
        <v>1</v>
      </c>
      <c r="K978" s="145" t="s">
        <v>1098</v>
      </c>
      <c r="L978" s="156"/>
      <c r="M978" s="134" t="s">
        <v>429</v>
      </c>
      <c r="N978" s="150">
        <f>if(and(O978=TRUE,P978=TRUE), VLOOKUP($E978,PESSOAL!$B$35:$S$45,MONTH($F978)+6,false)*G978*24,0)</f>
        <v>215.5373931</v>
      </c>
      <c r="O978" s="117" t="b">
        <f t="shared" si="2"/>
        <v>1</v>
      </c>
      <c r="P978" s="117" t="b">
        <v>1</v>
      </c>
      <c r="Q978" s="117" t="s">
        <v>368</v>
      </c>
    </row>
    <row r="979" hidden="1">
      <c r="A979" s="108"/>
      <c r="B979" s="220"/>
      <c r="C979" s="220" t="s">
        <v>290</v>
      </c>
      <c r="D979" s="220" t="str">
        <f>vlookup(M979,'Página10'!A:B,2,false)</f>
        <v>INOV00001</v>
      </c>
      <c r="E979" s="134" t="s">
        <v>146</v>
      </c>
      <c r="F979" s="221">
        <v>45054.0</v>
      </c>
      <c r="G979" s="222">
        <v>0.0625</v>
      </c>
      <c r="H979" s="134" t="s">
        <v>411</v>
      </c>
      <c r="I979" s="223" t="s">
        <v>411</v>
      </c>
      <c r="J979" s="223" t="b">
        <f t="shared" si="1"/>
        <v>1</v>
      </c>
      <c r="K979" s="145" t="s">
        <v>1099</v>
      </c>
      <c r="L979" s="156"/>
      <c r="M979" s="134" t="s">
        <v>416</v>
      </c>
      <c r="N979" s="150">
        <f>if(and(O979=TRUE,P979=TRUE), VLOOKUP($E979,PESSOAL!$B$35:$S$45,MONTH($F979)+6,false)*G979*24,0)</f>
        <v>129.3224359</v>
      </c>
      <c r="O979" s="117" t="b">
        <f t="shared" si="2"/>
        <v>1</v>
      </c>
      <c r="P979" s="117" t="b">
        <v>1</v>
      </c>
      <c r="Q979" s="117" t="s">
        <v>368</v>
      </c>
    </row>
    <row r="980" hidden="1">
      <c r="A980" s="108"/>
      <c r="B980" s="220"/>
      <c r="C980" s="220" t="s">
        <v>433</v>
      </c>
      <c r="D980" s="220" t="str">
        <f>vlookup(M980,'Página10'!A:B,2,false)</f>
        <v>INOV00019</v>
      </c>
      <c r="E980" s="134" t="s">
        <v>146</v>
      </c>
      <c r="F980" s="221">
        <v>45054.0</v>
      </c>
      <c r="G980" s="222">
        <v>0.125</v>
      </c>
      <c r="H980" s="134" t="s">
        <v>411</v>
      </c>
      <c r="I980" s="223" t="s">
        <v>411</v>
      </c>
      <c r="J980" s="223" t="b">
        <f t="shared" si="1"/>
        <v>1</v>
      </c>
      <c r="K980" s="145" t="s">
        <v>1100</v>
      </c>
      <c r="L980" s="156"/>
      <c r="M980" s="134" t="s">
        <v>432</v>
      </c>
      <c r="N980" s="150">
        <f>if(and(O980=TRUE,P980=TRUE), VLOOKUP($E980,PESSOAL!$B$35:$S$45,MONTH($F980)+6,false)*G980*24,0)</f>
        <v>0</v>
      </c>
      <c r="O980" s="117" t="b">
        <f t="shared" si="2"/>
        <v>1</v>
      </c>
      <c r="P980" s="117" t="b">
        <v>0</v>
      </c>
      <c r="Q980" s="117" t="s">
        <v>368</v>
      </c>
    </row>
    <row r="981" hidden="1">
      <c r="A981" s="108"/>
      <c r="B981" s="220"/>
      <c r="C981" s="220" t="s">
        <v>290</v>
      </c>
      <c r="D981" s="220" t="str">
        <f>vlookup(M981,'Página10'!A:B,2,false)</f>
        <v>INOV00001</v>
      </c>
      <c r="E981" s="134" t="s">
        <v>146</v>
      </c>
      <c r="F981" s="221">
        <v>45054.0</v>
      </c>
      <c r="G981" s="222">
        <v>0.0625</v>
      </c>
      <c r="H981" s="134" t="s">
        <v>411</v>
      </c>
      <c r="I981" s="223" t="s">
        <v>411</v>
      </c>
      <c r="J981" s="223" t="b">
        <f t="shared" si="1"/>
        <v>1</v>
      </c>
      <c r="K981" s="145" t="s">
        <v>1101</v>
      </c>
      <c r="L981" s="156"/>
      <c r="M981" s="134" t="s">
        <v>416</v>
      </c>
      <c r="N981" s="150">
        <f>if(and(O981=TRUE,P981=TRUE), VLOOKUP($E981,PESSOAL!$B$35:$S$45,MONTH($F981)+6,false)*G981*24,0)</f>
        <v>129.3224359</v>
      </c>
      <c r="O981" s="117" t="b">
        <f t="shared" si="2"/>
        <v>1</v>
      </c>
      <c r="P981" s="117" t="b">
        <v>1</v>
      </c>
      <c r="Q981" s="117" t="s">
        <v>368</v>
      </c>
    </row>
    <row r="982" hidden="1">
      <c r="A982" s="108"/>
      <c r="B982" s="220"/>
      <c r="C982" s="220" t="s">
        <v>290</v>
      </c>
      <c r="D982" s="220" t="str">
        <f>vlookup(M982,'Página10'!A:B,2,false)</f>
        <v>INOV00001</v>
      </c>
      <c r="E982" s="134" t="s">
        <v>146</v>
      </c>
      <c r="F982" s="221">
        <v>45055.0</v>
      </c>
      <c r="G982" s="222">
        <v>0.041666666666666664</v>
      </c>
      <c r="H982" s="134" t="s">
        <v>411</v>
      </c>
      <c r="I982" s="223" t="s">
        <v>411</v>
      </c>
      <c r="J982" s="223" t="b">
        <f t="shared" si="1"/>
        <v>1</v>
      </c>
      <c r="K982" s="145" t="s">
        <v>1102</v>
      </c>
      <c r="L982" s="156"/>
      <c r="M982" s="134" t="s">
        <v>416</v>
      </c>
      <c r="N982" s="150">
        <f>if(and(O982=TRUE,P982=TRUE), VLOOKUP($E982,PESSOAL!$B$35:$S$45,MONTH($F982)+6,false)*G982*24,0)</f>
        <v>86.21495724</v>
      </c>
      <c r="O982" s="117" t="b">
        <f t="shared" si="2"/>
        <v>1</v>
      </c>
      <c r="P982" s="117" t="b">
        <v>1</v>
      </c>
      <c r="Q982" s="117" t="s">
        <v>368</v>
      </c>
    </row>
    <row r="983" hidden="1">
      <c r="A983" s="108"/>
      <c r="B983" s="220"/>
      <c r="C983" s="220" t="s">
        <v>290</v>
      </c>
      <c r="D983" s="220" t="str">
        <f>vlookup(M983,'Página10'!A:B,2,false)</f>
        <v>INOV00001</v>
      </c>
      <c r="E983" s="134" t="s">
        <v>146</v>
      </c>
      <c r="F983" s="221">
        <v>45055.0</v>
      </c>
      <c r="G983" s="222">
        <v>0.125</v>
      </c>
      <c r="H983" s="134" t="s">
        <v>475</v>
      </c>
      <c r="I983" s="223" t="s">
        <v>475</v>
      </c>
      <c r="J983" s="223" t="b">
        <f t="shared" si="1"/>
        <v>1</v>
      </c>
      <c r="K983" s="145" t="s">
        <v>1103</v>
      </c>
      <c r="L983" s="156"/>
      <c r="M983" s="134" t="s">
        <v>416</v>
      </c>
      <c r="N983" s="150">
        <f>if(and(O983=TRUE,P983=TRUE), VLOOKUP($E983,PESSOAL!$B$35:$S$45,MONTH($F983)+6,false)*G983*24,0)</f>
        <v>258.6448717</v>
      </c>
      <c r="O983" s="117" t="b">
        <f t="shared" si="2"/>
        <v>1</v>
      </c>
      <c r="P983" s="117" t="b">
        <v>1</v>
      </c>
      <c r="Q983" s="117" t="s">
        <v>368</v>
      </c>
    </row>
    <row r="984" hidden="1">
      <c r="A984" s="108"/>
      <c r="B984" s="220"/>
      <c r="C984" s="220" t="s">
        <v>290</v>
      </c>
      <c r="D984" s="220" t="str">
        <f>vlookup(M984,'Página10'!A:B,2,false)</f>
        <v>INOV00001</v>
      </c>
      <c r="E984" s="134" t="s">
        <v>146</v>
      </c>
      <c r="F984" s="221">
        <v>45056.0</v>
      </c>
      <c r="G984" s="222">
        <v>0.041666666666666664</v>
      </c>
      <c r="H984" s="134" t="s">
        <v>411</v>
      </c>
      <c r="I984" s="223" t="s">
        <v>411</v>
      </c>
      <c r="J984" s="223" t="b">
        <f t="shared" si="1"/>
        <v>1</v>
      </c>
      <c r="K984" s="145" t="s">
        <v>1104</v>
      </c>
      <c r="L984" s="156"/>
      <c r="M984" s="134" t="s">
        <v>416</v>
      </c>
      <c r="N984" s="150">
        <f>if(and(O984=TRUE,P984=TRUE), VLOOKUP($E984,PESSOAL!$B$35:$S$45,MONTH($F984)+6,false)*G984*24,0)</f>
        <v>86.21495724</v>
      </c>
      <c r="O984" s="117" t="b">
        <f t="shared" si="2"/>
        <v>1</v>
      </c>
      <c r="P984" s="117" t="b">
        <v>1</v>
      </c>
      <c r="Q984" s="117" t="s">
        <v>368</v>
      </c>
    </row>
    <row r="985" hidden="1">
      <c r="A985" s="108"/>
      <c r="B985" s="220"/>
      <c r="C985" s="220" t="s">
        <v>61</v>
      </c>
      <c r="D985" s="220" t="str">
        <f>vlookup(M985,'Página10'!A:B,2,false)</f>
        <v>INOV00031</v>
      </c>
      <c r="E985" s="134" t="s">
        <v>146</v>
      </c>
      <c r="F985" s="221">
        <v>45056.0</v>
      </c>
      <c r="G985" s="222">
        <v>0.08333333333333333</v>
      </c>
      <c r="H985" s="134" t="s">
        <v>411</v>
      </c>
      <c r="I985" s="223" t="s">
        <v>411</v>
      </c>
      <c r="J985" s="223" t="b">
        <f t="shared" si="1"/>
        <v>1</v>
      </c>
      <c r="K985" s="145" t="s">
        <v>1105</v>
      </c>
      <c r="L985" s="156"/>
      <c r="M985" s="134" t="s">
        <v>451</v>
      </c>
      <c r="N985" s="150">
        <f>if(and(O985=TRUE,P985=TRUE), VLOOKUP($E985,PESSOAL!$B$35:$S$45,MONTH($F985)+6,false)*G985*24,0)</f>
        <v>172.4299145</v>
      </c>
      <c r="O985" s="117" t="b">
        <f t="shared" si="2"/>
        <v>1</v>
      </c>
      <c r="P985" s="117" t="b">
        <v>1</v>
      </c>
      <c r="Q985" s="117" t="s">
        <v>368</v>
      </c>
    </row>
    <row r="986" hidden="1">
      <c r="A986" s="108"/>
      <c r="B986" s="220"/>
      <c r="C986" s="220" t="s">
        <v>54</v>
      </c>
      <c r="D986" s="220" t="str">
        <f>vlookup(M986,'Página10'!A:B,2,false)</f>
        <v>INOV00016</v>
      </c>
      <c r="E986" s="134" t="s">
        <v>146</v>
      </c>
      <c r="F986" s="221">
        <v>45056.0</v>
      </c>
      <c r="G986" s="222">
        <v>0.08333333333333333</v>
      </c>
      <c r="H986" s="134" t="s">
        <v>411</v>
      </c>
      <c r="I986" s="223" t="s">
        <v>411</v>
      </c>
      <c r="J986" s="223" t="b">
        <f t="shared" si="1"/>
        <v>1</v>
      </c>
      <c r="K986" s="145" t="s">
        <v>1105</v>
      </c>
      <c r="L986" s="156"/>
      <c r="M986" s="134" t="s">
        <v>428</v>
      </c>
      <c r="N986" s="150">
        <f>if(and(O986=TRUE,P986=TRUE), VLOOKUP($E986,PESSOAL!$B$35:$S$45,MONTH($F986)+6,false)*G986*24,0)</f>
        <v>172.4299145</v>
      </c>
      <c r="O986" s="117" t="b">
        <f t="shared" si="2"/>
        <v>1</v>
      </c>
      <c r="P986" s="117" t="b">
        <v>1</v>
      </c>
      <c r="Q986" s="117" t="s">
        <v>368</v>
      </c>
    </row>
    <row r="987" hidden="1">
      <c r="A987" s="108"/>
      <c r="B987" s="220"/>
      <c r="C987" s="220" t="s">
        <v>54</v>
      </c>
      <c r="D987" s="220" t="str">
        <f>vlookup(M987,'Página10'!A:B,2,false)</f>
        <v>INOV00016</v>
      </c>
      <c r="E987" s="134" t="s">
        <v>146</v>
      </c>
      <c r="F987" s="221">
        <v>45057.0</v>
      </c>
      <c r="G987" s="222">
        <v>0.041666666666666664</v>
      </c>
      <c r="H987" s="134" t="s">
        <v>411</v>
      </c>
      <c r="I987" s="223" t="s">
        <v>411</v>
      </c>
      <c r="J987" s="223" t="b">
        <f t="shared" si="1"/>
        <v>1</v>
      </c>
      <c r="K987" s="145" t="s">
        <v>1106</v>
      </c>
      <c r="L987" s="156"/>
      <c r="M987" s="134" t="s">
        <v>428</v>
      </c>
      <c r="N987" s="150">
        <f>if(and(O987=TRUE,P987=TRUE), VLOOKUP($E987,PESSOAL!$B$35:$S$45,MONTH($F987)+6,false)*G987*24,0)</f>
        <v>86.21495724</v>
      </c>
      <c r="O987" s="117" t="b">
        <f t="shared" si="2"/>
        <v>1</v>
      </c>
      <c r="P987" s="117" t="b">
        <v>1</v>
      </c>
      <c r="Q987" s="117" t="s">
        <v>368</v>
      </c>
    </row>
    <row r="988" hidden="1">
      <c r="A988" s="108"/>
      <c r="B988" s="220"/>
      <c r="C988" s="220" t="s">
        <v>53</v>
      </c>
      <c r="D988" s="220" t="str">
        <f>vlookup(M988,'Página10'!A:B,2,false)</f>
        <v>INOV00014</v>
      </c>
      <c r="E988" s="134" t="s">
        <v>146</v>
      </c>
      <c r="F988" s="221">
        <v>45057.0</v>
      </c>
      <c r="G988" s="222">
        <v>0.041666666666666664</v>
      </c>
      <c r="H988" s="134" t="s">
        <v>411</v>
      </c>
      <c r="I988" s="223" t="s">
        <v>411</v>
      </c>
      <c r="J988" s="223" t="b">
        <f t="shared" si="1"/>
        <v>1</v>
      </c>
      <c r="K988" s="145" t="s">
        <v>1106</v>
      </c>
      <c r="L988" s="156"/>
      <c r="M988" s="134" t="s">
        <v>427</v>
      </c>
      <c r="N988" s="150">
        <f>if(and(O988=TRUE,P988=TRUE), VLOOKUP($E988,PESSOAL!$B$35:$S$45,MONTH($F988)+6,false)*G988*24,0)</f>
        <v>86.21495724</v>
      </c>
      <c r="O988" s="117" t="b">
        <f t="shared" si="2"/>
        <v>1</v>
      </c>
      <c r="P988" s="117" t="b">
        <v>1</v>
      </c>
      <c r="Q988" s="117" t="s">
        <v>368</v>
      </c>
    </row>
    <row r="989" hidden="1">
      <c r="A989" s="108"/>
      <c r="B989" s="220"/>
      <c r="C989" s="220" t="s">
        <v>69</v>
      </c>
      <c r="D989" s="220" t="str">
        <f>vlookup(M989,'Página10'!A:B,2,false)</f>
        <v>INOV00041</v>
      </c>
      <c r="E989" s="134" t="s">
        <v>146</v>
      </c>
      <c r="F989" s="221">
        <v>45057.0</v>
      </c>
      <c r="G989" s="222">
        <v>0.041666666666666664</v>
      </c>
      <c r="H989" s="134" t="s">
        <v>411</v>
      </c>
      <c r="I989" s="223" t="s">
        <v>411</v>
      </c>
      <c r="J989" s="223" t="b">
        <f t="shared" si="1"/>
        <v>1</v>
      </c>
      <c r="K989" s="145" t="s">
        <v>1107</v>
      </c>
      <c r="L989" s="156"/>
      <c r="M989" s="134" t="s">
        <v>463</v>
      </c>
      <c r="N989" s="224">
        <v>0.0</v>
      </c>
      <c r="O989" s="117" t="b">
        <f t="shared" si="2"/>
        <v>1</v>
      </c>
      <c r="P989" s="117" t="b">
        <v>1</v>
      </c>
      <c r="Q989" s="117" t="s">
        <v>368</v>
      </c>
    </row>
    <row r="990" hidden="1">
      <c r="A990" s="108"/>
      <c r="B990" s="220"/>
      <c r="C990" s="220" t="s">
        <v>51</v>
      </c>
      <c r="D990" s="220" t="str">
        <f>vlookup(M990,'Página10'!A:B,2,false)</f>
        <v>INOV00010</v>
      </c>
      <c r="E990" s="134" t="s">
        <v>146</v>
      </c>
      <c r="F990" s="221">
        <v>45058.0</v>
      </c>
      <c r="G990" s="222">
        <v>0.0625</v>
      </c>
      <c r="H990" s="134" t="s">
        <v>411</v>
      </c>
      <c r="I990" s="223" t="s">
        <v>411</v>
      </c>
      <c r="J990" s="223" t="b">
        <f t="shared" si="1"/>
        <v>1</v>
      </c>
      <c r="K990" s="145" t="s">
        <v>1108</v>
      </c>
      <c r="L990" s="156"/>
      <c r="M990" s="134" t="s">
        <v>423</v>
      </c>
      <c r="N990" s="150">
        <f>if(and(O990=TRUE,P990=TRUE), VLOOKUP($E990,PESSOAL!$B$35:$S$45,MONTH($F990)+6,false)*G990*24,0)</f>
        <v>129.3224359</v>
      </c>
      <c r="O990" s="117" t="b">
        <f t="shared" si="2"/>
        <v>1</v>
      </c>
      <c r="P990" s="117" t="b">
        <v>1</v>
      </c>
      <c r="Q990" s="117" t="s">
        <v>368</v>
      </c>
    </row>
    <row r="991" hidden="1">
      <c r="A991" s="108"/>
      <c r="B991" s="220"/>
      <c r="C991" s="220" t="s">
        <v>61</v>
      </c>
      <c r="D991" s="220" t="str">
        <f>vlookup(M991,'Página10'!A:B,2,false)</f>
        <v>INOV00031</v>
      </c>
      <c r="E991" s="134" t="s">
        <v>146</v>
      </c>
      <c r="F991" s="221">
        <v>45058.0</v>
      </c>
      <c r="G991" s="222">
        <v>0.041666666666666664</v>
      </c>
      <c r="H991" s="134" t="s">
        <v>411</v>
      </c>
      <c r="I991" s="223" t="s">
        <v>411</v>
      </c>
      <c r="J991" s="223" t="b">
        <f t="shared" si="1"/>
        <v>1</v>
      </c>
      <c r="K991" s="145" t="s">
        <v>1109</v>
      </c>
      <c r="L991" s="156"/>
      <c r="M991" s="134" t="s">
        <v>451</v>
      </c>
      <c r="N991" s="150">
        <f>if(and(O991=TRUE,P991=TRUE), VLOOKUP($E991,PESSOAL!$B$35:$S$45,MONTH($F991)+6,false)*G991*24,0)</f>
        <v>86.21495724</v>
      </c>
      <c r="O991" s="117" t="b">
        <f t="shared" si="2"/>
        <v>1</v>
      </c>
      <c r="P991" s="117" t="b">
        <v>1</v>
      </c>
      <c r="Q991" s="117" t="s">
        <v>368</v>
      </c>
    </row>
    <row r="992" hidden="1">
      <c r="A992" s="108"/>
      <c r="B992" s="220"/>
      <c r="C992" s="220" t="s">
        <v>49</v>
      </c>
      <c r="D992" s="220" t="str">
        <f>vlookup(M992,'Página10'!A:B,2,false)</f>
        <v>INOV00004</v>
      </c>
      <c r="E992" s="134" t="s">
        <v>146</v>
      </c>
      <c r="F992" s="221">
        <v>45061.0</v>
      </c>
      <c r="G992" s="222">
        <v>0.04861111111111111</v>
      </c>
      <c r="H992" s="134" t="s">
        <v>411</v>
      </c>
      <c r="I992" s="223" t="s">
        <v>411</v>
      </c>
      <c r="J992" s="223" t="b">
        <f t="shared" si="1"/>
        <v>1</v>
      </c>
      <c r="K992" s="145" t="s">
        <v>1107</v>
      </c>
      <c r="L992" s="156"/>
      <c r="M992" s="134" t="s">
        <v>421</v>
      </c>
      <c r="N992" s="150">
        <f>if(and(O992=TRUE,P992=TRUE), VLOOKUP($E992,PESSOAL!$B$35:$S$45,MONTH($F992)+6,false)*G992*24,0)</f>
        <v>100.5841168</v>
      </c>
      <c r="O992" s="117" t="b">
        <f t="shared" si="2"/>
        <v>1</v>
      </c>
      <c r="P992" s="117" t="b">
        <v>1</v>
      </c>
      <c r="Q992" s="117" t="s">
        <v>368</v>
      </c>
    </row>
    <row r="993" hidden="1">
      <c r="A993" s="108"/>
      <c r="B993" s="220"/>
      <c r="C993" s="220" t="s">
        <v>290</v>
      </c>
      <c r="D993" s="220" t="str">
        <f>vlookup(M993,'Página10'!A:B,2,false)</f>
        <v>INOV00001</v>
      </c>
      <c r="E993" s="134" t="s">
        <v>146</v>
      </c>
      <c r="F993" s="221">
        <v>45061.0</v>
      </c>
      <c r="G993" s="222">
        <v>0.034722222222222224</v>
      </c>
      <c r="H993" s="134" t="s">
        <v>479</v>
      </c>
      <c r="I993" s="223" t="s">
        <v>479</v>
      </c>
      <c r="J993" s="223" t="b">
        <f t="shared" si="1"/>
        <v>1</v>
      </c>
      <c r="K993" s="145" t="s">
        <v>1110</v>
      </c>
      <c r="L993" s="156"/>
      <c r="M993" s="134" t="s">
        <v>416</v>
      </c>
      <c r="N993" s="150">
        <f>if(and(O993=TRUE,P993=TRUE), VLOOKUP($E993,PESSOAL!$B$35:$S$45,MONTH($F993)+6,false)*G993*24,0)</f>
        <v>0</v>
      </c>
      <c r="O993" s="117" t="b">
        <f t="shared" si="2"/>
        <v>0</v>
      </c>
      <c r="P993" s="117" t="b">
        <v>1</v>
      </c>
      <c r="Q993" s="117" t="s">
        <v>368</v>
      </c>
    </row>
    <row r="994" hidden="1">
      <c r="A994" s="108"/>
      <c r="B994" s="220"/>
      <c r="C994" s="220" t="s">
        <v>54</v>
      </c>
      <c r="D994" s="220" t="str">
        <f>vlookup(M994,'Página10'!A:B,2,false)</f>
        <v>INOV00016</v>
      </c>
      <c r="E994" s="134" t="s">
        <v>146</v>
      </c>
      <c r="F994" s="221">
        <v>45062.0</v>
      </c>
      <c r="G994" s="222">
        <v>0.041666666666666664</v>
      </c>
      <c r="H994" s="134" t="s">
        <v>411</v>
      </c>
      <c r="I994" s="223" t="s">
        <v>411</v>
      </c>
      <c r="J994" s="223" t="b">
        <f t="shared" si="1"/>
        <v>1</v>
      </c>
      <c r="K994" s="145" t="s">
        <v>1111</v>
      </c>
      <c r="L994" s="156"/>
      <c r="M994" s="134" t="s">
        <v>428</v>
      </c>
      <c r="N994" s="150">
        <f>if(and(O994=TRUE,P994=TRUE), VLOOKUP($E994,PESSOAL!$B$35:$S$45,MONTH($F994)+6,false)*G994*24,0)</f>
        <v>86.21495724</v>
      </c>
      <c r="O994" s="117" t="b">
        <f t="shared" si="2"/>
        <v>1</v>
      </c>
      <c r="P994" s="117" t="b">
        <v>1</v>
      </c>
      <c r="Q994" s="117" t="s">
        <v>368</v>
      </c>
    </row>
    <row r="995" hidden="1">
      <c r="A995" s="108"/>
      <c r="B995" s="220"/>
      <c r="C995" s="220" t="s">
        <v>53</v>
      </c>
      <c r="D995" s="220" t="str">
        <f>vlookup(M995,'Página10'!A:B,2,false)</f>
        <v>INOV00014</v>
      </c>
      <c r="E995" s="134" t="s">
        <v>146</v>
      </c>
      <c r="F995" s="221">
        <v>45062.0</v>
      </c>
      <c r="G995" s="222">
        <v>0.041666666666666664</v>
      </c>
      <c r="H995" s="134" t="s">
        <v>411</v>
      </c>
      <c r="I995" s="223" t="s">
        <v>411</v>
      </c>
      <c r="J995" s="223" t="b">
        <f t="shared" si="1"/>
        <v>1</v>
      </c>
      <c r="K995" s="145" t="s">
        <v>1111</v>
      </c>
      <c r="L995" s="156"/>
      <c r="M995" s="134" t="s">
        <v>427</v>
      </c>
      <c r="N995" s="150">
        <f>if(and(O995=TRUE,P995=TRUE), VLOOKUP($E995,PESSOAL!$B$35:$S$45,MONTH($F995)+6,false)*G995*24,0)</f>
        <v>86.21495724</v>
      </c>
      <c r="O995" s="117" t="b">
        <f t="shared" si="2"/>
        <v>1</v>
      </c>
      <c r="P995" s="117" t="b">
        <v>1</v>
      </c>
      <c r="Q995" s="117" t="s">
        <v>368</v>
      </c>
    </row>
    <row r="996" hidden="1">
      <c r="A996" s="108"/>
      <c r="B996" s="220"/>
      <c r="C996" s="220" t="s">
        <v>68</v>
      </c>
      <c r="D996" s="220" t="str">
        <f>vlookup(M996,'Página10'!A:B,2,false)</f>
        <v>INOV00040</v>
      </c>
      <c r="E996" s="134" t="s">
        <v>146</v>
      </c>
      <c r="F996" s="221">
        <v>45062.0</v>
      </c>
      <c r="G996" s="222">
        <v>0.041666666666666664</v>
      </c>
      <c r="H996" s="134" t="s">
        <v>411</v>
      </c>
      <c r="I996" s="223" t="s">
        <v>411</v>
      </c>
      <c r="J996" s="223" t="b">
        <f t="shared" si="1"/>
        <v>1</v>
      </c>
      <c r="K996" s="145" t="s">
        <v>1112</v>
      </c>
      <c r="L996" s="156"/>
      <c r="M996" s="134" t="s">
        <v>462</v>
      </c>
      <c r="N996" s="150">
        <f>if(and(O996=TRUE,P996=TRUE), VLOOKUP($E996,PESSOAL!$B$35:$S$45,MONTH($F996)+6,false)*G996*24,0)</f>
        <v>0</v>
      </c>
      <c r="O996" s="117" t="b">
        <f t="shared" si="2"/>
        <v>1</v>
      </c>
      <c r="P996" s="117" t="b">
        <v>0</v>
      </c>
      <c r="Q996" s="117" t="s">
        <v>368</v>
      </c>
    </row>
    <row r="997" hidden="1">
      <c r="A997" s="108"/>
      <c r="B997" s="220"/>
      <c r="C997" s="220" t="s">
        <v>290</v>
      </c>
      <c r="D997" s="220" t="str">
        <f>vlookup(M997,'Página10'!A:B,2,false)</f>
        <v>INOV00001</v>
      </c>
      <c r="E997" s="134" t="s">
        <v>146</v>
      </c>
      <c r="F997" s="221">
        <v>45062.0</v>
      </c>
      <c r="G997" s="222">
        <v>0.020833333333333332</v>
      </c>
      <c r="H997" s="134" t="s">
        <v>411</v>
      </c>
      <c r="I997" s="223" t="s">
        <v>411</v>
      </c>
      <c r="J997" s="223" t="b">
        <f t="shared" si="1"/>
        <v>1</v>
      </c>
      <c r="K997" s="145" t="s">
        <v>1113</v>
      </c>
      <c r="L997" s="156"/>
      <c r="M997" s="134" t="s">
        <v>416</v>
      </c>
      <c r="N997" s="150">
        <f>if(and(O997=TRUE,P997=TRUE), VLOOKUP($E997,PESSOAL!$B$35:$S$45,MONTH($F997)+6,false)*G997*24,0)</f>
        <v>43.10747862</v>
      </c>
      <c r="O997" s="117" t="b">
        <f t="shared" si="2"/>
        <v>1</v>
      </c>
      <c r="P997" s="117" t="b">
        <v>1</v>
      </c>
      <c r="Q997" s="117" t="s">
        <v>368</v>
      </c>
    </row>
    <row r="998" hidden="1">
      <c r="A998" s="108"/>
      <c r="B998" s="220"/>
      <c r="C998" s="220" t="s">
        <v>54</v>
      </c>
      <c r="D998" s="220" t="str">
        <f>vlookup(M998,'Página10'!A:B,2,false)</f>
        <v>INOV00016</v>
      </c>
      <c r="E998" s="134" t="s">
        <v>146</v>
      </c>
      <c r="F998" s="221">
        <v>45062.0</v>
      </c>
      <c r="G998" s="222">
        <v>0.041666666666666664</v>
      </c>
      <c r="H998" s="134" t="s">
        <v>411</v>
      </c>
      <c r="I998" s="223" t="s">
        <v>411</v>
      </c>
      <c r="J998" s="223" t="b">
        <f t="shared" si="1"/>
        <v>1</v>
      </c>
      <c r="K998" s="145" t="s">
        <v>1114</v>
      </c>
      <c r="L998" s="156"/>
      <c r="M998" s="134" t="s">
        <v>428</v>
      </c>
      <c r="N998" s="150">
        <f>if(and(O998=TRUE,P998=TRUE), VLOOKUP($E998,PESSOAL!$B$35:$S$45,MONTH($F998)+6,false)*G998*24,0)</f>
        <v>86.21495724</v>
      </c>
      <c r="O998" s="117" t="b">
        <f t="shared" si="2"/>
        <v>1</v>
      </c>
      <c r="P998" s="117" t="b">
        <v>1</v>
      </c>
      <c r="Q998" s="117" t="s">
        <v>368</v>
      </c>
    </row>
    <row r="999" hidden="1">
      <c r="A999" s="108"/>
      <c r="B999" s="220"/>
      <c r="C999" s="220" t="s">
        <v>61</v>
      </c>
      <c r="D999" s="220" t="str">
        <f>vlookup(M999,'Página10'!A:B,2,false)</f>
        <v>INOV00031</v>
      </c>
      <c r="E999" s="134" t="s">
        <v>146</v>
      </c>
      <c r="F999" s="221">
        <v>45062.0</v>
      </c>
      <c r="G999" s="222">
        <v>0.017361111111111112</v>
      </c>
      <c r="H999" s="134" t="s">
        <v>479</v>
      </c>
      <c r="I999" s="223" t="s">
        <v>479</v>
      </c>
      <c r="J999" s="223" t="b">
        <f t="shared" si="1"/>
        <v>1</v>
      </c>
      <c r="K999" s="145" t="s">
        <v>1110</v>
      </c>
      <c r="L999" s="156"/>
      <c r="M999" s="134" t="s">
        <v>451</v>
      </c>
      <c r="N999" s="150">
        <f>if(and(O999=TRUE,P999=TRUE), VLOOKUP($E999,PESSOAL!$B$35:$S$45,MONTH($F999)+6,false)*G999*24,0)</f>
        <v>0</v>
      </c>
      <c r="O999" s="117" t="b">
        <f t="shared" si="2"/>
        <v>0</v>
      </c>
      <c r="P999" s="117" t="b">
        <v>1</v>
      </c>
      <c r="Q999" s="117" t="s">
        <v>368</v>
      </c>
    </row>
    <row r="1000" hidden="1">
      <c r="A1000" s="108"/>
      <c r="B1000" s="220"/>
      <c r="C1000" s="220" t="s">
        <v>54</v>
      </c>
      <c r="D1000" s="220" t="str">
        <f>vlookup(M1000,'Página10'!A:B,2,false)</f>
        <v>INOV00016</v>
      </c>
      <c r="E1000" s="134" t="s">
        <v>146</v>
      </c>
      <c r="F1000" s="221">
        <v>45063.0</v>
      </c>
      <c r="G1000" s="222">
        <v>0.013888888888888888</v>
      </c>
      <c r="H1000" s="134" t="s">
        <v>479</v>
      </c>
      <c r="I1000" s="223" t="s">
        <v>479</v>
      </c>
      <c r="J1000" s="223" t="b">
        <f t="shared" si="1"/>
        <v>1</v>
      </c>
      <c r="K1000" s="145" t="s">
        <v>1110</v>
      </c>
      <c r="L1000" s="156"/>
      <c r="M1000" s="134" t="s">
        <v>428</v>
      </c>
      <c r="N1000" s="150">
        <f>if(and(O1000=TRUE,P1000=TRUE), VLOOKUP($E1000,PESSOAL!$B$35:$S$45,MONTH($F1000)+6,false)*G1000*24,0)</f>
        <v>0</v>
      </c>
      <c r="O1000" s="117" t="b">
        <f t="shared" si="2"/>
        <v>0</v>
      </c>
      <c r="P1000" s="117" t="b">
        <v>1</v>
      </c>
      <c r="Q1000" s="117" t="s">
        <v>368</v>
      </c>
    </row>
    <row r="1001" hidden="1">
      <c r="A1001" s="108"/>
      <c r="B1001" s="220"/>
      <c r="C1001" s="220" t="s">
        <v>53</v>
      </c>
      <c r="D1001" s="220" t="str">
        <f>vlookup(M1001,'Página10'!A:B,2,false)</f>
        <v>INOV00014</v>
      </c>
      <c r="E1001" s="134" t="s">
        <v>146</v>
      </c>
      <c r="F1001" s="221">
        <v>45063.0</v>
      </c>
      <c r="G1001" s="222">
        <v>0.013888888888888888</v>
      </c>
      <c r="H1001" s="134" t="s">
        <v>479</v>
      </c>
      <c r="I1001" s="223" t="s">
        <v>479</v>
      </c>
      <c r="J1001" s="223" t="b">
        <f t="shared" si="1"/>
        <v>1</v>
      </c>
      <c r="K1001" s="145" t="s">
        <v>1110</v>
      </c>
      <c r="L1001" s="156"/>
      <c r="M1001" s="134" t="s">
        <v>427</v>
      </c>
      <c r="N1001" s="150">
        <f>if(and(O1001=TRUE,P1001=TRUE), VLOOKUP($E1001,PESSOAL!$B$35:$S$45,MONTH($F1001)+6,false)*G1001*24,0)</f>
        <v>0</v>
      </c>
      <c r="O1001" s="117" t="b">
        <f t="shared" si="2"/>
        <v>0</v>
      </c>
      <c r="P1001" s="117" t="b">
        <v>1</v>
      </c>
      <c r="Q1001" s="117" t="s">
        <v>368</v>
      </c>
    </row>
    <row r="1002" hidden="1">
      <c r="A1002" s="108"/>
      <c r="B1002" s="220"/>
      <c r="C1002" s="220" t="s">
        <v>51</v>
      </c>
      <c r="D1002" s="220" t="str">
        <f>vlookup(M1002,'Página10'!A:B,2,false)</f>
        <v>INOV00010</v>
      </c>
      <c r="E1002" s="134" t="s">
        <v>146</v>
      </c>
      <c r="F1002" s="221">
        <v>45063.0</v>
      </c>
      <c r="G1002" s="222">
        <v>0.020833333333333332</v>
      </c>
      <c r="H1002" s="134" t="s">
        <v>479</v>
      </c>
      <c r="I1002" s="223" t="s">
        <v>479</v>
      </c>
      <c r="J1002" s="223" t="b">
        <f t="shared" si="1"/>
        <v>1</v>
      </c>
      <c r="K1002" s="145" t="s">
        <v>1110</v>
      </c>
      <c r="L1002" s="156"/>
      <c r="M1002" s="134" t="s">
        <v>423</v>
      </c>
      <c r="N1002" s="150">
        <f>if(and(O1002=TRUE,P1002=TRUE), VLOOKUP($E1002,PESSOAL!$B$35:$S$45,MONTH($F1002)+6,false)*G1002*24,0)</f>
        <v>0</v>
      </c>
      <c r="O1002" s="117" t="b">
        <f t="shared" si="2"/>
        <v>0</v>
      </c>
      <c r="P1002" s="117" t="b">
        <v>1</v>
      </c>
      <c r="Q1002" s="117" t="s">
        <v>368</v>
      </c>
    </row>
    <row r="1003" hidden="1">
      <c r="A1003" s="108"/>
      <c r="B1003" s="220"/>
      <c r="C1003" s="220" t="s">
        <v>290</v>
      </c>
      <c r="D1003" s="220" t="str">
        <f>vlookup(M1003,'Página10'!A:B,2,false)</f>
        <v>INOV00001</v>
      </c>
      <c r="E1003" s="134" t="s">
        <v>146</v>
      </c>
      <c r="F1003" s="221">
        <v>45063.0</v>
      </c>
      <c r="G1003" s="222">
        <v>0.020833333333333332</v>
      </c>
      <c r="H1003" s="134" t="s">
        <v>479</v>
      </c>
      <c r="I1003" s="223" t="s">
        <v>479</v>
      </c>
      <c r="J1003" s="223" t="b">
        <f t="shared" si="1"/>
        <v>1</v>
      </c>
      <c r="K1003" s="145" t="s">
        <v>1110</v>
      </c>
      <c r="L1003" s="156"/>
      <c r="M1003" s="134" t="s">
        <v>416</v>
      </c>
      <c r="N1003" s="150">
        <f>if(and(O1003=TRUE,P1003=TRUE), VLOOKUP($E1003,PESSOAL!$B$35:$S$45,MONTH($F1003)+6,false)*G1003*24,0)</f>
        <v>0</v>
      </c>
      <c r="O1003" s="117" t="b">
        <f t="shared" si="2"/>
        <v>0</v>
      </c>
      <c r="P1003" s="117" t="b">
        <v>1</v>
      </c>
      <c r="Q1003" s="117" t="s">
        <v>368</v>
      </c>
    </row>
    <row r="1004" hidden="1">
      <c r="A1004" s="108"/>
      <c r="B1004" s="220"/>
      <c r="C1004" s="220" t="s">
        <v>69</v>
      </c>
      <c r="D1004" s="220" t="str">
        <f>vlookup(M1004,'Página10'!A:B,2,false)</f>
        <v>INOV00041</v>
      </c>
      <c r="E1004" s="134" t="s">
        <v>146</v>
      </c>
      <c r="F1004" s="221">
        <v>45065.0</v>
      </c>
      <c r="G1004" s="222">
        <v>0.08333333333333333</v>
      </c>
      <c r="H1004" s="134" t="s">
        <v>411</v>
      </c>
      <c r="I1004" s="223" t="s">
        <v>411</v>
      </c>
      <c r="J1004" s="223" t="b">
        <f t="shared" si="1"/>
        <v>1</v>
      </c>
      <c r="K1004" s="145" t="s">
        <v>1115</v>
      </c>
      <c r="L1004" s="156"/>
      <c r="M1004" s="134" t="s">
        <v>463</v>
      </c>
      <c r="N1004" s="224">
        <v>0.0</v>
      </c>
      <c r="O1004" s="117" t="b">
        <f t="shared" si="2"/>
        <v>1</v>
      </c>
      <c r="P1004" s="117" t="b">
        <v>1</v>
      </c>
      <c r="Q1004" s="117" t="s">
        <v>368</v>
      </c>
    </row>
    <row r="1005" hidden="1">
      <c r="A1005" s="108"/>
      <c r="B1005" s="220"/>
      <c r="C1005" s="220" t="s">
        <v>69</v>
      </c>
      <c r="D1005" s="220" t="str">
        <f>vlookup(M1005,'Página10'!A:B,2,false)</f>
        <v>INOV00041</v>
      </c>
      <c r="E1005" s="134" t="s">
        <v>146</v>
      </c>
      <c r="F1005" s="221">
        <v>45065.0</v>
      </c>
      <c r="G1005" s="222">
        <v>0.041666666666666664</v>
      </c>
      <c r="H1005" s="134" t="s">
        <v>411</v>
      </c>
      <c r="I1005" s="223" t="s">
        <v>411</v>
      </c>
      <c r="J1005" s="223" t="b">
        <f t="shared" si="1"/>
        <v>1</v>
      </c>
      <c r="K1005" s="145" t="s">
        <v>1116</v>
      </c>
      <c r="L1005" s="156"/>
      <c r="M1005" s="134" t="s">
        <v>463</v>
      </c>
      <c r="N1005" s="224">
        <v>0.0</v>
      </c>
      <c r="O1005" s="117" t="b">
        <f t="shared" si="2"/>
        <v>1</v>
      </c>
      <c r="P1005" s="117" t="b">
        <v>1</v>
      </c>
      <c r="Q1005" s="117" t="s">
        <v>368</v>
      </c>
    </row>
    <row r="1006" hidden="1">
      <c r="A1006" s="108"/>
      <c r="B1006" s="220"/>
      <c r="C1006" s="220" t="s">
        <v>290</v>
      </c>
      <c r="D1006" s="220" t="str">
        <f>vlookup(M1006,'Página10'!A:B,2,false)</f>
        <v>INOV00001</v>
      </c>
      <c r="E1006" s="134" t="s">
        <v>146</v>
      </c>
      <c r="F1006" s="221">
        <v>45068.0</v>
      </c>
      <c r="G1006" s="222">
        <v>0.0625</v>
      </c>
      <c r="H1006" s="134" t="s">
        <v>411</v>
      </c>
      <c r="I1006" s="223" t="s">
        <v>411</v>
      </c>
      <c r="J1006" s="223" t="b">
        <f t="shared" si="1"/>
        <v>1</v>
      </c>
      <c r="K1006" s="145" t="s">
        <v>1117</v>
      </c>
      <c r="L1006" s="156"/>
      <c r="M1006" s="134" t="s">
        <v>416</v>
      </c>
      <c r="N1006" s="150">
        <f>if(and(O1006=TRUE,P1006=TRUE), VLOOKUP($E1006,PESSOAL!$B$35:$S$45,MONTH($F1006)+6,false)*G1006*24,0)</f>
        <v>129.3224359</v>
      </c>
      <c r="O1006" s="117" t="b">
        <f t="shared" si="2"/>
        <v>1</v>
      </c>
      <c r="P1006" s="117" t="b">
        <v>1</v>
      </c>
      <c r="Q1006" s="117" t="s">
        <v>368</v>
      </c>
    </row>
    <row r="1007" hidden="1">
      <c r="A1007" s="108"/>
      <c r="B1007" s="220"/>
      <c r="C1007" s="220" t="s">
        <v>51</v>
      </c>
      <c r="D1007" s="220" t="str">
        <f>vlookup(M1007,'Página10'!A:B,2,false)</f>
        <v>INOV00010</v>
      </c>
      <c r="E1007" s="134" t="s">
        <v>146</v>
      </c>
      <c r="F1007" s="221">
        <v>45068.0</v>
      </c>
      <c r="G1007" s="222">
        <v>0.041666666666666664</v>
      </c>
      <c r="H1007" s="134" t="s">
        <v>411</v>
      </c>
      <c r="I1007" s="223" t="s">
        <v>411</v>
      </c>
      <c r="J1007" s="223" t="b">
        <f t="shared" si="1"/>
        <v>1</v>
      </c>
      <c r="K1007" s="145" t="s">
        <v>1118</v>
      </c>
      <c r="L1007" s="156"/>
      <c r="M1007" s="134" t="s">
        <v>423</v>
      </c>
      <c r="N1007" s="150">
        <f>if(and(O1007=TRUE,P1007=TRUE), VLOOKUP($E1007,PESSOAL!$B$35:$S$45,MONTH($F1007)+6,false)*G1007*24,0)</f>
        <v>86.21495724</v>
      </c>
      <c r="O1007" s="117" t="b">
        <f t="shared" si="2"/>
        <v>1</v>
      </c>
      <c r="P1007" s="117" t="b">
        <v>1</v>
      </c>
      <c r="Q1007" s="117" t="s">
        <v>368</v>
      </c>
    </row>
    <row r="1008" hidden="1">
      <c r="A1008" s="108"/>
      <c r="B1008" s="220"/>
      <c r="C1008" s="220" t="s">
        <v>54</v>
      </c>
      <c r="D1008" s="220" t="str">
        <f>vlookup(M1008,'Página10'!A:B,2,false)</f>
        <v>INOV00016</v>
      </c>
      <c r="E1008" s="134" t="s">
        <v>146</v>
      </c>
      <c r="F1008" s="221">
        <v>45069.0</v>
      </c>
      <c r="G1008" s="222">
        <v>0.125</v>
      </c>
      <c r="H1008" s="134" t="s">
        <v>411</v>
      </c>
      <c r="I1008" s="223" t="s">
        <v>411</v>
      </c>
      <c r="J1008" s="223" t="b">
        <f t="shared" si="1"/>
        <v>1</v>
      </c>
      <c r="K1008" s="145" t="s">
        <v>1119</v>
      </c>
      <c r="L1008" s="156"/>
      <c r="M1008" s="134" t="s">
        <v>428</v>
      </c>
      <c r="N1008" s="150">
        <f>if(and(O1008=TRUE,P1008=TRUE), VLOOKUP($E1008,PESSOAL!$B$35:$S$45,MONTH($F1008)+6,false)*G1008*24,0)</f>
        <v>258.6448717</v>
      </c>
      <c r="O1008" s="117" t="b">
        <f t="shared" si="2"/>
        <v>1</v>
      </c>
      <c r="P1008" s="117" t="b">
        <v>1</v>
      </c>
      <c r="Q1008" s="117" t="s">
        <v>368</v>
      </c>
    </row>
    <row r="1009" hidden="1">
      <c r="A1009" s="108"/>
      <c r="B1009" s="220"/>
      <c r="C1009" s="220" t="s">
        <v>290</v>
      </c>
      <c r="D1009" s="220" t="str">
        <f>vlookup(M1009,'Página10'!A:B,2,false)</f>
        <v>INOV00001</v>
      </c>
      <c r="E1009" s="134" t="s">
        <v>146</v>
      </c>
      <c r="F1009" s="221">
        <v>45070.0</v>
      </c>
      <c r="G1009" s="222">
        <v>0.08333333333333333</v>
      </c>
      <c r="H1009" s="134" t="s">
        <v>411</v>
      </c>
      <c r="I1009" s="223" t="s">
        <v>411</v>
      </c>
      <c r="J1009" s="223" t="b">
        <f t="shared" si="1"/>
        <v>1</v>
      </c>
      <c r="K1009" s="145" t="s">
        <v>1120</v>
      </c>
      <c r="L1009" s="156"/>
      <c r="M1009" s="134" t="s">
        <v>416</v>
      </c>
      <c r="N1009" s="150">
        <f>if(and(O1009=TRUE,P1009=TRUE), VLOOKUP($E1009,PESSOAL!$B$35:$S$45,MONTH($F1009)+6,false)*G1009*24,0)</f>
        <v>172.4299145</v>
      </c>
      <c r="O1009" s="117" t="b">
        <f t="shared" si="2"/>
        <v>1</v>
      </c>
      <c r="P1009" s="117" t="b">
        <v>1</v>
      </c>
      <c r="Q1009" s="117" t="s">
        <v>368</v>
      </c>
    </row>
    <row r="1010" hidden="1">
      <c r="A1010" s="108"/>
      <c r="B1010" s="220"/>
      <c r="C1010" s="220" t="s">
        <v>54</v>
      </c>
      <c r="D1010" s="220" t="str">
        <f>vlookup(M1010,'Página10'!A:B,2,false)</f>
        <v>INOV00016</v>
      </c>
      <c r="E1010" s="134" t="s">
        <v>146</v>
      </c>
      <c r="F1010" s="221">
        <v>45070.0</v>
      </c>
      <c r="G1010" s="222">
        <v>0.041666666666666664</v>
      </c>
      <c r="H1010" s="134" t="s">
        <v>411</v>
      </c>
      <c r="I1010" s="223" t="s">
        <v>411</v>
      </c>
      <c r="J1010" s="223" t="b">
        <f t="shared" si="1"/>
        <v>1</v>
      </c>
      <c r="K1010" s="145" t="s">
        <v>1121</v>
      </c>
      <c r="L1010" s="156"/>
      <c r="M1010" s="134" t="s">
        <v>428</v>
      </c>
      <c r="N1010" s="150">
        <f>if(and(O1010=TRUE,P1010=TRUE), VLOOKUP($E1010,PESSOAL!$B$35:$S$45,MONTH($F1010)+6,false)*G1010*24,0)</f>
        <v>86.21495724</v>
      </c>
      <c r="O1010" s="117" t="b">
        <f t="shared" si="2"/>
        <v>1</v>
      </c>
      <c r="P1010" s="117" t="b">
        <v>1</v>
      </c>
      <c r="Q1010" s="117" t="s">
        <v>368</v>
      </c>
    </row>
    <row r="1011" hidden="1">
      <c r="A1011" s="108"/>
      <c r="B1011" s="220"/>
      <c r="C1011" s="220" t="s">
        <v>54</v>
      </c>
      <c r="D1011" s="220" t="str">
        <f>vlookup(M1011,'Página10'!A:B,2,false)</f>
        <v>INOV00016</v>
      </c>
      <c r="E1011" s="134" t="s">
        <v>146</v>
      </c>
      <c r="F1011" s="221">
        <v>45070.0</v>
      </c>
      <c r="G1011" s="222">
        <v>0.041666666666666664</v>
      </c>
      <c r="H1011" s="134" t="s">
        <v>411</v>
      </c>
      <c r="I1011" s="223" t="s">
        <v>411</v>
      </c>
      <c r="J1011" s="223" t="b">
        <f t="shared" si="1"/>
        <v>1</v>
      </c>
      <c r="K1011" s="145" t="s">
        <v>1122</v>
      </c>
      <c r="L1011" s="156"/>
      <c r="M1011" s="134" t="s">
        <v>428</v>
      </c>
      <c r="N1011" s="150">
        <f>if(and(O1011=TRUE,P1011=TRUE), VLOOKUP($E1011,PESSOAL!$B$35:$S$45,MONTH($F1011)+6,false)*G1011*24,0)</f>
        <v>86.21495724</v>
      </c>
      <c r="O1011" s="117" t="b">
        <f t="shared" si="2"/>
        <v>1</v>
      </c>
      <c r="P1011" s="117" t="b">
        <v>1</v>
      </c>
      <c r="Q1011" s="117" t="s">
        <v>368</v>
      </c>
    </row>
    <row r="1012" hidden="1">
      <c r="A1012" s="108"/>
      <c r="B1012" s="220"/>
      <c r="C1012" s="220" t="s">
        <v>433</v>
      </c>
      <c r="D1012" s="220" t="str">
        <f>vlookup(M1012,'Página10'!A:B,2,false)</f>
        <v>INOV00019</v>
      </c>
      <c r="E1012" s="134" t="s">
        <v>146</v>
      </c>
      <c r="F1012" s="221">
        <v>45071.0</v>
      </c>
      <c r="G1012" s="222">
        <v>0.125</v>
      </c>
      <c r="H1012" s="134" t="s">
        <v>411</v>
      </c>
      <c r="I1012" s="223" t="s">
        <v>411</v>
      </c>
      <c r="J1012" s="223" t="b">
        <f t="shared" si="1"/>
        <v>1</v>
      </c>
      <c r="K1012" s="145" t="s">
        <v>1123</v>
      </c>
      <c r="L1012" s="156"/>
      <c r="M1012" s="134" t="s">
        <v>432</v>
      </c>
      <c r="N1012" s="150">
        <f>if(and(O1012=TRUE,P1012=TRUE), VLOOKUP($E1012,PESSOAL!$B$35:$S$45,MONTH($F1012)+6,false)*G1012*24,0)</f>
        <v>0</v>
      </c>
      <c r="O1012" s="117" t="b">
        <f t="shared" si="2"/>
        <v>1</v>
      </c>
      <c r="P1012" s="117" t="b">
        <v>0</v>
      </c>
      <c r="Q1012" s="117" t="s">
        <v>368</v>
      </c>
    </row>
    <row r="1013" hidden="1">
      <c r="A1013" s="108"/>
      <c r="B1013" s="220"/>
      <c r="C1013" s="220" t="s">
        <v>446</v>
      </c>
      <c r="D1013" s="220" t="str">
        <f>vlookup(M1013,'Página10'!A:B,2,false)</f>
        <v>INOV00028</v>
      </c>
      <c r="E1013" s="134" t="s">
        <v>146</v>
      </c>
      <c r="F1013" s="221">
        <v>45072.0</v>
      </c>
      <c r="G1013" s="222">
        <v>0.16666666666666666</v>
      </c>
      <c r="H1013" s="134" t="s">
        <v>475</v>
      </c>
      <c r="I1013" s="223" t="s">
        <v>475</v>
      </c>
      <c r="J1013" s="223" t="b">
        <f t="shared" si="1"/>
        <v>1</v>
      </c>
      <c r="K1013" s="145" t="s">
        <v>1124</v>
      </c>
      <c r="L1013" s="156"/>
      <c r="M1013" s="134" t="s">
        <v>445</v>
      </c>
      <c r="N1013" s="150">
        <f>if(and(O1013=TRUE,P1013=TRUE), VLOOKUP($E1013,PESSOAL!$B$35:$S$45,MONTH($F1013)+6,false)*G1013*24,0)</f>
        <v>0</v>
      </c>
      <c r="O1013" s="117" t="b">
        <f t="shared" si="2"/>
        <v>1</v>
      </c>
      <c r="P1013" s="117" t="b">
        <v>0</v>
      </c>
      <c r="Q1013" s="117" t="s">
        <v>368</v>
      </c>
    </row>
    <row r="1014" hidden="1">
      <c r="A1014" s="108"/>
      <c r="B1014" s="220"/>
      <c r="C1014" s="220" t="s">
        <v>69</v>
      </c>
      <c r="D1014" s="220" t="str">
        <f>vlookup(M1014,'Página10'!A:B,2,false)</f>
        <v>INOV00041</v>
      </c>
      <c r="E1014" s="134" t="s">
        <v>146</v>
      </c>
      <c r="F1014" s="221">
        <v>45072.0</v>
      </c>
      <c r="G1014" s="222">
        <v>0.041666666666666664</v>
      </c>
      <c r="H1014" s="134" t="s">
        <v>475</v>
      </c>
      <c r="I1014" s="223" t="s">
        <v>475</v>
      </c>
      <c r="J1014" s="223" t="b">
        <f t="shared" si="1"/>
        <v>1</v>
      </c>
      <c r="K1014" s="145" t="s">
        <v>1125</v>
      </c>
      <c r="L1014" s="156"/>
      <c r="M1014" s="134" t="s">
        <v>463</v>
      </c>
      <c r="N1014" s="224">
        <v>0.0</v>
      </c>
      <c r="O1014" s="117" t="b">
        <f t="shared" si="2"/>
        <v>1</v>
      </c>
      <c r="P1014" s="117" t="b">
        <v>1</v>
      </c>
      <c r="Q1014" s="117" t="s">
        <v>368</v>
      </c>
    </row>
    <row r="1015" hidden="1">
      <c r="A1015" s="108"/>
      <c r="B1015" s="220"/>
      <c r="C1015" s="220" t="s">
        <v>446</v>
      </c>
      <c r="D1015" s="220" t="str">
        <f>vlookup(M1015,'Página10'!A:B,2,false)</f>
        <v>INOV00028</v>
      </c>
      <c r="E1015" s="134" t="s">
        <v>146</v>
      </c>
      <c r="F1015" s="221">
        <v>45075.0</v>
      </c>
      <c r="G1015" s="222">
        <v>0.14583333333333334</v>
      </c>
      <c r="H1015" s="134" t="s">
        <v>411</v>
      </c>
      <c r="I1015" s="223" t="s">
        <v>411</v>
      </c>
      <c r="J1015" s="223" t="b">
        <f t="shared" si="1"/>
        <v>1</v>
      </c>
      <c r="K1015" s="145" t="s">
        <v>1126</v>
      </c>
      <c r="L1015" s="156"/>
      <c r="M1015" s="134" t="s">
        <v>445</v>
      </c>
      <c r="N1015" s="150">
        <f>if(and(O1015=TRUE,P1015=TRUE), VLOOKUP($E1015,PESSOAL!$B$35:$S$45,MONTH($F1015)+6,false)*G1015*24,0)</f>
        <v>0</v>
      </c>
      <c r="O1015" s="117" t="b">
        <f t="shared" si="2"/>
        <v>1</v>
      </c>
      <c r="P1015" s="117" t="b">
        <v>0</v>
      </c>
      <c r="Q1015" s="117" t="s">
        <v>368</v>
      </c>
    </row>
    <row r="1016" hidden="1">
      <c r="A1016" s="108"/>
      <c r="B1016" s="220"/>
      <c r="C1016" s="220" t="s">
        <v>69</v>
      </c>
      <c r="D1016" s="220" t="str">
        <f>vlookup(M1016,'Página10'!A:B,2,false)</f>
        <v>INOV00041</v>
      </c>
      <c r="E1016" s="134" t="s">
        <v>146</v>
      </c>
      <c r="F1016" s="221">
        <v>45075.0</v>
      </c>
      <c r="G1016" s="222">
        <v>0.08333333333333333</v>
      </c>
      <c r="H1016" s="134" t="s">
        <v>475</v>
      </c>
      <c r="I1016" s="223" t="s">
        <v>475</v>
      </c>
      <c r="J1016" s="223" t="b">
        <f t="shared" si="1"/>
        <v>1</v>
      </c>
      <c r="K1016" s="145" t="s">
        <v>1125</v>
      </c>
      <c r="L1016" s="156"/>
      <c r="M1016" s="134" t="s">
        <v>463</v>
      </c>
      <c r="N1016" s="224">
        <v>0.0</v>
      </c>
      <c r="O1016" s="117" t="b">
        <f t="shared" si="2"/>
        <v>1</v>
      </c>
      <c r="P1016" s="117" t="b">
        <v>1</v>
      </c>
      <c r="Q1016" s="117" t="s">
        <v>368</v>
      </c>
    </row>
    <row r="1017" hidden="1">
      <c r="A1017" s="108"/>
      <c r="B1017" s="220"/>
      <c r="C1017" s="220" t="s">
        <v>55</v>
      </c>
      <c r="D1017" s="220" t="str">
        <f>vlookup(M1017,'Página10'!A:B,2,false)</f>
        <v>INOV00017</v>
      </c>
      <c r="E1017" s="134" t="s">
        <v>146</v>
      </c>
      <c r="F1017" s="221">
        <v>45076.0</v>
      </c>
      <c r="G1017" s="222">
        <v>0.08333333333333333</v>
      </c>
      <c r="H1017" s="134" t="s">
        <v>411</v>
      </c>
      <c r="I1017" s="223" t="s">
        <v>411</v>
      </c>
      <c r="J1017" s="223" t="b">
        <f t="shared" si="1"/>
        <v>1</v>
      </c>
      <c r="K1017" s="145" t="s">
        <v>1127</v>
      </c>
      <c r="L1017" s="156"/>
      <c r="M1017" s="134" t="s">
        <v>429</v>
      </c>
      <c r="N1017" s="150">
        <f>if(and(O1017=TRUE,P1017=TRUE), VLOOKUP($E1017,PESSOAL!$B$35:$S$45,MONTH($F1017)+6,false)*G1017*24,0)</f>
        <v>172.4299145</v>
      </c>
      <c r="O1017" s="117" t="b">
        <f t="shared" si="2"/>
        <v>1</v>
      </c>
      <c r="P1017" s="117" t="b">
        <v>1</v>
      </c>
      <c r="Q1017" s="117" t="s">
        <v>368</v>
      </c>
    </row>
    <row r="1018" hidden="1">
      <c r="A1018" s="108"/>
      <c r="B1018" s="220"/>
      <c r="C1018" s="220" t="s">
        <v>55</v>
      </c>
      <c r="D1018" s="220" t="str">
        <f>vlookup(M1018,'Página10'!A:B,2,false)</f>
        <v>INOV00017</v>
      </c>
      <c r="E1018" s="134" t="s">
        <v>146</v>
      </c>
      <c r="F1018" s="221">
        <v>45076.0</v>
      </c>
      <c r="G1018" s="222">
        <v>0.08333333333333333</v>
      </c>
      <c r="H1018" s="134" t="s">
        <v>411</v>
      </c>
      <c r="I1018" s="223" t="s">
        <v>411</v>
      </c>
      <c r="J1018" s="223" t="b">
        <f t="shared" si="1"/>
        <v>1</v>
      </c>
      <c r="K1018" s="145" t="s">
        <v>1128</v>
      </c>
      <c r="L1018" s="156"/>
      <c r="M1018" s="134" t="s">
        <v>429</v>
      </c>
      <c r="N1018" s="150">
        <f>if(and(O1018=TRUE,P1018=TRUE), VLOOKUP($E1018,PESSOAL!$B$35:$S$45,MONTH($F1018)+6,false)*G1018*24,0)</f>
        <v>172.4299145</v>
      </c>
      <c r="O1018" s="117" t="b">
        <f t="shared" si="2"/>
        <v>1</v>
      </c>
      <c r="P1018" s="117" t="b">
        <v>1</v>
      </c>
      <c r="Q1018" s="117" t="s">
        <v>368</v>
      </c>
    </row>
    <row r="1019" hidden="1">
      <c r="A1019" s="108"/>
      <c r="B1019" s="220"/>
      <c r="C1019" s="220" t="s">
        <v>55</v>
      </c>
      <c r="D1019" s="220" t="str">
        <f>vlookup(M1019,'Página10'!A:B,2,false)</f>
        <v>INOV00017</v>
      </c>
      <c r="E1019" s="134" t="s">
        <v>146</v>
      </c>
      <c r="F1019" s="221">
        <v>45076.0</v>
      </c>
      <c r="G1019" s="222">
        <v>0.041666666666666664</v>
      </c>
      <c r="H1019" s="134" t="s">
        <v>411</v>
      </c>
      <c r="I1019" s="223" t="s">
        <v>411</v>
      </c>
      <c r="J1019" s="223" t="b">
        <f t="shared" si="1"/>
        <v>1</v>
      </c>
      <c r="K1019" s="145" t="s">
        <v>1129</v>
      </c>
      <c r="L1019" s="156"/>
      <c r="M1019" s="134" t="s">
        <v>429</v>
      </c>
      <c r="N1019" s="150">
        <f>if(and(O1019=TRUE,P1019=TRUE), VLOOKUP($E1019,PESSOAL!$B$35:$S$45,MONTH($F1019)+6,false)*G1019*24,0)</f>
        <v>86.21495724</v>
      </c>
      <c r="O1019" s="117" t="b">
        <f t="shared" si="2"/>
        <v>1</v>
      </c>
      <c r="P1019" s="117" t="b">
        <v>1</v>
      </c>
      <c r="Q1019" s="117" t="s">
        <v>368</v>
      </c>
    </row>
    <row r="1020" hidden="1">
      <c r="A1020" s="108"/>
      <c r="B1020" s="220"/>
      <c r="C1020" s="220" t="s">
        <v>54</v>
      </c>
      <c r="D1020" s="220" t="str">
        <f>vlookup(M1020,'Página10'!A:B,2,false)</f>
        <v>INOV00016</v>
      </c>
      <c r="E1020" s="134" t="s">
        <v>146</v>
      </c>
      <c r="F1020" s="221">
        <v>45077.0</v>
      </c>
      <c r="G1020" s="222">
        <v>0.08333333333333333</v>
      </c>
      <c r="H1020" s="134" t="s">
        <v>411</v>
      </c>
      <c r="I1020" s="223" t="s">
        <v>411</v>
      </c>
      <c r="J1020" s="223" t="b">
        <f t="shared" si="1"/>
        <v>1</v>
      </c>
      <c r="K1020" s="145" t="s">
        <v>1130</v>
      </c>
      <c r="L1020" s="156"/>
      <c r="M1020" s="134" t="s">
        <v>428</v>
      </c>
      <c r="N1020" s="150">
        <f>if(and(O1020=TRUE,P1020=TRUE), VLOOKUP($E1020,PESSOAL!$B$35:$S$45,MONTH($F1020)+6,false)*G1020*24,0)</f>
        <v>172.4299145</v>
      </c>
      <c r="O1020" s="117" t="b">
        <f t="shared" si="2"/>
        <v>1</v>
      </c>
      <c r="P1020" s="117" t="b">
        <v>1</v>
      </c>
      <c r="Q1020" s="117" t="s">
        <v>368</v>
      </c>
    </row>
    <row r="1021" hidden="1">
      <c r="A1021" s="108"/>
      <c r="B1021" s="220"/>
      <c r="C1021" s="220" t="s">
        <v>55</v>
      </c>
      <c r="D1021" s="220" t="str">
        <f>vlookup(M1021,'Página10'!A:B,2,false)</f>
        <v>INOV00017</v>
      </c>
      <c r="E1021" s="134" t="s">
        <v>146</v>
      </c>
      <c r="F1021" s="221">
        <v>45078.0</v>
      </c>
      <c r="G1021" s="222">
        <v>0.14583333333333334</v>
      </c>
      <c r="H1021" s="134" t="s">
        <v>475</v>
      </c>
      <c r="I1021" s="223" t="s">
        <v>475</v>
      </c>
      <c r="J1021" s="223" t="b">
        <f t="shared" si="1"/>
        <v>1</v>
      </c>
      <c r="K1021" s="145" t="s">
        <v>1131</v>
      </c>
      <c r="L1021" s="156"/>
      <c r="M1021" s="134" t="s">
        <v>429</v>
      </c>
      <c r="N1021" s="150">
        <f>if(and(O1021=TRUE,P1021=TRUE), VLOOKUP($E1021,PESSOAL!$B$35:$S$45,MONTH($F1021)+6,false)*G1021*24,0)</f>
        <v>334.0836028</v>
      </c>
      <c r="O1021" s="117" t="b">
        <f t="shared" si="2"/>
        <v>1</v>
      </c>
      <c r="P1021" s="117" t="b">
        <v>1</v>
      </c>
      <c r="Q1021" s="117" t="s">
        <v>368</v>
      </c>
    </row>
    <row r="1022" hidden="1">
      <c r="A1022" s="108"/>
      <c r="B1022" s="220"/>
      <c r="C1022" s="220" t="s">
        <v>54</v>
      </c>
      <c r="D1022" s="220" t="str">
        <f>vlookup(M1022,'Página10'!A:B,2,false)</f>
        <v>INOV00016</v>
      </c>
      <c r="E1022" s="134" t="s">
        <v>146</v>
      </c>
      <c r="F1022" s="221">
        <v>45078.0</v>
      </c>
      <c r="G1022" s="222">
        <v>0.125</v>
      </c>
      <c r="H1022" s="134" t="s">
        <v>475</v>
      </c>
      <c r="I1022" s="223" t="s">
        <v>475</v>
      </c>
      <c r="J1022" s="223" t="b">
        <f t="shared" si="1"/>
        <v>1</v>
      </c>
      <c r="K1022" s="145" t="s">
        <v>1132</v>
      </c>
      <c r="L1022" s="156"/>
      <c r="M1022" s="134" t="s">
        <v>428</v>
      </c>
      <c r="N1022" s="150">
        <f>if(and(O1022=TRUE,P1022=TRUE), VLOOKUP($E1022,PESSOAL!$B$35:$S$45,MONTH($F1022)+6,false)*G1022*24,0)</f>
        <v>286.3573738</v>
      </c>
      <c r="O1022" s="117" t="b">
        <f t="shared" si="2"/>
        <v>1</v>
      </c>
      <c r="P1022" s="117" t="b">
        <v>1</v>
      </c>
      <c r="Q1022" s="117" t="s">
        <v>368</v>
      </c>
    </row>
    <row r="1023" hidden="1">
      <c r="A1023" s="108"/>
      <c r="B1023" s="220"/>
      <c r="C1023" s="220" t="s">
        <v>54</v>
      </c>
      <c r="D1023" s="220" t="str">
        <f>vlookup(M1023,'Página10'!A:B,2,false)</f>
        <v>INOV00016</v>
      </c>
      <c r="E1023" s="134" t="s">
        <v>146</v>
      </c>
      <c r="F1023" s="221">
        <v>45079.0</v>
      </c>
      <c r="G1023" s="222">
        <v>0.041666666666666664</v>
      </c>
      <c r="H1023" s="134" t="s">
        <v>479</v>
      </c>
      <c r="I1023" s="223" t="s">
        <v>479</v>
      </c>
      <c r="J1023" s="223" t="b">
        <f t="shared" si="1"/>
        <v>1</v>
      </c>
      <c r="K1023" s="145" t="s">
        <v>1133</v>
      </c>
      <c r="L1023" s="156"/>
      <c r="M1023" s="134" t="s">
        <v>428</v>
      </c>
      <c r="N1023" s="150">
        <f>if(and(O1023=TRUE,P1023=TRUE), VLOOKUP($E1023,PESSOAL!$B$35:$S$45,MONTH($F1023)+6,false)*G1023*24,0)</f>
        <v>0</v>
      </c>
      <c r="O1023" s="117" t="b">
        <f t="shared" si="2"/>
        <v>0</v>
      </c>
      <c r="P1023" s="117" t="b">
        <v>1</v>
      </c>
      <c r="Q1023" s="117" t="s">
        <v>368</v>
      </c>
    </row>
    <row r="1024" hidden="1">
      <c r="A1024" s="108"/>
      <c r="B1024" s="220"/>
      <c r="C1024" s="220" t="s">
        <v>54</v>
      </c>
      <c r="D1024" s="220" t="str">
        <f>vlookup(M1024,'Página10'!A:B,2,false)</f>
        <v>INOV00016</v>
      </c>
      <c r="E1024" s="134" t="s">
        <v>146</v>
      </c>
      <c r="F1024" s="221">
        <v>45079.0</v>
      </c>
      <c r="G1024" s="222">
        <v>0.16666666666666666</v>
      </c>
      <c r="H1024" s="134" t="s">
        <v>411</v>
      </c>
      <c r="I1024" s="223" t="s">
        <v>411</v>
      </c>
      <c r="J1024" s="223" t="b">
        <f t="shared" si="1"/>
        <v>1</v>
      </c>
      <c r="K1024" s="145" t="s">
        <v>1134</v>
      </c>
      <c r="L1024" s="156"/>
      <c r="M1024" s="134" t="s">
        <v>428</v>
      </c>
      <c r="N1024" s="150">
        <f>if(and(O1024=TRUE,P1024=TRUE), VLOOKUP($E1024,PESSOAL!$B$35:$S$45,MONTH($F1024)+6,false)*G1024*24,0)</f>
        <v>381.8098317</v>
      </c>
      <c r="O1024" s="117" t="b">
        <f t="shared" si="2"/>
        <v>1</v>
      </c>
      <c r="P1024" s="117" t="b">
        <v>1</v>
      </c>
      <c r="Q1024" s="117" t="s">
        <v>368</v>
      </c>
    </row>
    <row r="1025" hidden="1">
      <c r="A1025" s="108"/>
      <c r="B1025" s="220"/>
      <c r="C1025" s="220" t="s">
        <v>55</v>
      </c>
      <c r="D1025" s="220" t="str">
        <f>vlookup(M1025,'Página10'!A:B,2,false)</f>
        <v>INOV00017</v>
      </c>
      <c r="E1025" s="134" t="s">
        <v>146</v>
      </c>
      <c r="F1025" s="221">
        <v>45083.0</v>
      </c>
      <c r="G1025" s="222">
        <v>0.16666666666666666</v>
      </c>
      <c r="H1025" s="134" t="s">
        <v>411</v>
      </c>
      <c r="I1025" s="223" t="s">
        <v>411</v>
      </c>
      <c r="J1025" s="223" t="b">
        <f t="shared" si="1"/>
        <v>1</v>
      </c>
      <c r="K1025" s="145" t="s">
        <v>1135</v>
      </c>
      <c r="L1025" s="156"/>
      <c r="M1025" s="134" t="s">
        <v>429</v>
      </c>
      <c r="N1025" s="150">
        <f>if(and(O1025=TRUE,P1025=TRUE), VLOOKUP($E1025,PESSOAL!$B$35:$S$45,MONTH($F1025)+6,false)*G1025*24,0)</f>
        <v>381.8098317</v>
      </c>
      <c r="O1025" s="117" t="b">
        <f t="shared" si="2"/>
        <v>1</v>
      </c>
      <c r="P1025" s="117" t="b">
        <v>1</v>
      </c>
      <c r="Q1025" s="117" t="s">
        <v>368</v>
      </c>
    </row>
    <row r="1026" hidden="1">
      <c r="A1026" s="108"/>
      <c r="B1026" s="220"/>
      <c r="C1026" s="220" t="s">
        <v>55</v>
      </c>
      <c r="D1026" s="220" t="str">
        <f>vlookup(M1026,'Página10'!A:B,2,false)</f>
        <v>INOV00017</v>
      </c>
      <c r="E1026" s="134" t="s">
        <v>146</v>
      </c>
      <c r="F1026" s="221">
        <v>45083.0</v>
      </c>
      <c r="G1026" s="222">
        <v>0.125</v>
      </c>
      <c r="H1026" s="134" t="s">
        <v>411</v>
      </c>
      <c r="I1026" s="223" t="s">
        <v>411</v>
      </c>
      <c r="J1026" s="223" t="b">
        <f t="shared" si="1"/>
        <v>1</v>
      </c>
      <c r="K1026" s="145" t="s">
        <v>1136</v>
      </c>
      <c r="L1026" s="156"/>
      <c r="M1026" s="134" t="s">
        <v>429</v>
      </c>
      <c r="N1026" s="150">
        <f>if(and(O1026=TRUE,P1026=TRUE), VLOOKUP($E1026,PESSOAL!$B$35:$S$45,MONTH($F1026)+6,false)*G1026*24,0)</f>
        <v>286.3573738</v>
      </c>
      <c r="O1026" s="117" t="b">
        <f t="shared" si="2"/>
        <v>1</v>
      </c>
      <c r="P1026" s="117" t="b">
        <v>1</v>
      </c>
      <c r="Q1026" s="117" t="s">
        <v>368</v>
      </c>
    </row>
    <row r="1027" hidden="1">
      <c r="A1027" s="108"/>
      <c r="B1027" s="220"/>
      <c r="C1027" s="220" t="s">
        <v>51</v>
      </c>
      <c r="D1027" s="220" t="str">
        <f>vlookup(M1027,'Página10'!A:B,2,false)</f>
        <v>INOV00010</v>
      </c>
      <c r="E1027" s="134" t="s">
        <v>146</v>
      </c>
      <c r="F1027" s="221">
        <v>45084.0</v>
      </c>
      <c r="G1027" s="222">
        <v>0.19791666666666666</v>
      </c>
      <c r="H1027" s="134" t="s">
        <v>474</v>
      </c>
      <c r="I1027" s="223" t="s">
        <v>474</v>
      </c>
      <c r="J1027" s="223" t="b">
        <f t="shared" si="1"/>
        <v>1</v>
      </c>
      <c r="K1027" s="145" t="s">
        <v>1137</v>
      </c>
      <c r="L1027" s="156"/>
      <c r="M1027" s="134" t="s">
        <v>423</v>
      </c>
      <c r="N1027" s="150">
        <f>if(and(O1027=TRUE,P1027=TRUE), VLOOKUP($E1027,PESSOAL!$B$35:$S$45,MONTH($F1027)+6,false)*G1027*24,0)</f>
        <v>453.3991752</v>
      </c>
      <c r="O1027" s="117" t="b">
        <f t="shared" si="2"/>
        <v>1</v>
      </c>
      <c r="P1027" s="117" t="b">
        <v>1</v>
      </c>
      <c r="Q1027" s="117" t="s">
        <v>368</v>
      </c>
    </row>
    <row r="1028" hidden="1">
      <c r="A1028" s="108"/>
      <c r="B1028" s="220"/>
      <c r="C1028" s="220" t="s">
        <v>51</v>
      </c>
      <c r="D1028" s="220" t="str">
        <f>vlookup(M1028,'Página10'!A:B,2,false)</f>
        <v>INOV00010</v>
      </c>
      <c r="E1028" s="134" t="s">
        <v>146</v>
      </c>
      <c r="F1028" s="221">
        <v>45089.0</v>
      </c>
      <c r="G1028" s="222">
        <v>0.16666666666666666</v>
      </c>
      <c r="H1028" s="134" t="s">
        <v>475</v>
      </c>
      <c r="I1028" s="223" t="s">
        <v>475</v>
      </c>
      <c r="J1028" s="223" t="b">
        <f t="shared" si="1"/>
        <v>1</v>
      </c>
      <c r="K1028" s="145" t="s">
        <v>1138</v>
      </c>
      <c r="L1028" s="156"/>
      <c r="M1028" s="134" t="s">
        <v>423</v>
      </c>
      <c r="N1028" s="150">
        <f>if(and(O1028=TRUE,P1028=TRUE), VLOOKUP($E1028,PESSOAL!$B$35:$S$45,MONTH($F1028)+6,false)*G1028*24,0)</f>
        <v>381.8098317</v>
      </c>
      <c r="O1028" s="117" t="b">
        <f t="shared" si="2"/>
        <v>1</v>
      </c>
      <c r="P1028" s="117" t="b">
        <v>1</v>
      </c>
      <c r="Q1028" s="117" t="s">
        <v>368</v>
      </c>
    </row>
    <row r="1029" hidden="1">
      <c r="A1029" s="108"/>
      <c r="B1029" s="220"/>
      <c r="C1029" s="220" t="s">
        <v>290</v>
      </c>
      <c r="D1029" s="220" t="str">
        <f>vlookup(M1029,'Página10'!A:B,2,false)</f>
        <v>INOV00001</v>
      </c>
      <c r="E1029" s="134" t="s">
        <v>146</v>
      </c>
      <c r="F1029" s="221">
        <v>45089.0</v>
      </c>
      <c r="G1029" s="222">
        <v>0.08333333333333333</v>
      </c>
      <c r="H1029" s="134" t="s">
        <v>411</v>
      </c>
      <c r="I1029" s="223" t="s">
        <v>411</v>
      </c>
      <c r="J1029" s="223" t="b">
        <f t="shared" si="1"/>
        <v>1</v>
      </c>
      <c r="K1029" s="145" t="s">
        <v>1139</v>
      </c>
      <c r="L1029" s="156"/>
      <c r="M1029" s="134" t="s">
        <v>416</v>
      </c>
      <c r="N1029" s="150">
        <f>if(and(O1029=TRUE,P1029=TRUE), VLOOKUP($E1029,PESSOAL!$B$35:$S$45,MONTH($F1029)+6,false)*G1029*24,0)</f>
        <v>190.9049159</v>
      </c>
      <c r="O1029" s="117" t="b">
        <f t="shared" si="2"/>
        <v>1</v>
      </c>
      <c r="P1029" s="117" t="b">
        <v>1</v>
      </c>
      <c r="Q1029" s="117" t="s">
        <v>368</v>
      </c>
    </row>
    <row r="1030" hidden="1">
      <c r="A1030" s="108"/>
      <c r="B1030" s="220"/>
      <c r="C1030" s="220" t="s">
        <v>54</v>
      </c>
      <c r="D1030" s="220" t="str">
        <f>vlookup(M1030,'Página10'!A:B,2,false)</f>
        <v>INOV00016</v>
      </c>
      <c r="E1030" s="134" t="s">
        <v>146</v>
      </c>
      <c r="F1030" s="221">
        <v>45091.0</v>
      </c>
      <c r="G1030" s="222">
        <v>0.3958333333333333</v>
      </c>
      <c r="H1030" s="134" t="s">
        <v>411</v>
      </c>
      <c r="I1030" s="223" t="s">
        <v>411</v>
      </c>
      <c r="J1030" s="223" t="b">
        <f t="shared" si="1"/>
        <v>1</v>
      </c>
      <c r="K1030" s="145" t="s">
        <v>1140</v>
      </c>
      <c r="L1030" s="156"/>
      <c r="M1030" s="134" t="s">
        <v>428</v>
      </c>
      <c r="N1030" s="150">
        <f>if(and(O1030=TRUE,P1030=TRUE), VLOOKUP($E1030,PESSOAL!$B$35:$S$45,MONTH($F1030)+6,false)*G1030*24,0)</f>
        <v>906.7983504</v>
      </c>
      <c r="O1030" s="117" t="b">
        <f t="shared" si="2"/>
        <v>1</v>
      </c>
      <c r="P1030" s="117" t="b">
        <v>1</v>
      </c>
      <c r="Q1030" s="117" t="s">
        <v>368</v>
      </c>
    </row>
    <row r="1031" hidden="1">
      <c r="A1031" s="108"/>
      <c r="B1031" s="220"/>
      <c r="C1031" s="220" t="s">
        <v>433</v>
      </c>
      <c r="D1031" s="220" t="str">
        <f>vlookup(M1031,'Página10'!A:B,2,false)</f>
        <v>INOV00019</v>
      </c>
      <c r="E1031" s="134" t="s">
        <v>146</v>
      </c>
      <c r="F1031" s="221">
        <v>45031.0</v>
      </c>
      <c r="G1031" s="222">
        <v>0.15625</v>
      </c>
      <c r="H1031" s="134" t="s">
        <v>411</v>
      </c>
      <c r="I1031" s="223" t="s">
        <v>411</v>
      </c>
      <c r="J1031" s="223" t="b">
        <f t="shared" si="1"/>
        <v>1</v>
      </c>
      <c r="K1031" s="145" t="s">
        <v>1141</v>
      </c>
      <c r="L1031" s="156"/>
      <c r="M1031" s="134" t="s">
        <v>432</v>
      </c>
      <c r="N1031" s="150">
        <f>if(and(O1031=TRUE,P1031=TRUE), VLOOKUP($E1031,PESSOAL!$B$35:$S$45,MONTH($F1031)+6,false)*G1031*24,0)</f>
        <v>0</v>
      </c>
      <c r="O1031" s="117" t="b">
        <f t="shared" si="2"/>
        <v>1</v>
      </c>
      <c r="P1031" s="117" t="b">
        <v>0</v>
      </c>
      <c r="Q1031" s="117" t="s">
        <v>368</v>
      </c>
    </row>
    <row r="1032" hidden="1">
      <c r="A1032" s="108"/>
      <c r="B1032" s="220"/>
      <c r="C1032" s="220" t="s">
        <v>61</v>
      </c>
      <c r="D1032" s="220" t="str">
        <f>vlookup(M1032,'Página10'!A:B,2,false)</f>
        <v>INOV00031</v>
      </c>
      <c r="E1032" s="134" t="s">
        <v>146</v>
      </c>
      <c r="F1032" s="221">
        <v>45031.0</v>
      </c>
      <c r="G1032" s="222">
        <v>0.125</v>
      </c>
      <c r="H1032" s="134" t="s">
        <v>411</v>
      </c>
      <c r="I1032" s="223" t="s">
        <v>411</v>
      </c>
      <c r="J1032" s="223" t="b">
        <f t="shared" si="1"/>
        <v>1</v>
      </c>
      <c r="K1032" s="145" t="s">
        <v>1141</v>
      </c>
      <c r="L1032" s="156"/>
      <c r="M1032" s="134" t="s">
        <v>451</v>
      </c>
      <c r="N1032" s="150">
        <f>if(and(O1032=TRUE,P1032=TRUE), VLOOKUP($E1032,PESSOAL!$B$35:$S$45,MONTH($F1032)+6,false)*G1032*24,0)</f>
        <v>302.5087625</v>
      </c>
      <c r="O1032" s="117" t="b">
        <f t="shared" si="2"/>
        <v>1</v>
      </c>
      <c r="P1032" s="117" t="b">
        <v>1</v>
      </c>
      <c r="Q1032" s="117" t="s">
        <v>368</v>
      </c>
    </row>
    <row r="1033" hidden="1">
      <c r="A1033" s="108"/>
      <c r="B1033" s="220"/>
      <c r="C1033" s="220" t="s">
        <v>54</v>
      </c>
      <c r="D1033" s="220" t="str">
        <f>vlookup(M1033,'Página10'!A:B,2,false)</f>
        <v>INOV00016</v>
      </c>
      <c r="E1033" s="134" t="s">
        <v>146</v>
      </c>
      <c r="F1033" s="221">
        <v>45096.0</v>
      </c>
      <c r="G1033" s="222">
        <v>0.3958333333333333</v>
      </c>
      <c r="H1033" s="134" t="s">
        <v>411</v>
      </c>
      <c r="I1033" s="223" t="s">
        <v>411</v>
      </c>
      <c r="J1033" s="223" t="b">
        <f t="shared" si="1"/>
        <v>1</v>
      </c>
      <c r="K1033" s="145" t="s">
        <v>1140</v>
      </c>
      <c r="L1033" s="156"/>
      <c r="M1033" s="134" t="s">
        <v>428</v>
      </c>
      <c r="N1033" s="150">
        <f>if(and(O1033=TRUE,P1033=TRUE), VLOOKUP($E1033,PESSOAL!$B$35:$S$45,MONTH($F1033)+6,false)*G1033*24,0)</f>
        <v>906.7983504</v>
      </c>
      <c r="O1033" s="117" t="b">
        <f t="shared" si="2"/>
        <v>1</v>
      </c>
      <c r="P1033" s="117" t="b">
        <v>1</v>
      </c>
      <c r="Q1033" s="117" t="s">
        <v>368</v>
      </c>
    </row>
    <row r="1034" hidden="1">
      <c r="A1034" s="108"/>
      <c r="B1034" s="220"/>
      <c r="C1034" s="220" t="s">
        <v>54</v>
      </c>
      <c r="D1034" s="220" t="str">
        <f>vlookup(M1034,'Página10'!A:B,2,false)</f>
        <v>INOV00016</v>
      </c>
      <c r="E1034" s="134" t="s">
        <v>146</v>
      </c>
      <c r="F1034" s="221">
        <v>45097.0</v>
      </c>
      <c r="G1034" s="222">
        <v>0.041666666666666664</v>
      </c>
      <c r="H1034" s="134" t="s">
        <v>411</v>
      </c>
      <c r="I1034" s="223" t="s">
        <v>411</v>
      </c>
      <c r="J1034" s="223" t="b">
        <f t="shared" si="1"/>
        <v>1</v>
      </c>
      <c r="K1034" s="145" t="s">
        <v>1142</v>
      </c>
      <c r="L1034" s="156"/>
      <c r="M1034" s="134" t="s">
        <v>428</v>
      </c>
      <c r="N1034" s="150">
        <f>if(and(O1034=TRUE,P1034=TRUE), VLOOKUP($E1034,PESSOAL!$B$35:$S$45,MONTH($F1034)+6,false)*G1034*24,0)</f>
        <v>95.45245794</v>
      </c>
      <c r="O1034" s="117" t="b">
        <f t="shared" si="2"/>
        <v>1</v>
      </c>
      <c r="P1034" s="117" t="b">
        <v>1</v>
      </c>
      <c r="Q1034" s="117" t="s">
        <v>368</v>
      </c>
    </row>
    <row r="1035" hidden="1">
      <c r="A1035" s="108"/>
      <c r="B1035" s="220"/>
      <c r="C1035" s="220" t="s">
        <v>435</v>
      </c>
      <c r="D1035" s="220" t="str">
        <f>vlookup(M1035,'Página10'!A:B,2,false)</f>
        <v>INOV00020</v>
      </c>
      <c r="E1035" s="134" t="s">
        <v>146</v>
      </c>
      <c r="F1035" s="221">
        <v>45099.0</v>
      </c>
      <c r="G1035" s="222">
        <v>0.0625</v>
      </c>
      <c r="H1035" s="134" t="s">
        <v>411</v>
      </c>
      <c r="I1035" s="223" t="s">
        <v>411</v>
      </c>
      <c r="J1035" s="223" t="b">
        <f t="shared" si="1"/>
        <v>1</v>
      </c>
      <c r="K1035" s="145" t="s">
        <v>1143</v>
      </c>
      <c r="L1035" s="156"/>
      <c r="M1035" s="134" t="s">
        <v>434</v>
      </c>
      <c r="N1035" s="150">
        <f>if(and(O1035=TRUE,P1035=TRUE), VLOOKUP($E1035,PESSOAL!$B$35:$S$45,MONTH($F1035)+6,false)*G1035*24,0)</f>
        <v>0</v>
      </c>
      <c r="O1035" s="117" t="b">
        <f t="shared" si="2"/>
        <v>1</v>
      </c>
      <c r="P1035" s="117" t="b">
        <v>0</v>
      </c>
      <c r="Q1035" s="117" t="s">
        <v>368</v>
      </c>
    </row>
    <row r="1036" hidden="1">
      <c r="A1036" s="108"/>
      <c r="B1036" s="220"/>
      <c r="C1036" s="220" t="s">
        <v>435</v>
      </c>
      <c r="D1036" s="220" t="str">
        <f>vlookup(M1036,'Página10'!A:B,2,false)</f>
        <v>INOV00020</v>
      </c>
      <c r="E1036" s="134" t="s">
        <v>146</v>
      </c>
      <c r="F1036" s="221">
        <v>45100.0</v>
      </c>
      <c r="G1036" s="222">
        <v>0.125</v>
      </c>
      <c r="H1036" s="134" t="s">
        <v>411</v>
      </c>
      <c r="I1036" s="223" t="s">
        <v>411</v>
      </c>
      <c r="J1036" s="223" t="b">
        <f t="shared" si="1"/>
        <v>1</v>
      </c>
      <c r="K1036" s="145" t="s">
        <v>1144</v>
      </c>
      <c r="L1036" s="156"/>
      <c r="M1036" s="134" t="s">
        <v>434</v>
      </c>
      <c r="N1036" s="150">
        <f>if(and(O1036=TRUE,P1036=TRUE), VLOOKUP($E1036,PESSOAL!$B$35:$S$45,MONTH($F1036)+6,false)*G1036*24,0)</f>
        <v>0</v>
      </c>
      <c r="O1036" s="117" t="b">
        <f t="shared" si="2"/>
        <v>1</v>
      </c>
      <c r="P1036" s="117" t="b">
        <v>0</v>
      </c>
      <c r="Q1036" s="117" t="s">
        <v>368</v>
      </c>
    </row>
    <row r="1037" hidden="1">
      <c r="A1037" s="108"/>
      <c r="B1037" s="220"/>
      <c r="C1037" s="220" t="s">
        <v>53</v>
      </c>
      <c r="D1037" s="220" t="str">
        <f>vlookup(M1037,'Página10'!A:B,2,false)</f>
        <v>INOV00014</v>
      </c>
      <c r="E1037" s="134" t="s">
        <v>146</v>
      </c>
      <c r="F1037" s="221">
        <v>45188.0</v>
      </c>
      <c r="G1037" s="222">
        <v>0.125</v>
      </c>
      <c r="H1037" s="134" t="s">
        <v>411</v>
      </c>
      <c r="I1037" s="223" t="s">
        <v>411</v>
      </c>
      <c r="J1037" s="223" t="b">
        <f t="shared" si="1"/>
        <v>1</v>
      </c>
      <c r="K1037" s="145" t="s">
        <v>1145</v>
      </c>
      <c r="L1037" s="156"/>
      <c r="M1037" s="134" t="s">
        <v>427</v>
      </c>
      <c r="N1037" s="150">
        <f>if(and(O1037=TRUE,P1037=TRUE), VLOOKUP($E1037,PESSOAL!$B$35:$S$45,MONTH($F1037)+6,false)*G1037*24,0)</f>
        <v>325.5019941</v>
      </c>
      <c r="O1037" s="117" t="b">
        <f t="shared" si="2"/>
        <v>1</v>
      </c>
      <c r="P1037" s="117" t="b">
        <v>1</v>
      </c>
      <c r="Q1037" s="117" t="s">
        <v>368</v>
      </c>
    </row>
    <row r="1038" hidden="1">
      <c r="A1038" s="108"/>
      <c r="B1038" s="220"/>
      <c r="C1038" s="220" t="s">
        <v>54</v>
      </c>
      <c r="D1038" s="220" t="str">
        <f>vlookup(M1038,'Página10'!A:B,2,false)</f>
        <v>INOV00016</v>
      </c>
      <c r="E1038" s="134" t="s">
        <v>146</v>
      </c>
      <c r="F1038" s="221">
        <v>45189.0</v>
      </c>
      <c r="G1038" s="222">
        <v>0.020833333333333332</v>
      </c>
      <c r="H1038" s="134" t="s">
        <v>411</v>
      </c>
      <c r="I1038" s="223" t="s">
        <v>411</v>
      </c>
      <c r="J1038" s="223" t="b">
        <f t="shared" si="1"/>
        <v>1</v>
      </c>
      <c r="K1038" s="145" t="s">
        <v>1146</v>
      </c>
      <c r="L1038" s="156"/>
      <c r="M1038" s="134" t="s">
        <v>428</v>
      </c>
      <c r="N1038" s="150">
        <f>if(and(O1038=TRUE,P1038=TRUE), VLOOKUP($E1038,PESSOAL!$B$35:$S$45,MONTH($F1038)+6,false)*G1038*24,0)</f>
        <v>54.25033235</v>
      </c>
      <c r="O1038" s="117" t="b">
        <f t="shared" si="2"/>
        <v>1</v>
      </c>
      <c r="P1038" s="117" t="b">
        <v>1</v>
      </c>
      <c r="Q1038" s="117" t="s">
        <v>368</v>
      </c>
    </row>
    <row r="1039" hidden="1">
      <c r="A1039" s="108"/>
      <c r="B1039" s="220"/>
      <c r="C1039" s="220" t="s">
        <v>68</v>
      </c>
      <c r="D1039" s="220" t="str">
        <f>vlookup(M1039,'Página10'!A:B,2,false)</f>
        <v>INOV00040</v>
      </c>
      <c r="E1039" s="134" t="s">
        <v>146</v>
      </c>
      <c r="F1039" s="221">
        <v>45189.0</v>
      </c>
      <c r="G1039" s="222">
        <v>0.020833333333333332</v>
      </c>
      <c r="H1039" s="134" t="s">
        <v>411</v>
      </c>
      <c r="I1039" s="223" t="s">
        <v>411</v>
      </c>
      <c r="J1039" s="223" t="b">
        <f t="shared" si="1"/>
        <v>1</v>
      </c>
      <c r="K1039" s="145" t="s">
        <v>1147</v>
      </c>
      <c r="L1039" s="156"/>
      <c r="M1039" s="134" t="s">
        <v>462</v>
      </c>
      <c r="N1039" s="150">
        <f>if(and(O1039=TRUE,P1039=TRUE), VLOOKUP($E1039,PESSOAL!$B$35:$S$45,MONTH($F1039)+6,false)*G1039*24,0)</f>
        <v>0</v>
      </c>
      <c r="O1039" s="117" t="b">
        <f t="shared" si="2"/>
        <v>1</v>
      </c>
      <c r="P1039" s="117" t="b">
        <v>0</v>
      </c>
      <c r="Q1039" s="117" t="s">
        <v>368</v>
      </c>
    </row>
    <row r="1040" hidden="1">
      <c r="A1040" s="108"/>
      <c r="B1040" s="220"/>
      <c r="C1040" s="220" t="s">
        <v>433</v>
      </c>
      <c r="D1040" s="220" t="str">
        <f>vlookup(M1040,'Página10'!A:B,2,false)</f>
        <v>INOV00019</v>
      </c>
      <c r="E1040" s="134" t="s">
        <v>146</v>
      </c>
      <c r="F1040" s="221">
        <v>45106.0</v>
      </c>
      <c r="G1040" s="222">
        <v>0.08333333333333333</v>
      </c>
      <c r="H1040" s="134" t="s">
        <v>411</v>
      </c>
      <c r="I1040" s="223" t="s">
        <v>411</v>
      </c>
      <c r="J1040" s="223" t="b">
        <f t="shared" si="1"/>
        <v>1</v>
      </c>
      <c r="K1040" s="145" t="s">
        <v>1148</v>
      </c>
      <c r="L1040" s="156"/>
      <c r="M1040" s="134" t="s">
        <v>432</v>
      </c>
      <c r="N1040" s="150">
        <f>if(and(O1040=TRUE,P1040=TRUE), VLOOKUP($E1040,PESSOAL!$B$35:$S$45,MONTH($F1040)+6,false)*G1040*24,0)</f>
        <v>0</v>
      </c>
      <c r="O1040" s="117" t="b">
        <f t="shared" si="2"/>
        <v>1</v>
      </c>
      <c r="P1040" s="117" t="b">
        <v>0</v>
      </c>
      <c r="Q1040" s="117" t="s">
        <v>368</v>
      </c>
    </row>
    <row r="1041" hidden="1">
      <c r="A1041" s="108"/>
      <c r="B1041" s="220"/>
      <c r="C1041" s="220" t="s">
        <v>433</v>
      </c>
      <c r="D1041" s="220" t="str">
        <f>vlookup(M1041,'Página10'!A:B,2,false)</f>
        <v>INOV00019</v>
      </c>
      <c r="E1041" s="134" t="s">
        <v>146</v>
      </c>
      <c r="F1041" s="221">
        <v>45106.0</v>
      </c>
      <c r="G1041" s="222">
        <v>0.20833333333333334</v>
      </c>
      <c r="H1041" s="134" t="s">
        <v>411</v>
      </c>
      <c r="I1041" s="223" t="s">
        <v>411</v>
      </c>
      <c r="J1041" s="223" t="b">
        <f t="shared" si="1"/>
        <v>1</v>
      </c>
      <c r="K1041" s="145" t="s">
        <v>1149</v>
      </c>
      <c r="L1041" s="156"/>
      <c r="M1041" s="134" t="s">
        <v>432</v>
      </c>
      <c r="N1041" s="150">
        <f>if(and(O1041=TRUE,P1041=TRUE), VLOOKUP($E1041,PESSOAL!$B$35:$S$45,MONTH($F1041)+6,false)*G1041*24,0)</f>
        <v>0</v>
      </c>
      <c r="O1041" s="117" t="b">
        <f t="shared" si="2"/>
        <v>1</v>
      </c>
      <c r="P1041" s="117" t="b">
        <v>0</v>
      </c>
      <c r="Q1041" s="117" t="s">
        <v>368</v>
      </c>
    </row>
    <row r="1042" hidden="1">
      <c r="A1042" s="108"/>
      <c r="B1042" s="220"/>
      <c r="C1042" s="220" t="s">
        <v>68</v>
      </c>
      <c r="D1042" s="220" t="str">
        <f>vlookup(M1042,'Página10'!A:B,2,false)</f>
        <v>INOV00040</v>
      </c>
      <c r="E1042" s="134" t="s">
        <v>146</v>
      </c>
      <c r="F1042" s="221">
        <v>45106.0</v>
      </c>
      <c r="G1042" s="222">
        <v>0.08333333333333333</v>
      </c>
      <c r="H1042" s="134" t="s">
        <v>411</v>
      </c>
      <c r="I1042" s="223" t="s">
        <v>411</v>
      </c>
      <c r="J1042" s="223" t="b">
        <f t="shared" si="1"/>
        <v>1</v>
      </c>
      <c r="K1042" s="145" t="s">
        <v>1150</v>
      </c>
      <c r="L1042" s="156"/>
      <c r="M1042" s="134" t="s">
        <v>462</v>
      </c>
      <c r="N1042" s="150">
        <f>if(and(O1042=TRUE,P1042=TRUE), VLOOKUP($E1042,PESSOAL!$B$35:$S$45,MONTH($F1042)+6,false)*G1042*24,0)</f>
        <v>0</v>
      </c>
      <c r="O1042" s="117" t="b">
        <f t="shared" si="2"/>
        <v>1</v>
      </c>
      <c r="P1042" s="117" t="b">
        <v>0</v>
      </c>
      <c r="Q1042" s="117" t="s">
        <v>368</v>
      </c>
    </row>
    <row r="1043" hidden="1">
      <c r="A1043" s="108"/>
      <c r="B1043" s="220"/>
      <c r="C1043" s="220" t="s">
        <v>433</v>
      </c>
      <c r="D1043" s="220" t="str">
        <f>vlookup(M1043,'Página10'!A:B,2,false)</f>
        <v>INOV00019</v>
      </c>
      <c r="E1043" s="134" t="s">
        <v>146</v>
      </c>
      <c r="F1043" s="221">
        <v>45107.0</v>
      </c>
      <c r="G1043" s="222">
        <v>0.125</v>
      </c>
      <c r="H1043" s="134" t="s">
        <v>411</v>
      </c>
      <c r="I1043" s="223" t="s">
        <v>411</v>
      </c>
      <c r="J1043" s="223" t="b">
        <f t="shared" si="1"/>
        <v>1</v>
      </c>
      <c r="K1043" s="145" t="s">
        <v>1151</v>
      </c>
      <c r="L1043" s="156"/>
      <c r="M1043" s="134" t="s">
        <v>432</v>
      </c>
      <c r="N1043" s="150">
        <f>if(and(O1043=TRUE,P1043=TRUE), VLOOKUP($E1043,PESSOAL!$B$35:$S$45,MONTH($F1043)+6,false)*G1043*24,0)</f>
        <v>0</v>
      </c>
      <c r="O1043" s="117" t="b">
        <f t="shared" si="2"/>
        <v>1</v>
      </c>
      <c r="P1043" s="117" t="b">
        <v>0</v>
      </c>
      <c r="Q1043" s="117" t="s">
        <v>368</v>
      </c>
    </row>
    <row r="1044" hidden="1">
      <c r="A1044" s="108"/>
      <c r="B1044" s="220"/>
      <c r="C1044" s="220" t="s">
        <v>54</v>
      </c>
      <c r="D1044" s="220" t="str">
        <f>vlookup(M1044,'Página10'!A:B,2,false)</f>
        <v>INOV00016</v>
      </c>
      <c r="E1044" s="134" t="s">
        <v>146</v>
      </c>
      <c r="F1044" s="221">
        <v>45109.0</v>
      </c>
      <c r="G1044" s="222">
        <v>0.2013888888888889</v>
      </c>
      <c r="H1044" s="134" t="s">
        <v>411</v>
      </c>
      <c r="I1044" s="223" t="s">
        <v>411</v>
      </c>
      <c r="J1044" s="223" t="b">
        <f t="shared" si="1"/>
        <v>1</v>
      </c>
      <c r="K1044" s="145" t="s">
        <v>1152</v>
      </c>
      <c r="L1044" s="156"/>
      <c r="M1044" s="134" t="s">
        <v>428</v>
      </c>
      <c r="N1044" s="150">
        <f>if(and(O1044=TRUE,P1044=TRUE), VLOOKUP($E1044,PESSOAL!$B$35:$S$45,MONTH($F1044)+6,false)*G1044*24,0)</f>
        <v>474.4751289</v>
      </c>
      <c r="O1044" s="117" t="b">
        <f t="shared" si="2"/>
        <v>1</v>
      </c>
      <c r="P1044" s="117" t="b">
        <v>1</v>
      </c>
      <c r="Q1044" s="117" t="s">
        <v>368</v>
      </c>
    </row>
    <row r="1045" hidden="1">
      <c r="A1045" s="108"/>
      <c r="B1045" s="220"/>
      <c r="C1045" s="220" t="s">
        <v>54</v>
      </c>
      <c r="D1045" s="220" t="str">
        <f>vlookup(M1045,'Página10'!A:B,2,false)</f>
        <v>INOV00016</v>
      </c>
      <c r="E1045" s="134" t="s">
        <v>146</v>
      </c>
      <c r="F1045" s="221">
        <v>45110.0</v>
      </c>
      <c r="G1045" s="222">
        <v>0.65625</v>
      </c>
      <c r="H1045" s="134" t="s">
        <v>411</v>
      </c>
      <c r="I1045" s="223" t="s">
        <v>411</v>
      </c>
      <c r="J1045" s="223" t="b">
        <f t="shared" si="1"/>
        <v>1</v>
      </c>
      <c r="K1045" s="145" t="s">
        <v>1153</v>
      </c>
      <c r="L1045" s="156"/>
      <c r="M1045" s="134" t="s">
        <v>428</v>
      </c>
      <c r="N1045" s="150">
        <f>if(and(O1045=TRUE,P1045=TRUE), VLOOKUP($E1045,PESSOAL!$B$35:$S$45,MONTH($F1045)+6,false)*G1045*24,0)</f>
        <v>1546.134472</v>
      </c>
      <c r="O1045" s="117" t="b">
        <f t="shared" si="2"/>
        <v>1</v>
      </c>
      <c r="P1045" s="117" t="b">
        <v>1</v>
      </c>
      <c r="Q1045" s="117" t="s">
        <v>368</v>
      </c>
    </row>
    <row r="1046" hidden="1">
      <c r="A1046" s="108"/>
      <c r="B1046" s="220"/>
      <c r="C1046" s="220" t="s">
        <v>54</v>
      </c>
      <c r="D1046" s="220" t="str">
        <f>vlookup(M1046,'Página10'!A:B,2,false)</f>
        <v>INOV00016</v>
      </c>
      <c r="E1046" s="134" t="s">
        <v>146</v>
      </c>
      <c r="F1046" s="221">
        <v>45111.0</v>
      </c>
      <c r="G1046" s="222">
        <v>0.19791666666666666</v>
      </c>
      <c r="H1046" s="134" t="s">
        <v>411</v>
      </c>
      <c r="I1046" s="223" t="s">
        <v>411</v>
      </c>
      <c r="J1046" s="223" t="b">
        <f t="shared" si="1"/>
        <v>1</v>
      </c>
      <c r="K1046" s="145" t="s">
        <v>1154</v>
      </c>
      <c r="L1046" s="156"/>
      <c r="M1046" s="134" t="s">
        <v>428</v>
      </c>
      <c r="N1046" s="150">
        <f>if(and(O1046=TRUE,P1046=TRUE), VLOOKUP($E1046,PESSOAL!$B$35:$S$45,MONTH($F1046)+6,false)*G1046*24,0)</f>
        <v>466.2945233</v>
      </c>
      <c r="O1046" s="117" t="b">
        <f t="shared" si="2"/>
        <v>1</v>
      </c>
      <c r="P1046" s="117" t="b">
        <v>1</v>
      </c>
      <c r="Q1046" s="117" t="s">
        <v>368</v>
      </c>
    </row>
    <row r="1047" hidden="1">
      <c r="A1047" s="108"/>
      <c r="B1047" s="220"/>
      <c r="C1047" s="220" t="s">
        <v>55</v>
      </c>
      <c r="D1047" s="220" t="str">
        <f>vlookup(M1047,'Página10'!A:B,2,false)</f>
        <v>INOV00017</v>
      </c>
      <c r="E1047" s="134" t="s">
        <v>146</v>
      </c>
      <c r="F1047" s="221">
        <v>45127.0</v>
      </c>
      <c r="G1047" s="222">
        <v>0.125</v>
      </c>
      <c r="H1047" s="134" t="s">
        <v>411</v>
      </c>
      <c r="I1047" s="223" t="s">
        <v>411</v>
      </c>
      <c r="J1047" s="223" t="b">
        <f t="shared" si="1"/>
        <v>1</v>
      </c>
      <c r="K1047" s="145" t="s">
        <v>1155</v>
      </c>
      <c r="L1047" s="156"/>
      <c r="M1047" s="134" t="s">
        <v>429</v>
      </c>
      <c r="N1047" s="150">
        <f>if(and(O1047=TRUE,P1047=TRUE), VLOOKUP($E1047,PESSOAL!$B$35:$S$45,MONTH($F1047)+6,false)*G1047*24,0)</f>
        <v>294.5018042</v>
      </c>
      <c r="O1047" s="117" t="b">
        <f t="shared" si="2"/>
        <v>1</v>
      </c>
      <c r="P1047" s="117" t="b">
        <v>1</v>
      </c>
      <c r="Q1047" s="117" t="s">
        <v>368</v>
      </c>
    </row>
    <row r="1048" hidden="1">
      <c r="A1048" s="108"/>
      <c r="B1048" s="220"/>
      <c r="C1048" s="220" t="s">
        <v>433</v>
      </c>
      <c r="D1048" s="220" t="str">
        <f>vlookup(M1048,'Página10'!A:B,2,false)</f>
        <v>INOV00019</v>
      </c>
      <c r="E1048" s="134" t="s">
        <v>146</v>
      </c>
      <c r="F1048" s="221">
        <v>45127.0</v>
      </c>
      <c r="G1048" s="222">
        <v>0.125</v>
      </c>
      <c r="H1048" s="134" t="s">
        <v>411</v>
      </c>
      <c r="I1048" s="223" t="s">
        <v>411</v>
      </c>
      <c r="J1048" s="223" t="b">
        <f t="shared" si="1"/>
        <v>1</v>
      </c>
      <c r="K1048" s="145" t="s">
        <v>1156</v>
      </c>
      <c r="L1048" s="156"/>
      <c r="M1048" s="134" t="s">
        <v>432</v>
      </c>
      <c r="N1048" s="150">
        <f>if(and(O1048=TRUE,P1048=TRUE), VLOOKUP($E1048,PESSOAL!$B$35:$S$45,MONTH($F1048)+6,false)*G1048*24,0)</f>
        <v>0</v>
      </c>
      <c r="O1048" s="117" t="b">
        <f t="shared" si="2"/>
        <v>1</v>
      </c>
      <c r="P1048" s="117" t="b">
        <v>0</v>
      </c>
      <c r="Q1048" s="117" t="s">
        <v>368</v>
      </c>
    </row>
    <row r="1049" hidden="1">
      <c r="A1049" s="108"/>
      <c r="B1049" s="220"/>
      <c r="C1049" s="220" t="s">
        <v>290</v>
      </c>
      <c r="D1049" s="220" t="str">
        <f>vlookup(M1049,'Página10'!A:B,2,false)</f>
        <v>INOV00001</v>
      </c>
      <c r="E1049" s="134" t="s">
        <v>146</v>
      </c>
      <c r="F1049" s="221">
        <v>45128.0</v>
      </c>
      <c r="G1049" s="222">
        <v>0.08333333333333333</v>
      </c>
      <c r="H1049" s="134" t="s">
        <v>411</v>
      </c>
      <c r="I1049" s="223" t="s">
        <v>411</v>
      </c>
      <c r="J1049" s="223" t="b">
        <f t="shared" si="1"/>
        <v>1</v>
      </c>
      <c r="K1049" s="145" t="s">
        <v>1157</v>
      </c>
      <c r="L1049" s="156"/>
      <c r="M1049" s="134" t="s">
        <v>416</v>
      </c>
      <c r="N1049" s="150">
        <f>if(and(O1049=TRUE,P1049=TRUE), VLOOKUP($E1049,PESSOAL!$B$35:$S$45,MONTH($F1049)+6,false)*G1049*24,0)</f>
        <v>196.3345361</v>
      </c>
      <c r="O1049" s="117" t="b">
        <f t="shared" si="2"/>
        <v>1</v>
      </c>
      <c r="P1049" s="117" t="b">
        <v>1</v>
      </c>
      <c r="Q1049" s="117" t="s">
        <v>368</v>
      </c>
    </row>
    <row r="1050" hidden="1">
      <c r="A1050" s="108"/>
      <c r="B1050" s="220"/>
      <c r="C1050" s="220" t="s">
        <v>54</v>
      </c>
      <c r="D1050" s="220" t="str">
        <f>vlookup(M1050,'Página10'!A:B,2,false)</f>
        <v>INOV00016</v>
      </c>
      <c r="E1050" s="134" t="s">
        <v>146</v>
      </c>
      <c r="F1050" s="221">
        <v>45128.0</v>
      </c>
      <c r="G1050" s="222">
        <v>0.125</v>
      </c>
      <c r="H1050" s="134" t="s">
        <v>411</v>
      </c>
      <c r="I1050" s="223" t="s">
        <v>411</v>
      </c>
      <c r="J1050" s="223" t="b">
        <f t="shared" si="1"/>
        <v>1</v>
      </c>
      <c r="K1050" s="145" t="s">
        <v>1158</v>
      </c>
      <c r="L1050" s="156"/>
      <c r="M1050" s="134" t="s">
        <v>428</v>
      </c>
      <c r="N1050" s="150">
        <f>if(and(O1050=TRUE,P1050=TRUE), VLOOKUP($E1050,PESSOAL!$B$35:$S$45,MONTH($F1050)+6,false)*G1050*24,0)</f>
        <v>294.5018042</v>
      </c>
      <c r="O1050" s="117" t="b">
        <f t="shared" si="2"/>
        <v>1</v>
      </c>
      <c r="P1050" s="117" t="b">
        <v>1</v>
      </c>
      <c r="Q1050" s="117" t="s">
        <v>368</v>
      </c>
    </row>
    <row r="1051" hidden="1">
      <c r="A1051" s="108"/>
      <c r="B1051" s="220"/>
      <c r="C1051" s="220" t="s">
        <v>54</v>
      </c>
      <c r="D1051" s="220" t="str">
        <f>vlookup(M1051,'Página10'!A:B,2,false)</f>
        <v>INOV00016</v>
      </c>
      <c r="E1051" s="134" t="s">
        <v>146</v>
      </c>
      <c r="F1051" s="221">
        <v>45131.0</v>
      </c>
      <c r="G1051" s="222">
        <v>0.0625</v>
      </c>
      <c r="H1051" s="134" t="s">
        <v>411</v>
      </c>
      <c r="I1051" s="223" t="s">
        <v>411</v>
      </c>
      <c r="J1051" s="223" t="b">
        <f t="shared" si="1"/>
        <v>1</v>
      </c>
      <c r="K1051" s="145" t="s">
        <v>1159</v>
      </c>
      <c r="L1051" s="156"/>
      <c r="M1051" s="134" t="s">
        <v>428</v>
      </c>
      <c r="N1051" s="150">
        <f>if(and(O1051=TRUE,P1051=TRUE), VLOOKUP($E1051,PESSOAL!$B$35:$S$45,MONTH($F1051)+6,false)*G1051*24,0)</f>
        <v>147.2509021</v>
      </c>
      <c r="O1051" s="117" t="b">
        <f t="shared" si="2"/>
        <v>1</v>
      </c>
      <c r="P1051" s="117" t="b">
        <v>1</v>
      </c>
      <c r="Q1051" s="117" t="s">
        <v>368</v>
      </c>
    </row>
    <row r="1052" hidden="1">
      <c r="A1052" s="108"/>
      <c r="B1052" s="220"/>
      <c r="C1052" s="220" t="s">
        <v>49</v>
      </c>
      <c r="D1052" s="220" t="str">
        <f>vlookup(M1052,'Página10'!A:B,2,false)</f>
        <v>INOV00004</v>
      </c>
      <c r="E1052" s="134" t="s">
        <v>146</v>
      </c>
      <c r="F1052" s="221">
        <v>45131.0</v>
      </c>
      <c r="G1052" s="222">
        <v>0.08333333333333333</v>
      </c>
      <c r="H1052" s="134" t="s">
        <v>411</v>
      </c>
      <c r="I1052" s="223" t="s">
        <v>411</v>
      </c>
      <c r="J1052" s="223" t="b">
        <f t="shared" si="1"/>
        <v>1</v>
      </c>
      <c r="K1052" s="145" t="s">
        <v>1160</v>
      </c>
      <c r="L1052" s="156"/>
      <c r="M1052" s="134" t="s">
        <v>421</v>
      </c>
      <c r="N1052" s="150">
        <f>if(and(O1052=TRUE,P1052=TRUE), VLOOKUP($E1052,PESSOAL!$B$35:$S$45,MONTH($F1052)+6,false)*G1052*24,0)</f>
        <v>196.3345361</v>
      </c>
      <c r="O1052" s="117" t="b">
        <f t="shared" si="2"/>
        <v>1</v>
      </c>
      <c r="P1052" s="117" t="b">
        <v>1</v>
      </c>
      <c r="Q1052" s="117" t="s">
        <v>368</v>
      </c>
    </row>
    <row r="1053" hidden="1">
      <c r="A1053" s="108"/>
      <c r="B1053" s="220"/>
      <c r="C1053" s="220" t="s">
        <v>54</v>
      </c>
      <c r="D1053" s="220" t="str">
        <f>vlookup(M1053,'Página10'!A:B,2,false)</f>
        <v>INOV00016</v>
      </c>
      <c r="E1053" s="134" t="s">
        <v>146</v>
      </c>
      <c r="F1053" s="221">
        <v>45133.0</v>
      </c>
      <c r="G1053" s="222">
        <v>0.10416666666666667</v>
      </c>
      <c r="H1053" s="134" t="s">
        <v>411</v>
      </c>
      <c r="I1053" s="223" t="s">
        <v>411</v>
      </c>
      <c r="J1053" s="223" t="b">
        <f t="shared" si="1"/>
        <v>1</v>
      </c>
      <c r="K1053" s="145" t="s">
        <v>1161</v>
      </c>
      <c r="L1053" s="156"/>
      <c r="M1053" s="134" t="s">
        <v>428</v>
      </c>
      <c r="N1053" s="150">
        <f>if(and(O1053=TRUE,P1053=TRUE), VLOOKUP($E1053,PESSOAL!$B$35:$S$45,MONTH($F1053)+6,false)*G1053*24,0)</f>
        <v>245.4181701</v>
      </c>
      <c r="O1053" s="117" t="b">
        <f t="shared" si="2"/>
        <v>1</v>
      </c>
      <c r="P1053" s="117" t="b">
        <v>1</v>
      </c>
      <c r="Q1053" s="117" t="s">
        <v>368</v>
      </c>
    </row>
    <row r="1054" hidden="1">
      <c r="A1054" s="108"/>
      <c r="B1054" s="220"/>
      <c r="C1054" s="220" t="s">
        <v>435</v>
      </c>
      <c r="D1054" s="220" t="str">
        <f>vlookup(M1054,'Página10'!A:B,2,false)</f>
        <v>INOV00020</v>
      </c>
      <c r="E1054" s="134" t="s">
        <v>146</v>
      </c>
      <c r="F1054" s="221">
        <v>45133.0</v>
      </c>
      <c r="G1054" s="222">
        <v>0.10416666666666667</v>
      </c>
      <c r="H1054" s="134" t="s">
        <v>411</v>
      </c>
      <c r="I1054" s="223" t="s">
        <v>411</v>
      </c>
      <c r="J1054" s="223" t="b">
        <f t="shared" si="1"/>
        <v>1</v>
      </c>
      <c r="K1054" s="145" t="s">
        <v>1162</v>
      </c>
      <c r="L1054" s="156"/>
      <c r="M1054" s="134" t="s">
        <v>434</v>
      </c>
      <c r="N1054" s="150">
        <f>if(and(O1054=TRUE,P1054=TRUE), VLOOKUP($E1054,PESSOAL!$B$35:$S$45,MONTH($F1054)+6,false)*G1054*24,0)</f>
        <v>0</v>
      </c>
      <c r="O1054" s="117" t="b">
        <f t="shared" si="2"/>
        <v>1</v>
      </c>
      <c r="P1054" s="117" t="b">
        <v>0</v>
      </c>
      <c r="Q1054" s="117" t="s">
        <v>368</v>
      </c>
    </row>
    <row r="1055" hidden="1">
      <c r="A1055" s="108"/>
      <c r="B1055" s="220"/>
      <c r="C1055" s="220" t="s">
        <v>69</v>
      </c>
      <c r="D1055" s="220" t="str">
        <f>vlookup(M1055,'Página10'!A:B,2,false)</f>
        <v>INOV00041</v>
      </c>
      <c r="E1055" s="134" t="s">
        <v>146</v>
      </c>
      <c r="F1055" s="221">
        <v>45133.0</v>
      </c>
      <c r="G1055" s="222">
        <v>0.08333333333333333</v>
      </c>
      <c r="H1055" s="134" t="s">
        <v>411</v>
      </c>
      <c r="I1055" s="223" t="s">
        <v>411</v>
      </c>
      <c r="J1055" s="223" t="b">
        <f t="shared" si="1"/>
        <v>1</v>
      </c>
      <c r="K1055" s="145" t="s">
        <v>1163</v>
      </c>
      <c r="L1055" s="156"/>
      <c r="M1055" s="134" t="s">
        <v>463</v>
      </c>
      <c r="N1055" s="150">
        <f>if(and(O1055=TRUE,P1055=TRUE), VLOOKUP($E1055,PESSOAL!$B$35:$S$45,MONTH($F1055)+6,false)*G1055*24,0)</f>
        <v>196.3345361</v>
      </c>
      <c r="O1055" s="117" t="b">
        <f t="shared" si="2"/>
        <v>1</v>
      </c>
      <c r="P1055" s="117" t="b">
        <v>1</v>
      </c>
      <c r="Q1055" s="117" t="s">
        <v>368</v>
      </c>
    </row>
    <row r="1056" hidden="1">
      <c r="A1056" s="108"/>
      <c r="B1056" s="220"/>
      <c r="C1056" s="220" t="s">
        <v>51</v>
      </c>
      <c r="D1056" s="220" t="str">
        <f>vlookup(M1056,'Página10'!A:B,2,false)</f>
        <v>INOV00010</v>
      </c>
      <c r="E1056" s="134" t="s">
        <v>146</v>
      </c>
      <c r="F1056" s="221">
        <v>45134.0</v>
      </c>
      <c r="G1056" s="222">
        <v>0.10416666666666667</v>
      </c>
      <c r="H1056" s="134" t="s">
        <v>411</v>
      </c>
      <c r="I1056" s="223" t="s">
        <v>411</v>
      </c>
      <c r="J1056" s="223" t="b">
        <f t="shared" si="1"/>
        <v>1</v>
      </c>
      <c r="K1056" s="145" t="s">
        <v>1164</v>
      </c>
      <c r="L1056" s="156"/>
      <c r="M1056" s="134" t="s">
        <v>423</v>
      </c>
      <c r="N1056" s="150">
        <f>if(and(O1056=TRUE,P1056=TRUE), VLOOKUP($E1056,PESSOAL!$B$35:$S$45,MONTH($F1056)+6,false)*G1056*24,0)</f>
        <v>245.4181701</v>
      </c>
      <c r="O1056" s="117" t="b">
        <f t="shared" si="2"/>
        <v>1</v>
      </c>
      <c r="P1056" s="117" t="b">
        <v>1</v>
      </c>
      <c r="Q1056" s="117" t="s">
        <v>368</v>
      </c>
    </row>
    <row r="1057" hidden="1">
      <c r="A1057" s="108"/>
      <c r="B1057" s="220"/>
      <c r="C1057" s="220" t="s">
        <v>290</v>
      </c>
      <c r="D1057" s="220" t="str">
        <f>vlookup(M1057,'Página10'!A:B,2,false)</f>
        <v>INOV00001</v>
      </c>
      <c r="E1057" s="134" t="s">
        <v>146</v>
      </c>
      <c r="F1057" s="221">
        <v>45134.0</v>
      </c>
      <c r="G1057" s="222">
        <v>0.041666666666666664</v>
      </c>
      <c r="H1057" s="134" t="s">
        <v>411</v>
      </c>
      <c r="I1057" s="223" t="s">
        <v>411</v>
      </c>
      <c r="J1057" s="223" t="b">
        <f t="shared" si="1"/>
        <v>1</v>
      </c>
      <c r="K1057" s="145" t="s">
        <v>1165</v>
      </c>
      <c r="L1057" s="156"/>
      <c r="M1057" s="134" t="s">
        <v>416</v>
      </c>
      <c r="N1057" s="150">
        <f>if(and(O1057=TRUE,P1057=TRUE), VLOOKUP($E1057,PESSOAL!$B$35:$S$45,MONTH($F1057)+6,false)*G1057*24,0)</f>
        <v>98.16726806</v>
      </c>
      <c r="O1057" s="117" t="b">
        <f t="shared" si="2"/>
        <v>1</v>
      </c>
      <c r="P1057" s="117" t="b">
        <v>1</v>
      </c>
      <c r="Q1057" s="117" t="s">
        <v>368</v>
      </c>
    </row>
    <row r="1058" hidden="1">
      <c r="A1058" s="108"/>
      <c r="B1058" s="220"/>
      <c r="C1058" s="220" t="s">
        <v>69</v>
      </c>
      <c r="D1058" s="220" t="str">
        <f>vlookup(M1058,'Página10'!A:B,2,false)</f>
        <v>INOV00041</v>
      </c>
      <c r="E1058" s="134" t="s">
        <v>146</v>
      </c>
      <c r="F1058" s="221">
        <v>45134.0</v>
      </c>
      <c r="G1058" s="222">
        <v>0.041666666666666664</v>
      </c>
      <c r="H1058" s="134" t="s">
        <v>411</v>
      </c>
      <c r="I1058" s="223" t="s">
        <v>411</v>
      </c>
      <c r="J1058" s="223" t="b">
        <f t="shared" si="1"/>
        <v>1</v>
      </c>
      <c r="K1058" s="145" t="s">
        <v>1166</v>
      </c>
      <c r="L1058" s="156"/>
      <c r="M1058" s="134" t="s">
        <v>463</v>
      </c>
      <c r="N1058" s="150">
        <f>if(and(O1058=TRUE,P1058=TRUE), VLOOKUP($E1058,PESSOAL!$B$35:$S$45,MONTH($F1058)+6,false)*G1058*24,0)</f>
        <v>98.16726806</v>
      </c>
      <c r="O1058" s="117" t="b">
        <f t="shared" si="2"/>
        <v>1</v>
      </c>
      <c r="P1058" s="117" t="b">
        <v>1</v>
      </c>
      <c r="Q1058" s="117" t="s">
        <v>368</v>
      </c>
    </row>
    <row r="1059" hidden="1">
      <c r="A1059" s="108"/>
      <c r="B1059" s="220"/>
      <c r="C1059" s="220" t="s">
        <v>55</v>
      </c>
      <c r="D1059" s="220" t="str">
        <f>vlookup(M1059,'Página10'!A:B,2,false)</f>
        <v>INOV00017</v>
      </c>
      <c r="E1059" s="134" t="s">
        <v>146</v>
      </c>
      <c r="F1059" s="221">
        <v>45135.0</v>
      </c>
      <c r="G1059" s="222">
        <v>0.10416666666666667</v>
      </c>
      <c r="H1059" s="134" t="s">
        <v>475</v>
      </c>
      <c r="I1059" s="223" t="s">
        <v>475</v>
      </c>
      <c r="J1059" s="223" t="b">
        <f t="shared" si="1"/>
        <v>1</v>
      </c>
      <c r="K1059" s="145" t="s">
        <v>1167</v>
      </c>
      <c r="L1059" s="156"/>
      <c r="M1059" s="134" t="s">
        <v>429</v>
      </c>
      <c r="N1059" s="150">
        <f>if(and(O1059=TRUE,P1059=TRUE), VLOOKUP($E1059,PESSOAL!$B$35:$S$45,MONTH($F1059)+6,false)*G1059*24,0)</f>
        <v>245.4181701</v>
      </c>
      <c r="O1059" s="117" t="b">
        <f t="shared" si="2"/>
        <v>1</v>
      </c>
      <c r="P1059" s="117" t="b">
        <v>1</v>
      </c>
      <c r="Q1059" s="117" t="s">
        <v>368</v>
      </c>
    </row>
    <row r="1060" hidden="1">
      <c r="A1060" s="108"/>
      <c r="B1060" s="220"/>
      <c r="C1060" s="220" t="s">
        <v>69</v>
      </c>
      <c r="D1060" s="220" t="str">
        <f>vlookup(M1060,'Página10'!A:B,2,false)</f>
        <v>INOV00041</v>
      </c>
      <c r="E1060" s="134" t="s">
        <v>146</v>
      </c>
      <c r="F1060" s="221">
        <v>45135.0</v>
      </c>
      <c r="G1060" s="222">
        <v>0.041666666666666664</v>
      </c>
      <c r="H1060" s="134" t="s">
        <v>411</v>
      </c>
      <c r="I1060" s="223" t="s">
        <v>411</v>
      </c>
      <c r="J1060" s="223" t="b">
        <f t="shared" si="1"/>
        <v>1</v>
      </c>
      <c r="K1060" s="145" t="s">
        <v>1168</v>
      </c>
      <c r="L1060" s="156"/>
      <c r="M1060" s="134" t="s">
        <v>463</v>
      </c>
      <c r="N1060" s="150">
        <f>if(and(O1060=TRUE,P1060=TRUE), VLOOKUP($E1060,PESSOAL!$B$35:$S$45,MONTH($F1060)+6,false)*G1060*24,0)</f>
        <v>98.16726806</v>
      </c>
      <c r="O1060" s="117" t="b">
        <f t="shared" si="2"/>
        <v>1</v>
      </c>
      <c r="P1060" s="117" t="b">
        <v>1</v>
      </c>
      <c r="Q1060" s="117" t="s">
        <v>368</v>
      </c>
    </row>
    <row r="1061" hidden="1">
      <c r="A1061" s="108"/>
      <c r="B1061" s="220"/>
      <c r="C1061" s="220" t="s">
        <v>54</v>
      </c>
      <c r="D1061" s="220" t="str">
        <f>vlookup(M1061,'Página10'!A:B,2,false)</f>
        <v>INOV00016</v>
      </c>
      <c r="E1061" s="134" t="s">
        <v>146</v>
      </c>
      <c r="F1061" s="221">
        <v>45135.0</v>
      </c>
      <c r="G1061" s="222">
        <v>0.08333333333333333</v>
      </c>
      <c r="H1061" s="134" t="s">
        <v>411</v>
      </c>
      <c r="I1061" s="223" t="s">
        <v>411</v>
      </c>
      <c r="J1061" s="223" t="b">
        <f t="shared" si="1"/>
        <v>1</v>
      </c>
      <c r="K1061" s="145" t="s">
        <v>1169</v>
      </c>
      <c r="L1061" s="156"/>
      <c r="M1061" s="134" t="s">
        <v>428</v>
      </c>
      <c r="N1061" s="150">
        <f>if(and(O1061=TRUE,P1061=TRUE), VLOOKUP($E1061,PESSOAL!$B$35:$S$45,MONTH($F1061)+6,false)*G1061*24,0)</f>
        <v>196.3345361</v>
      </c>
      <c r="O1061" s="117" t="b">
        <f t="shared" si="2"/>
        <v>1</v>
      </c>
      <c r="P1061" s="117" t="b">
        <v>1</v>
      </c>
      <c r="Q1061" s="117" t="s">
        <v>368</v>
      </c>
    </row>
    <row r="1062" hidden="1">
      <c r="A1062" s="108"/>
      <c r="B1062" s="220"/>
      <c r="C1062" s="220" t="s">
        <v>435</v>
      </c>
      <c r="D1062" s="220" t="str">
        <f>vlookup(M1062,'Página10'!A:B,2,false)</f>
        <v>INOV00020</v>
      </c>
      <c r="E1062" s="134" t="s">
        <v>146</v>
      </c>
      <c r="F1062" s="221">
        <v>45138.0</v>
      </c>
      <c r="G1062" s="222">
        <v>0.1875</v>
      </c>
      <c r="H1062" s="134" t="s">
        <v>411</v>
      </c>
      <c r="I1062" s="223" t="s">
        <v>411</v>
      </c>
      <c r="J1062" s="223" t="b">
        <f t="shared" si="1"/>
        <v>1</v>
      </c>
      <c r="K1062" s="145" t="s">
        <v>1170</v>
      </c>
      <c r="L1062" s="156"/>
      <c r="M1062" s="134" t="s">
        <v>434</v>
      </c>
      <c r="N1062" s="150">
        <f>if(and(O1062=TRUE,P1062=TRUE), VLOOKUP($E1062,PESSOAL!$B$35:$S$45,MONTH($F1062)+6,false)*G1062*24,0)</f>
        <v>0</v>
      </c>
      <c r="O1062" s="117" t="b">
        <f t="shared" si="2"/>
        <v>1</v>
      </c>
      <c r="P1062" s="117" t="b">
        <v>0</v>
      </c>
      <c r="Q1062" s="117" t="s">
        <v>368</v>
      </c>
    </row>
    <row r="1063" hidden="1">
      <c r="A1063" s="108"/>
      <c r="B1063" s="220"/>
      <c r="C1063" s="220" t="s">
        <v>290</v>
      </c>
      <c r="D1063" s="220" t="str">
        <f>vlookup(M1063,'Página10'!A:B,2,false)</f>
        <v>INOV00001</v>
      </c>
      <c r="E1063" s="134" t="s">
        <v>110</v>
      </c>
      <c r="F1063" s="221">
        <v>45017.0</v>
      </c>
      <c r="G1063" s="222">
        <v>0.3333333333333333</v>
      </c>
      <c r="H1063" s="134" t="s">
        <v>474</v>
      </c>
      <c r="I1063" s="223" t="s">
        <v>474</v>
      </c>
      <c r="J1063" s="223" t="b">
        <f t="shared" si="1"/>
        <v>1</v>
      </c>
      <c r="K1063" s="145" t="s">
        <v>1171</v>
      </c>
      <c r="L1063" s="156"/>
      <c r="M1063" s="134" t="s">
        <v>416</v>
      </c>
      <c r="N1063" s="150">
        <f>if(and(O1063=TRUE,P1063=TRUE), VLOOKUP($E1063,PESSOAL!$B$35:$S$45,MONTH($F1063)+6,false)*G1063*24,0)</f>
        <v>574.4098861</v>
      </c>
      <c r="O1063" s="117" t="b">
        <f t="shared" si="2"/>
        <v>1</v>
      </c>
      <c r="P1063" s="117" t="b">
        <v>1</v>
      </c>
      <c r="Q1063" s="117" t="s">
        <v>368</v>
      </c>
    </row>
    <row r="1064" hidden="1">
      <c r="A1064" s="108"/>
      <c r="B1064" s="220"/>
      <c r="C1064" s="220" t="s">
        <v>290</v>
      </c>
      <c r="D1064" s="220" t="str">
        <f>vlookup(M1064,'Página10'!A:B,2,false)</f>
        <v>INOV00001</v>
      </c>
      <c r="E1064" s="134" t="s">
        <v>110</v>
      </c>
      <c r="F1064" s="221">
        <v>45019.0</v>
      </c>
      <c r="G1064" s="222">
        <v>0.041666666666666664</v>
      </c>
      <c r="H1064" s="134" t="s">
        <v>411</v>
      </c>
      <c r="I1064" s="223" t="s">
        <v>411</v>
      </c>
      <c r="J1064" s="223" t="b">
        <f t="shared" si="1"/>
        <v>1</v>
      </c>
      <c r="K1064" s="145" t="s">
        <v>1172</v>
      </c>
      <c r="L1064" s="156"/>
      <c r="M1064" s="134" t="s">
        <v>416</v>
      </c>
      <c r="N1064" s="150">
        <f>if(and(O1064=TRUE,P1064=TRUE), VLOOKUP($E1064,PESSOAL!$B$35:$S$45,MONTH($F1064)+6,false)*G1064*24,0)</f>
        <v>71.80123576</v>
      </c>
      <c r="O1064" s="117" t="b">
        <f t="shared" si="2"/>
        <v>1</v>
      </c>
      <c r="P1064" s="117" t="b">
        <v>1</v>
      </c>
      <c r="Q1064" s="117" t="s">
        <v>368</v>
      </c>
    </row>
    <row r="1065" hidden="1">
      <c r="A1065" s="108"/>
      <c r="B1065" s="220"/>
      <c r="C1065" s="220" t="s">
        <v>56</v>
      </c>
      <c r="D1065" s="220" t="str">
        <f>vlookup(M1065,'Página10'!A:B,2,false)</f>
        <v>INOV00021</v>
      </c>
      <c r="E1065" s="134" t="s">
        <v>110</v>
      </c>
      <c r="F1065" s="221">
        <v>45019.0</v>
      </c>
      <c r="G1065" s="222">
        <v>0.08333333333333333</v>
      </c>
      <c r="H1065" s="134" t="s">
        <v>411</v>
      </c>
      <c r="I1065" s="223" t="s">
        <v>411</v>
      </c>
      <c r="J1065" s="223" t="b">
        <f t="shared" si="1"/>
        <v>1</v>
      </c>
      <c r="K1065" s="145" t="s">
        <v>1173</v>
      </c>
      <c r="L1065" s="156"/>
      <c r="M1065" s="134" t="s">
        <v>436</v>
      </c>
      <c r="N1065" s="150">
        <f>if(and(O1065=TRUE,P1065=TRUE), VLOOKUP($E1065,PESSOAL!$B$35:$S$45,MONTH($F1065)+6,false)*G1065*24,0)</f>
        <v>143.6024715</v>
      </c>
      <c r="O1065" s="117" t="b">
        <f t="shared" si="2"/>
        <v>1</v>
      </c>
      <c r="P1065" s="117" t="b">
        <v>1</v>
      </c>
      <c r="Q1065" s="117" t="s">
        <v>368</v>
      </c>
    </row>
    <row r="1066" hidden="1">
      <c r="A1066" s="108"/>
      <c r="B1066" s="220"/>
      <c r="C1066" s="220" t="s">
        <v>290</v>
      </c>
      <c r="D1066" s="220" t="str">
        <f>vlookup(M1066,'Página10'!A:B,2,false)</f>
        <v>INOV00001</v>
      </c>
      <c r="E1066" s="134" t="s">
        <v>110</v>
      </c>
      <c r="F1066" s="221">
        <v>45020.0</v>
      </c>
      <c r="G1066" s="222">
        <v>0.08333333333333333</v>
      </c>
      <c r="H1066" s="134" t="s">
        <v>411</v>
      </c>
      <c r="I1066" s="223" t="s">
        <v>411</v>
      </c>
      <c r="J1066" s="223" t="b">
        <f t="shared" si="1"/>
        <v>1</v>
      </c>
      <c r="K1066" s="145" t="s">
        <v>1172</v>
      </c>
      <c r="L1066" s="156"/>
      <c r="M1066" s="134" t="s">
        <v>416</v>
      </c>
      <c r="N1066" s="150">
        <f>if(and(O1066=TRUE,P1066=TRUE), VLOOKUP($E1066,PESSOAL!$B$35:$S$45,MONTH($F1066)+6,false)*G1066*24,0)</f>
        <v>143.6024715</v>
      </c>
      <c r="O1066" s="117" t="b">
        <f t="shared" si="2"/>
        <v>1</v>
      </c>
      <c r="P1066" s="117" t="b">
        <v>1</v>
      </c>
      <c r="Q1066" s="117" t="s">
        <v>368</v>
      </c>
    </row>
    <row r="1067" hidden="1">
      <c r="A1067" s="108"/>
      <c r="B1067" s="220"/>
      <c r="C1067" s="220" t="s">
        <v>69</v>
      </c>
      <c r="D1067" s="220" t="str">
        <f>vlookup(M1067,'Página10'!A:B,2,false)</f>
        <v>INOV00041</v>
      </c>
      <c r="E1067" s="134" t="s">
        <v>110</v>
      </c>
      <c r="F1067" s="221">
        <v>45020.0</v>
      </c>
      <c r="G1067" s="222">
        <v>0.041666666666666664</v>
      </c>
      <c r="H1067" s="134" t="s">
        <v>475</v>
      </c>
      <c r="I1067" s="223" t="s">
        <v>475</v>
      </c>
      <c r="J1067" s="223" t="b">
        <f t="shared" si="1"/>
        <v>1</v>
      </c>
      <c r="K1067" s="145" t="s">
        <v>1174</v>
      </c>
      <c r="L1067" s="156"/>
      <c r="M1067" s="134" t="s">
        <v>463</v>
      </c>
      <c r="N1067" s="224">
        <v>0.0</v>
      </c>
      <c r="O1067" s="117" t="b">
        <f t="shared" si="2"/>
        <v>1</v>
      </c>
      <c r="P1067" s="117" t="b">
        <v>1</v>
      </c>
      <c r="Q1067" s="117" t="s">
        <v>368</v>
      </c>
    </row>
    <row r="1068" hidden="1">
      <c r="A1068" s="108"/>
      <c r="B1068" s="220"/>
      <c r="C1068" s="220" t="s">
        <v>290</v>
      </c>
      <c r="D1068" s="220" t="str">
        <f>vlookup(M1068,'Página10'!A:B,2,false)</f>
        <v>INOV00001</v>
      </c>
      <c r="E1068" s="134" t="s">
        <v>110</v>
      </c>
      <c r="F1068" s="221">
        <v>45020.0</v>
      </c>
      <c r="G1068" s="222">
        <v>0.0625</v>
      </c>
      <c r="H1068" s="134" t="s">
        <v>411</v>
      </c>
      <c r="I1068" s="223" t="s">
        <v>411</v>
      </c>
      <c r="J1068" s="223" t="b">
        <f t="shared" si="1"/>
        <v>1</v>
      </c>
      <c r="K1068" s="145" t="s">
        <v>1175</v>
      </c>
      <c r="L1068" s="156"/>
      <c r="M1068" s="134" t="s">
        <v>416</v>
      </c>
      <c r="N1068" s="150">
        <f>if(and(O1068=TRUE,P1068=TRUE), VLOOKUP($E1068,PESSOAL!$B$35:$S$45,MONTH($F1068)+6,false)*G1068*24,0)</f>
        <v>107.7018536</v>
      </c>
      <c r="O1068" s="117" t="b">
        <f t="shared" si="2"/>
        <v>1</v>
      </c>
      <c r="P1068" s="117" t="b">
        <v>1</v>
      </c>
      <c r="Q1068" s="117" t="s">
        <v>368</v>
      </c>
    </row>
    <row r="1069" hidden="1">
      <c r="A1069" s="108"/>
      <c r="B1069" s="220"/>
      <c r="C1069" s="220" t="s">
        <v>52</v>
      </c>
      <c r="D1069" s="220" t="str">
        <f>vlookup(M1069,'Página10'!A:B,2,false)</f>
        <v>INOV00013</v>
      </c>
      <c r="E1069" s="134" t="s">
        <v>110</v>
      </c>
      <c r="F1069" s="221">
        <v>45020.0</v>
      </c>
      <c r="G1069" s="222">
        <v>0.0625</v>
      </c>
      <c r="H1069" s="134" t="s">
        <v>475</v>
      </c>
      <c r="I1069" s="223" t="s">
        <v>475</v>
      </c>
      <c r="J1069" s="223" t="b">
        <f t="shared" si="1"/>
        <v>1</v>
      </c>
      <c r="K1069" s="145" t="s">
        <v>1176</v>
      </c>
      <c r="L1069" s="156"/>
      <c r="M1069" s="134" t="s">
        <v>426</v>
      </c>
      <c r="N1069" s="150">
        <f>if(and(O1069=TRUE,P1069=TRUE), VLOOKUP($E1069,PESSOAL!$B$35:$S$45,MONTH($F1069)+6,false)*G1069*24,0)</f>
        <v>107.7018536</v>
      </c>
      <c r="O1069" s="117" t="b">
        <f t="shared" si="2"/>
        <v>1</v>
      </c>
      <c r="P1069" s="117" t="b">
        <v>1</v>
      </c>
      <c r="Q1069" s="117" t="s">
        <v>368</v>
      </c>
    </row>
    <row r="1070" hidden="1">
      <c r="A1070" s="108"/>
      <c r="B1070" s="220"/>
      <c r="C1070" s="220" t="s">
        <v>290</v>
      </c>
      <c r="D1070" s="220" t="str">
        <f>vlookup(M1070,'Página10'!A:B,2,false)</f>
        <v>INOV00001</v>
      </c>
      <c r="E1070" s="134" t="s">
        <v>110</v>
      </c>
      <c r="F1070" s="221">
        <v>45021.0</v>
      </c>
      <c r="G1070" s="222">
        <v>0.21875</v>
      </c>
      <c r="H1070" s="134" t="s">
        <v>411</v>
      </c>
      <c r="I1070" s="223" t="s">
        <v>411</v>
      </c>
      <c r="J1070" s="223" t="b">
        <f t="shared" si="1"/>
        <v>1</v>
      </c>
      <c r="K1070" s="145" t="s">
        <v>1177</v>
      </c>
      <c r="L1070" s="156"/>
      <c r="M1070" s="134" t="s">
        <v>416</v>
      </c>
      <c r="N1070" s="150">
        <f>if(and(O1070=TRUE,P1070=TRUE), VLOOKUP($E1070,PESSOAL!$B$35:$S$45,MONTH($F1070)+6,false)*G1070*24,0)</f>
        <v>376.9564878</v>
      </c>
      <c r="O1070" s="117" t="b">
        <f t="shared" si="2"/>
        <v>1</v>
      </c>
      <c r="P1070" s="117" t="b">
        <v>1</v>
      </c>
      <c r="Q1070" s="117" t="s">
        <v>368</v>
      </c>
    </row>
    <row r="1071" hidden="1">
      <c r="A1071" s="108"/>
      <c r="B1071" s="220"/>
      <c r="C1071" s="220" t="s">
        <v>290</v>
      </c>
      <c r="D1071" s="220" t="str">
        <f>vlookup(M1071,'Página10'!A:B,2,false)</f>
        <v>INOV00001</v>
      </c>
      <c r="E1071" s="134" t="s">
        <v>110</v>
      </c>
      <c r="F1071" s="221">
        <v>45021.0</v>
      </c>
      <c r="G1071" s="222">
        <v>0.041666666666666664</v>
      </c>
      <c r="H1071" s="134" t="s">
        <v>475</v>
      </c>
      <c r="I1071" s="223" t="s">
        <v>475</v>
      </c>
      <c r="J1071" s="223" t="b">
        <f t="shared" si="1"/>
        <v>1</v>
      </c>
      <c r="K1071" s="145" t="s">
        <v>1178</v>
      </c>
      <c r="L1071" s="156"/>
      <c r="M1071" s="134" t="s">
        <v>416</v>
      </c>
      <c r="N1071" s="150">
        <f>if(and(O1071=TRUE,P1071=TRUE), VLOOKUP($E1071,PESSOAL!$B$35:$S$45,MONTH($F1071)+6,false)*G1071*24,0)</f>
        <v>71.80123576</v>
      </c>
      <c r="O1071" s="117" t="b">
        <f t="shared" si="2"/>
        <v>1</v>
      </c>
      <c r="P1071" s="117" t="b">
        <v>1</v>
      </c>
      <c r="Q1071" s="117" t="s">
        <v>368</v>
      </c>
    </row>
    <row r="1072" hidden="1">
      <c r="A1072" s="108"/>
      <c r="B1072" s="220"/>
      <c r="C1072" s="220" t="s">
        <v>290</v>
      </c>
      <c r="D1072" s="220" t="str">
        <f>vlookup(M1072,'Página10'!A:B,2,false)</f>
        <v>INOV00001</v>
      </c>
      <c r="E1072" s="134" t="s">
        <v>110</v>
      </c>
      <c r="F1072" s="221">
        <v>45021.0</v>
      </c>
      <c r="G1072" s="222">
        <v>0.041666666666666664</v>
      </c>
      <c r="H1072" s="134" t="s">
        <v>411</v>
      </c>
      <c r="I1072" s="223" t="s">
        <v>411</v>
      </c>
      <c r="J1072" s="223" t="b">
        <f t="shared" si="1"/>
        <v>1</v>
      </c>
      <c r="K1072" s="145" t="s">
        <v>1179</v>
      </c>
      <c r="L1072" s="156"/>
      <c r="M1072" s="134" t="s">
        <v>416</v>
      </c>
      <c r="N1072" s="150">
        <f>if(and(O1072=TRUE,P1072=TRUE), VLOOKUP($E1072,PESSOAL!$B$35:$S$45,MONTH($F1072)+6,false)*G1072*24,0)</f>
        <v>71.80123576</v>
      </c>
      <c r="O1072" s="117" t="b">
        <f t="shared" si="2"/>
        <v>1</v>
      </c>
      <c r="P1072" s="117" t="b">
        <v>1</v>
      </c>
      <c r="Q1072" s="117" t="s">
        <v>368</v>
      </c>
    </row>
    <row r="1073" hidden="1">
      <c r="A1073" s="108"/>
      <c r="B1073" s="220"/>
      <c r="C1073" s="220" t="s">
        <v>52</v>
      </c>
      <c r="D1073" s="220" t="str">
        <f>vlookup(M1073,'Página10'!A:B,2,false)</f>
        <v>INOV00013</v>
      </c>
      <c r="E1073" s="134" t="s">
        <v>110</v>
      </c>
      <c r="F1073" s="221">
        <v>45021.0</v>
      </c>
      <c r="G1073" s="222">
        <v>0.0625</v>
      </c>
      <c r="H1073" s="134" t="s">
        <v>475</v>
      </c>
      <c r="I1073" s="223" t="s">
        <v>475</v>
      </c>
      <c r="J1073" s="223" t="b">
        <f t="shared" si="1"/>
        <v>1</v>
      </c>
      <c r="K1073" s="145" t="s">
        <v>1176</v>
      </c>
      <c r="L1073" s="156"/>
      <c r="M1073" s="134" t="s">
        <v>426</v>
      </c>
      <c r="N1073" s="150">
        <f>if(and(O1073=TRUE,P1073=TRUE), VLOOKUP($E1073,PESSOAL!$B$35:$S$45,MONTH($F1073)+6,false)*G1073*24,0)</f>
        <v>107.7018536</v>
      </c>
      <c r="O1073" s="117" t="b">
        <f t="shared" si="2"/>
        <v>1</v>
      </c>
      <c r="P1073" s="117" t="b">
        <v>1</v>
      </c>
      <c r="Q1073" s="117" t="s">
        <v>368</v>
      </c>
    </row>
    <row r="1074" hidden="1">
      <c r="A1074" s="108"/>
      <c r="B1074" s="220"/>
      <c r="C1074" s="220" t="s">
        <v>290</v>
      </c>
      <c r="D1074" s="220" t="str">
        <f>vlookup(M1074,'Página10'!A:B,2,false)</f>
        <v>INOV00001</v>
      </c>
      <c r="E1074" s="134" t="s">
        <v>110</v>
      </c>
      <c r="F1074" s="221">
        <v>45022.0</v>
      </c>
      <c r="G1074" s="222">
        <v>0.09375</v>
      </c>
      <c r="H1074" s="134" t="s">
        <v>475</v>
      </c>
      <c r="I1074" s="223" t="s">
        <v>475</v>
      </c>
      <c r="J1074" s="223" t="b">
        <f t="shared" si="1"/>
        <v>1</v>
      </c>
      <c r="K1074" s="145" t="s">
        <v>1178</v>
      </c>
      <c r="L1074" s="156"/>
      <c r="M1074" s="134" t="s">
        <v>416</v>
      </c>
      <c r="N1074" s="150">
        <f>if(and(O1074=TRUE,P1074=TRUE), VLOOKUP($E1074,PESSOAL!$B$35:$S$45,MONTH($F1074)+6,false)*G1074*24,0)</f>
        <v>161.5527805</v>
      </c>
      <c r="O1074" s="117" t="b">
        <f t="shared" si="2"/>
        <v>1</v>
      </c>
      <c r="P1074" s="117" t="b">
        <v>1</v>
      </c>
      <c r="Q1074" s="117" t="s">
        <v>368</v>
      </c>
    </row>
    <row r="1075" hidden="1">
      <c r="A1075" s="108"/>
      <c r="B1075" s="220"/>
      <c r="C1075" s="220" t="s">
        <v>67</v>
      </c>
      <c r="D1075" s="220" t="str">
        <f>vlookup(M1075,'Página10'!A:B,2,false)</f>
        <v>INOV00039</v>
      </c>
      <c r="E1075" s="134" t="s">
        <v>110</v>
      </c>
      <c r="F1075" s="221">
        <v>45022.0</v>
      </c>
      <c r="G1075" s="222">
        <v>0.0625</v>
      </c>
      <c r="H1075" s="134" t="s">
        <v>475</v>
      </c>
      <c r="I1075" s="223" t="s">
        <v>411</v>
      </c>
      <c r="J1075" s="223" t="b">
        <f t="shared" si="1"/>
        <v>0</v>
      </c>
      <c r="K1075" s="145" t="s">
        <v>1180</v>
      </c>
      <c r="L1075" s="156"/>
      <c r="M1075" s="134" t="s">
        <v>461</v>
      </c>
      <c r="N1075" s="150">
        <f>if(and(O1075=TRUE,P1075=TRUE), VLOOKUP($E1075,PESSOAL!$B$35:$S$45,MONTH($F1075)+6,false)*G1075*24,0)</f>
        <v>107.7018536</v>
      </c>
      <c r="O1075" s="117" t="b">
        <f t="shared" si="2"/>
        <v>1</v>
      </c>
      <c r="P1075" s="117" t="b">
        <v>1</v>
      </c>
      <c r="Q1075" s="117" t="s">
        <v>368</v>
      </c>
    </row>
    <row r="1076" hidden="1">
      <c r="A1076" s="108"/>
      <c r="B1076" s="220"/>
      <c r="C1076" s="220" t="s">
        <v>52</v>
      </c>
      <c r="D1076" s="220" t="str">
        <f>vlookup(M1076,'Página10'!A:B,2,false)</f>
        <v>INOV00013</v>
      </c>
      <c r="E1076" s="134" t="s">
        <v>110</v>
      </c>
      <c r="F1076" s="221">
        <v>45022.0</v>
      </c>
      <c r="G1076" s="222">
        <v>0.041666666666666664</v>
      </c>
      <c r="H1076" s="134" t="s">
        <v>411</v>
      </c>
      <c r="I1076" s="223" t="s">
        <v>411</v>
      </c>
      <c r="J1076" s="223" t="b">
        <f t="shared" si="1"/>
        <v>1</v>
      </c>
      <c r="K1076" s="145" t="s">
        <v>1181</v>
      </c>
      <c r="L1076" s="156"/>
      <c r="M1076" s="134" t="s">
        <v>426</v>
      </c>
      <c r="N1076" s="150">
        <f>if(and(O1076=TRUE,P1076=TRUE), VLOOKUP($E1076,PESSOAL!$B$35:$S$45,MONTH($F1076)+6,false)*G1076*24,0)</f>
        <v>71.80123576</v>
      </c>
      <c r="O1076" s="117" t="b">
        <f t="shared" si="2"/>
        <v>1</v>
      </c>
      <c r="P1076" s="117" t="b">
        <v>1</v>
      </c>
      <c r="Q1076" s="117" t="s">
        <v>368</v>
      </c>
    </row>
    <row r="1077" hidden="1">
      <c r="A1077" s="108"/>
      <c r="B1077" s="220"/>
      <c r="C1077" s="220" t="s">
        <v>290</v>
      </c>
      <c r="D1077" s="220" t="str">
        <f>vlookup(M1077,'Página10'!A:B,2,false)</f>
        <v>INOV00001</v>
      </c>
      <c r="E1077" s="134" t="s">
        <v>110</v>
      </c>
      <c r="F1077" s="221">
        <v>45022.0</v>
      </c>
      <c r="G1077" s="222">
        <v>0.041666666666666664</v>
      </c>
      <c r="H1077" s="134" t="s">
        <v>475</v>
      </c>
      <c r="I1077" s="223" t="s">
        <v>475</v>
      </c>
      <c r="J1077" s="223" t="b">
        <f t="shared" si="1"/>
        <v>1</v>
      </c>
      <c r="K1077" s="145" t="s">
        <v>1178</v>
      </c>
      <c r="L1077" s="156"/>
      <c r="M1077" s="134" t="s">
        <v>416</v>
      </c>
      <c r="N1077" s="150">
        <f>if(and(O1077=TRUE,P1077=TRUE), VLOOKUP($E1077,PESSOAL!$B$35:$S$45,MONTH($F1077)+6,false)*G1077*24,0)</f>
        <v>71.80123576</v>
      </c>
      <c r="O1077" s="117" t="b">
        <f t="shared" si="2"/>
        <v>1</v>
      </c>
      <c r="P1077" s="117" t="b">
        <v>1</v>
      </c>
      <c r="Q1077" s="117" t="s">
        <v>368</v>
      </c>
    </row>
    <row r="1078" hidden="1">
      <c r="A1078" s="108"/>
      <c r="B1078" s="220"/>
      <c r="C1078" s="220" t="s">
        <v>52</v>
      </c>
      <c r="D1078" s="220" t="str">
        <f>vlookup(M1078,'Página10'!A:B,2,false)</f>
        <v>INOV00013</v>
      </c>
      <c r="E1078" s="134" t="s">
        <v>110</v>
      </c>
      <c r="F1078" s="221">
        <v>45022.0</v>
      </c>
      <c r="G1078" s="222">
        <v>0.041666666666666664</v>
      </c>
      <c r="H1078" s="134" t="s">
        <v>411</v>
      </c>
      <c r="I1078" s="223" t="s">
        <v>411</v>
      </c>
      <c r="J1078" s="223" t="b">
        <f t="shared" si="1"/>
        <v>1</v>
      </c>
      <c r="K1078" s="145" t="s">
        <v>1182</v>
      </c>
      <c r="L1078" s="156"/>
      <c r="M1078" s="134" t="s">
        <v>426</v>
      </c>
      <c r="N1078" s="150">
        <f>if(and(O1078=TRUE,P1078=TRUE), VLOOKUP($E1078,PESSOAL!$B$35:$S$45,MONTH($F1078)+6,false)*G1078*24,0)</f>
        <v>71.80123576</v>
      </c>
      <c r="O1078" s="117" t="b">
        <f t="shared" si="2"/>
        <v>1</v>
      </c>
      <c r="P1078" s="117" t="b">
        <v>1</v>
      </c>
      <c r="Q1078" s="117" t="s">
        <v>368</v>
      </c>
    </row>
    <row r="1079" hidden="1">
      <c r="A1079" s="108"/>
      <c r="B1079" s="220"/>
      <c r="C1079" s="220" t="s">
        <v>290</v>
      </c>
      <c r="D1079" s="220" t="str">
        <f>vlookup(M1079,'Página10'!A:B,2,false)</f>
        <v>INOV00001</v>
      </c>
      <c r="E1079" s="134" t="s">
        <v>110</v>
      </c>
      <c r="F1079" s="221">
        <v>45022.0</v>
      </c>
      <c r="G1079" s="222">
        <v>0.08333333333333333</v>
      </c>
      <c r="H1079" s="134" t="s">
        <v>411</v>
      </c>
      <c r="I1079" s="223" t="s">
        <v>411</v>
      </c>
      <c r="J1079" s="223" t="b">
        <f t="shared" si="1"/>
        <v>1</v>
      </c>
      <c r="K1079" s="145" t="s">
        <v>1179</v>
      </c>
      <c r="L1079" s="156"/>
      <c r="M1079" s="134" t="s">
        <v>416</v>
      </c>
      <c r="N1079" s="150">
        <f>if(and(O1079=TRUE,P1079=TRUE), VLOOKUP($E1079,PESSOAL!$B$35:$S$45,MONTH($F1079)+6,false)*G1079*24,0)</f>
        <v>143.6024715</v>
      </c>
      <c r="O1079" s="117" t="b">
        <f t="shared" si="2"/>
        <v>1</v>
      </c>
      <c r="P1079" s="117" t="b">
        <v>1</v>
      </c>
      <c r="Q1079" s="117" t="s">
        <v>368</v>
      </c>
    </row>
    <row r="1080" hidden="1">
      <c r="A1080" s="108"/>
      <c r="B1080" s="220"/>
      <c r="C1080" s="220" t="s">
        <v>67</v>
      </c>
      <c r="D1080" s="220" t="str">
        <f>vlookup(M1080,'Página10'!A:B,2,false)</f>
        <v>INOV00039</v>
      </c>
      <c r="E1080" s="134" t="s">
        <v>110</v>
      </c>
      <c r="F1080" s="221">
        <v>45026.0</v>
      </c>
      <c r="G1080" s="222">
        <v>0.10416666666666667</v>
      </c>
      <c r="H1080" s="134" t="s">
        <v>475</v>
      </c>
      <c r="I1080" s="223" t="s">
        <v>411</v>
      </c>
      <c r="J1080" s="223" t="b">
        <f t="shared" si="1"/>
        <v>0</v>
      </c>
      <c r="K1080" s="145" t="s">
        <v>1180</v>
      </c>
      <c r="L1080" s="156"/>
      <c r="M1080" s="134" t="s">
        <v>461</v>
      </c>
      <c r="N1080" s="150">
        <f>if(and(O1080=TRUE,P1080=TRUE), VLOOKUP($E1080,PESSOAL!$B$35:$S$45,MONTH($F1080)+6,false)*G1080*24,0)</f>
        <v>179.5030894</v>
      </c>
      <c r="O1080" s="117" t="b">
        <f t="shared" si="2"/>
        <v>1</v>
      </c>
      <c r="P1080" s="117" t="b">
        <v>1</v>
      </c>
      <c r="Q1080" s="117" t="s">
        <v>368</v>
      </c>
    </row>
    <row r="1081" hidden="1">
      <c r="A1081" s="108"/>
      <c r="B1081" s="220"/>
      <c r="C1081" s="220" t="s">
        <v>52</v>
      </c>
      <c r="D1081" s="220" t="str">
        <f>vlookup(M1081,'Página10'!A:B,2,false)</f>
        <v>INOV00013</v>
      </c>
      <c r="E1081" s="134" t="s">
        <v>110</v>
      </c>
      <c r="F1081" s="221">
        <v>45026.0</v>
      </c>
      <c r="G1081" s="222">
        <v>0.0625</v>
      </c>
      <c r="H1081" s="134" t="s">
        <v>411</v>
      </c>
      <c r="I1081" s="223" t="s">
        <v>411</v>
      </c>
      <c r="J1081" s="223" t="b">
        <f t="shared" si="1"/>
        <v>1</v>
      </c>
      <c r="K1081" s="145" t="s">
        <v>1181</v>
      </c>
      <c r="L1081" s="156"/>
      <c r="M1081" s="134" t="s">
        <v>426</v>
      </c>
      <c r="N1081" s="150">
        <f>if(and(O1081=TRUE,P1081=TRUE), VLOOKUP($E1081,PESSOAL!$B$35:$S$45,MONTH($F1081)+6,false)*G1081*24,0)</f>
        <v>107.7018536</v>
      </c>
      <c r="O1081" s="117" t="b">
        <f t="shared" si="2"/>
        <v>1</v>
      </c>
      <c r="P1081" s="117" t="b">
        <v>1</v>
      </c>
      <c r="Q1081" s="117" t="s">
        <v>368</v>
      </c>
    </row>
    <row r="1082" hidden="1">
      <c r="A1082" s="108"/>
      <c r="B1082" s="220"/>
      <c r="C1082" s="220" t="s">
        <v>52</v>
      </c>
      <c r="D1082" s="220" t="str">
        <f>vlookup(M1082,'Página10'!A:B,2,false)</f>
        <v>INOV00013</v>
      </c>
      <c r="E1082" s="134" t="s">
        <v>110</v>
      </c>
      <c r="F1082" s="221">
        <v>45026.0</v>
      </c>
      <c r="G1082" s="222">
        <v>0.08333333333333333</v>
      </c>
      <c r="H1082" s="134" t="s">
        <v>475</v>
      </c>
      <c r="I1082" s="223" t="s">
        <v>475</v>
      </c>
      <c r="J1082" s="223" t="b">
        <f t="shared" si="1"/>
        <v>1</v>
      </c>
      <c r="K1082" s="145" t="s">
        <v>1183</v>
      </c>
      <c r="L1082" s="156"/>
      <c r="M1082" s="134" t="s">
        <v>426</v>
      </c>
      <c r="N1082" s="150">
        <f>if(and(O1082=TRUE,P1082=TRUE), VLOOKUP($E1082,PESSOAL!$B$35:$S$45,MONTH($F1082)+6,false)*G1082*24,0)</f>
        <v>143.6024715</v>
      </c>
      <c r="O1082" s="117" t="b">
        <f t="shared" si="2"/>
        <v>1</v>
      </c>
      <c r="P1082" s="117" t="b">
        <v>1</v>
      </c>
      <c r="Q1082" s="117" t="s">
        <v>368</v>
      </c>
    </row>
    <row r="1083" hidden="1">
      <c r="A1083" s="108"/>
      <c r="B1083" s="220"/>
      <c r="C1083" s="220" t="s">
        <v>56</v>
      </c>
      <c r="D1083" s="220" t="str">
        <f>vlookup(M1083,'Página10'!A:B,2,false)</f>
        <v>INOV00021</v>
      </c>
      <c r="E1083" s="134" t="s">
        <v>110</v>
      </c>
      <c r="F1083" s="221">
        <v>45027.0</v>
      </c>
      <c r="G1083" s="222">
        <v>0.11458333333333333</v>
      </c>
      <c r="H1083" s="134" t="s">
        <v>475</v>
      </c>
      <c r="I1083" s="223" t="s">
        <v>475</v>
      </c>
      <c r="J1083" s="223" t="b">
        <f t="shared" si="1"/>
        <v>1</v>
      </c>
      <c r="K1083" s="145" t="s">
        <v>1184</v>
      </c>
      <c r="L1083" s="156"/>
      <c r="M1083" s="134" t="s">
        <v>436</v>
      </c>
      <c r="N1083" s="150">
        <f>if(and(O1083=TRUE,P1083=TRUE), VLOOKUP($E1083,PESSOAL!$B$35:$S$45,MONTH($F1083)+6,false)*G1083*24,0)</f>
        <v>197.4533984</v>
      </c>
      <c r="O1083" s="117" t="b">
        <f t="shared" si="2"/>
        <v>1</v>
      </c>
      <c r="P1083" s="117" t="b">
        <v>1</v>
      </c>
      <c r="Q1083" s="117" t="s">
        <v>368</v>
      </c>
    </row>
    <row r="1084" hidden="1">
      <c r="A1084" s="108"/>
      <c r="B1084" s="220"/>
      <c r="C1084" s="220" t="s">
        <v>290</v>
      </c>
      <c r="D1084" s="220" t="str">
        <f>vlookup(M1084,'Página10'!A:B,2,false)</f>
        <v>INOV00001</v>
      </c>
      <c r="E1084" s="134" t="s">
        <v>110</v>
      </c>
      <c r="F1084" s="221">
        <v>45027.0</v>
      </c>
      <c r="G1084" s="222">
        <v>0.10416666666666667</v>
      </c>
      <c r="H1084" s="134" t="s">
        <v>475</v>
      </c>
      <c r="I1084" s="223" t="s">
        <v>475</v>
      </c>
      <c r="J1084" s="223" t="b">
        <f t="shared" si="1"/>
        <v>1</v>
      </c>
      <c r="K1084" s="145" t="s">
        <v>1178</v>
      </c>
      <c r="L1084" s="156"/>
      <c r="M1084" s="134" t="s">
        <v>416</v>
      </c>
      <c r="N1084" s="150">
        <f>if(and(O1084=TRUE,P1084=TRUE), VLOOKUP($E1084,PESSOAL!$B$35:$S$45,MONTH($F1084)+6,false)*G1084*24,0)</f>
        <v>179.5030894</v>
      </c>
      <c r="O1084" s="117" t="b">
        <f t="shared" si="2"/>
        <v>1</v>
      </c>
      <c r="P1084" s="117" t="b">
        <v>1</v>
      </c>
      <c r="Q1084" s="117" t="s">
        <v>368</v>
      </c>
    </row>
    <row r="1085" hidden="1">
      <c r="A1085" s="108"/>
      <c r="B1085" s="220"/>
      <c r="C1085" s="220" t="s">
        <v>290</v>
      </c>
      <c r="D1085" s="220" t="str">
        <f>vlookup(M1085,'Página10'!A:B,2,false)</f>
        <v>INOV00001</v>
      </c>
      <c r="E1085" s="134" t="s">
        <v>110</v>
      </c>
      <c r="F1085" s="221">
        <v>45027.0</v>
      </c>
      <c r="G1085" s="222">
        <v>0.041666666666666664</v>
      </c>
      <c r="H1085" s="134" t="s">
        <v>479</v>
      </c>
      <c r="I1085" s="223" t="s">
        <v>479</v>
      </c>
      <c r="J1085" s="223" t="b">
        <f t="shared" si="1"/>
        <v>1</v>
      </c>
      <c r="K1085" s="145" t="s">
        <v>1185</v>
      </c>
      <c r="L1085" s="156"/>
      <c r="M1085" s="134" t="s">
        <v>416</v>
      </c>
      <c r="N1085" s="150">
        <f>if(and(O1085=TRUE,P1085=TRUE), VLOOKUP($E1085,PESSOAL!$B$35:$S$45,MONTH($F1085)+6,false)*G1085*24,0)</f>
        <v>0</v>
      </c>
      <c r="O1085" s="117" t="b">
        <f t="shared" si="2"/>
        <v>0</v>
      </c>
      <c r="P1085" s="117" t="b">
        <v>1</v>
      </c>
      <c r="Q1085" s="117" t="s">
        <v>368</v>
      </c>
    </row>
    <row r="1086" hidden="1">
      <c r="A1086" s="108"/>
      <c r="B1086" s="220"/>
      <c r="C1086" s="220" t="s">
        <v>52</v>
      </c>
      <c r="D1086" s="220" t="str">
        <f>vlookup(M1086,'Página10'!A:B,2,false)</f>
        <v>INOV00013</v>
      </c>
      <c r="E1086" s="134" t="s">
        <v>110</v>
      </c>
      <c r="F1086" s="221">
        <v>45027.0</v>
      </c>
      <c r="G1086" s="222">
        <v>0.0625</v>
      </c>
      <c r="H1086" s="134" t="s">
        <v>411</v>
      </c>
      <c r="I1086" s="223" t="s">
        <v>411</v>
      </c>
      <c r="J1086" s="223" t="b">
        <f t="shared" si="1"/>
        <v>1</v>
      </c>
      <c r="K1086" s="145" t="s">
        <v>1181</v>
      </c>
      <c r="L1086" s="156"/>
      <c r="M1086" s="134" t="s">
        <v>426</v>
      </c>
      <c r="N1086" s="150">
        <f>if(and(O1086=TRUE,P1086=TRUE), VLOOKUP($E1086,PESSOAL!$B$35:$S$45,MONTH($F1086)+6,false)*G1086*24,0)</f>
        <v>107.7018536</v>
      </c>
      <c r="O1086" s="117" t="b">
        <f t="shared" si="2"/>
        <v>1</v>
      </c>
      <c r="P1086" s="117" t="b">
        <v>1</v>
      </c>
      <c r="Q1086" s="117" t="s">
        <v>368</v>
      </c>
    </row>
    <row r="1087" hidden="1">
      <c r="A1087" s="108"/>
      <c r="B1087" s="220"/>
      <c r="C1087" s="220" t="s">
        <v>56</v>
      </c>
      <c r="D1087" s="220" t="str">
        <f>vlookup(M1087,'Página10'!A:B,2,false)</f>
        <v>INOV00021</v>
      </c>
      <c r="E1087" s="134" t="s">
        <v>110</v>
      </c>
      <c r="F1087" s="221">
        <v>45028.0</v>
      </c>
      <c r="G1087" s="222">
        <v>0.0625</v>
      </c>
      <c r="H1087" s="134" t="s">
        <v>475</v>
      </c>
      <c r="I1087" s="223" t="s">
        <v>411</v>
      </c>
      <c r="J1087" s="223" t="b">
        <f t="shared" si="1"/>
        <v>0</v>
      </c>
      <c r="K1087" s="145" t="s">
        <v>1184</v>
      </c>
      <c r="L1087" s="156"/>
      <c r="M1087" s="134" t="s">
        <v>436</v>
      </c>
      <c r="N1087" s="150">
        <f>if(and(O1087=TRUE,P1087=TRUE), VLOOKUP($E1087,PESSOAL!$B$35:$S$45,MONTH($F1087)+6,false)*G1087*24,0)</f>
        <v>107.7018536</v>
      </c>
      <c r="O1087" s="117" t="b">
        <f t="shared" si="2"/>
        <v>1</v>
      </c>
      <c r="P1087" s="117" t="b">
        <v>1</v>
      </c>
      <c r="Q1087" s="117" t="s">
        <v>368</v>
      </c>
    </row>
    <row r="1088" hidden="1">
      <c r="A1088" s="108"/>
      <c r="B1088" s="220"/>
      <c r="C1088" s="220" t="s">
        <v>290</v>
      </c>
      <c r="D1088" s="220" t="str">
        <f>vlookup(M1088,'Página10'!A:B,2,false)</f>
        <v>INOV00001</v>
      </c>
      <c r="E1088" s="134" t="s">
        <v>110</v>
      </c>
      <c r="F1088" s="221">
        <v>45028.0</v>
      </c>
      <c r="G1088" s="222">
        <v>0.08333333333333333</v>
      </c>
      <c r="H1088" s="134" t="s">
        <v>411</v>
      </c>
      <c r="I1088" s="223" t="s">
        <v>411</v>
      </c>
      <c r="J1088" s="223" t="b">
        <f t="shared" si="1"/>
        <v>1</v>
      </c>
      <c r="K1088" s="145" t="s">
        <v>1186</v>
      </c>
      <c r="L1088" s="156"/>
      <c r="M1088" s="134" t="s">
        <v>416</v>
      </c>
      <c r="N1088" s="150">
        <f>if(and(O1088=TRUE,P1088=TRUE), VLOOKUP($E1088,PESSOAL!$B$35:$S$45,MONTH($F1088)+6,false)*G1088*24,0)</f>
        <v>143.6024715</v>
      </c>
      <c r="O1088" s="117" t="b">
        <f t="shared" si="2"/>
        <v>1</v>
      </c>
      <c r="P1088" s="117" t="b">
        <v>1</v>
      </c>
      <c r="Q1088" s="117" t="s">
        <v>368</v>
      </c>
    </row>
    <row r="1089" hidden="1">
      <c r="A1089" s="108"/>
      <c r="B1089" s="220"/>
      <c r="C1089" s="220" t="s">
        <v>290</v>
      </c>
      <c r="D1089" s="220" t="str">
        <f>vlookup(M1089,'Página10'!A:B,2,false)</f>
        <v>INOV00001</v>
      </c>
      <c r="E1089" s="134" t="s">
        <v>110</v>
      </c>
      <c r="F1089" s="221">
        <v>45028.0</v>
      </c>
      <c r="G1089" s="222">
        <v>0.041666666666666664</v>
      </c>
      <c r="H1089" s="134" t="s">
        <v>411</v>
      </c>
      <c r="I1089" s="223" t="s">
        <v>411</v>
      </c>
      <c r="J1089" s="223" t="b">
        <f t="shared" si="1"/>
        <v>1</v>
      </c>
      <c r="K1089" s="145" t="s">
        <v>1186</v>
      </c>
      <c r="L1089" s="156"/>
      <c r="M1089" s="134" t="s">
        <v>416</v>
      </c>
      <c r="N1089" s="150">
        <f>if(and(O1089=TRUE,P1089=TRUE), VLOOKUP($E1089,PESSOAL!$B$35:$S$45,MONTH($F1089)+6,false)*G1089*24,0)</f>
        <v>71.80123576</v>
      </c>
      <c r="O1089" s="117" t="b">
        <f t="shared" si="2"/>
        <v>1</v>
      </c>
      <c r="P1089" s="117" t="b">
        <v>1</v>
      </c>
      <c r="Q1089" s="117" t="s">
        <v>368</v>
      </c>
    </row>
    <row r="1090" hidden="1">
      <c r="A1090" s="108"/>
      <c r="B1090" s="220"/>
      <c r="C1090" s="220" t="s">
        <v>56</v>
      </c>
      <c r="D1090" s="220" t="str">
        <f>vlookup(M1090,'Página10'!A:B,2,false)</f>
        <v>INOV00021</v>
      </c>
      <c r="E1090" s="134" t="s">
        <v>110</v>
      </c>
      <c r="F1090" s="221">
        <v>45028.0</v>
      </c>
      <c r="G1090" s="222">
        <v>0.0625</v>
      </c>
      <c r="H1090" s="134" t="s">
        <v>475</v>
      </c>
      <c r="I1090" s="223" t="s">
        <v>411</v>
      </c>
      <c r="J1090" s="223" t="b">
        <f t="shared" si="1"/>
        <v>0</v>
      </c>
      <c r="K1090" s="145" t="s">
        <v>1184</v>
      </c>
      <c r="L1090" s="156"/>
      <c r="M1090" s="134" t="s">
        <v>436</v>
      </c>
      <c r="N1090" s="150">
        <f>if(and(O1090=TRUE,P1090=TRUE), VLOOKUP($E1090,PESSOAL!$B$35:$S$45,MONTH($F1090)+6,false)*G1090*24,0)</f>
        <v>107.7018536</v>
      </c>
      <c r="O1090" s="117" t="b">
        <f t="shared" si="2"/>
        <v>1</v>
      </c>
      <c r="P1090" s="117" t="b">
        <v>1</v>
      </c>
      <c r="Q1090" s="117" t="s">
        <v>368</v>
      </c>
    </row>
    <row r="1091" hidden="1">
      <c r="A1091" s="108"/>
      <c r="B1091" s="220"/>
      <c r="C1091" s="220" t="s">
        <v>290</v>
      </c>
      <c r="D1091" s="220" t="str">
        <f>vlookup(M1091,'Página10'!A:B,2,false)</f>
        <v>INOV00001</v>
      </c>
      <c r="E1091" s="134" t="s">
        <v>110</v>
      </c>
      <c r="F1091" s="221">
        <v>45029.0</v>
      </c>
      <c r="G1091" s="222">
        <v>0.03125</v>
      </c>
      <c r="H1091" s="134" t="s">
        <v>411</v>
      </c>
      <c r="I1091" s="223" t="s">
        <v>411</v>
      </c>
      <c r="J1091" s="223" t="b">
        <f t="shared" si="1"/>
        <v>1</v>
      </c>
      <c r="K1091" s="145" t="s">
        <v>1186</v>
      </c>
      <c r="L1091" s="156"/>
      <c r="M1091" s="134" t="s">
        <v>416</v>
      </c>
      <c r="N1091" s="150">
        <f>if(and(O1091=TRUE,P1091=TRUE), VLOOKUP($E1091,PESSOAL!$B$35:$S$45,MONTH($F1091)+6,false)*G1091*24,0)</f>
        <v>53.85092682</v>
      </c>
      <c r="O1091" s="117" t="b">
        <f t="shared" si="2"/>
        <v>1</v>
      </c>
      <c r="P1091" s="117" t="b">
        <v>1</v>
      </c>
      <c r="Q1091" s="117" t="s">
        <v>368</v>
      </c>
    </row>
    <row r="1092" hidden="1">
      <c r="A1092" s="108"/>
      <c r="B1092" s="220"/>
      <c r="C1092" s="220" t="s">
        <v>56</v>
      </c>
      <c r="D1092" s="220" t="str">
        <f>vlookup(M1092,'Página10'!A:B,2,false)</f>
        <v>INOV00021</v>
      </c>
      <c r="E1092" s="134" t="s">
        <v>110</v>
      </c>
      <c r="F1092" s="221">
        <v>45029.0</v>
      </c>
      <c r="G1092" s="222">
        <v>0.041666666666666664</v>
      </c>
      <c r="H1092" s="134" t="s">
        <v>475</v>
      </c>
      <c r="I1092" s="223" t="s">
        <v>411</v>
      </c>
      <c r="J1092" s="223" t="b">
        <f t="shared" si="1"/>
        <v>0</v>
      </c>
      <c r="K1092" s="145" t="s">
        <v>1184</v>
      </c>
      <c r="L1092" s="156"/>
      <c r="M1092" s="134" t="s">
        <v>436</v>
      </c>
      <c r="N1092" s="150">
        <f>if(and(O1092=TRUE,P1092=TRUE), VLOOKUP($E1092,PESSOAL!$B$35:$S$45,MONTH($F1092)+6,false)*G1092*24,0)</f>
        <v>71.80123576</v>
      </c>
      <c r="O1092" s="117" t="b">
        <f t="shared" si="2"/>
        <v>1</v>
      </c>
      <c r="P1092" s="117" t="b">
        <v>1</v>
      </c>
      <c r="Q1092" s="117" t="s">
        <v>368</v>
      </c>
    </row>
    <row r="1093" hidden="1">
      <c r="A1093" s="108"/>
      <c r="B1093" s="220"/>
      <c r="C1093" s="220" t="s">
        <v>290</v>
      </c>
      <c r="D1093" s="220" t="str">
        <f>vlookup(M1093,'Página10'!A:B,2,false)</f>
        <v>INOV00001</v>
      </c>
      <c r="E1093" s="134" t="s">
        <v>110</v>
      </c>
      <c r="F1093" s="221">
        <v>45029.0</v>
      </c>
      <c r="G1093" s="222">
        <v>0.08333333333333333</v>
      </c>
      <c r="H1093" s="134" t="s">
        <v>411</v>
      </c>
      <c r="I1093" s="223" t="s">
        <v>411</v>
      </c>
      <c r="J1093" s="223" t="b">
        <f t="shared" si="1"/>
        <v>1</v>
      </c>
      <c r="K1093" s="145" t="s">
        <v>1187</v>
      </c>
      <c r="L1093" s="156"/>
      <c r="M1093" s="134" t="s">
        <v>416</v>
      </c>
      <c r="N1093" s="150">
        <f>if(and(O1093=TRUE,P1093=TRUE), VLOOKUP($E1093,PESSOAL!$B$35:$S$45,MONTH($F1093)+6,false)*G1093*24,0)</f>
        <v>143.6024715</v>
      </c>
      <c r="O1093" s="117" t="b">
        <f t="shared" si="2"/>
        <v>1</v>
      </c>
      <c r="P1093" s="117" t="b">
        <v>1</v>
      </c>
      <c r="Q1093" s="117" t="s">
        <v>368</v>
      </c>
    </row>
    <row r="1094" hidden="1">
      <c r="A1094" s="108"/>
      <c r="B1094" s="220"/>
      <c r="C1094" s="220" t="s">
        <v>290</v>
      </c>
      <c r="D1094" s="220" t="str">
        <f>vlookup(M1094,'Página10'!A:B,2,false)</f>
        <v>INOV00001</v>
      </c>
      <c r="E1094" s="134" t="s">
        <v>110</v>
      </c>
      <c r="F1094" s="221">
        <v>45029.0</v>
      </c>
      <c r="G1094" s="222">
        <v>0.125</v>
      </c>
      <c r="H1094" s="134" t="s">
        <v>411</v>
      </c>
      <c r="I1094" s="223" t="s">
        <v>411</v>
      </c>
      <c r="J1094" s="223" t="b">
        <f t="shared" si="1"/>
        <v>1</v>
      </c>
      <c r="K1094" s="145" t="s">
        <v>1188</v>
      </c>
      <c r="L1094" s="156"/>
      <c r="M1094" s="134" t="s">
        <v>416</v>
      </c>
      <c r="N1094" s="150">
        <f>if(and(O1094=TRUE,P1094=TRUE), VLOOKUP($E1094,PESSOAL!$B$35:$S$45,MONTH($F1094)+6,false)*G1094*24,0)</f>
        <v>215.4037073</v>
      </c>
      <c r="O1094" s="117" t="b">
        <f t="shared" si="2"/>
        <v>1</v>
      </c>
      <c r="P1094" s="117" t="b">
        <v>1</v>
      </c>
      <c r="Q1094" s="117" t="s">
        <v>368</v>
      </c>
    </row>
    <row r="1095" hidden="1">
      <c r="A1095" s="108"/>
      <c r="B1095" s="220"/>
      <c r="C1095" s="220" t="s">
        <v>290</v>
      </c>
      <c r="D1095" s="220" t="str">
        <f>vlookup(M1095,'Página10'!A:B,2,false)</f>
        <v>INOV00001</v>
      </c>
      <c r="E1095" s="134" t="s">
        <v>110</v>
      </c>
      <c r="F1095" s="221">
        <v>45029.0</v>
      </c>
      <c r="G1095" s="222">
        <v>0.0625</v>
      </c>
      <c r="H1095" s="134" t="s">
        <v>475</v>
      </c>
      <c r="I1095" s="223" t="s">
        <v>475</v>
      </c>
      <c r="J1095" s="223" t="b">
        <f t="shared" si="1"/>
        <v>1</v>
      </c>
      <c r="K1095" s="145" t="s">
        <v>1178</v>
      </c>
      <c r="L1095" s="156"/>
      <c r="M1095" s="134" t="s">
        <v>416</v>
      </c>
      <c r="N1095" s="150">
        <f>if(and(O1095=TRUE,P1095=TRUE), VLOOKUP($E1095,PESSOAL!$B$35:$S$45,MONTH($F1095)+6,false)*G1095*24,0)</f>
        <v>107.7018536</v>
      </c>
      <c r="O1095" s="117" t="b">
        <f t="shared" si="2"/>
        <v>1</v>
      </c>
      <c r="P1095" s="117" t="b">
        <v>1</v>
      </c>
      <c r="Q1095" s="117" t="s">
        <v>368</v>
      </c>
    </row>
    <row r="1096" hidden="1">
      <c r="A1096" s="108"/>
      <c r="B1096" s="220"/>
      <c r="C1096" s="220" t="s">
        <v>290</v>
      </c>
      <c r="D1096" s="220" t="str">
        <f>vlookup(M1096,'Página10'!A:B,2,false)</f>
        <v>INOV00001</v>
      </c>
      <c r="E1096" s="134" t="s">
        <v>110</v>
      </c>
      <c r="F1096" s="221">
        <v>45030.0</v>
      </c>
      <c r="G1096" s="222">
        <v>0.041666666666666664</v>
      </c>
      <c r="H1096" s="134" t="s">
        <v>479</v>
      </c>
      <c r="I1096" s="223" t="s">
        <v>479</v>
      </c>
      <c r="J1096" s="223" t="b">
        <f t="shared" si="1"/>
        <v>1</v>
      </c>
      <c r="K1096" s="145" t="s">
        <v>1189</v>
      </c>
      <c r="L1096" s="156"/>
      <c r="M1096" s="134" t="s">
        <v>416</v>
      </c>
      <c r="N1096" s="150">
        <f>if(and(O1096=TRUE,P1096=TRUE), VLOOKUP($E1096,PESSOAL!$B$35:$S$45,MONTH($F1096)+6,false)*G1096*24,0)</f>
        <v>0</v>
      </c>
      <c r="O1096" s="117" t="b">
        <f t="shared" si="2"/>
        <v>0</v>
      </c>
      <c r="P1096" s="117" t="b">
        <v>1</v>
      </c>
      <c r="Q1096" s="117" t="s">
        <v>368</v>
      </c>
    </row>
    <row r="1097" hidden="1">
      <c r="A1097" s="108"/>
      <c r="B1097" s="220"/>
      <c r="C1097" s="220" t="s">
        <v>52</v>
      </c>
      <c r="D1097" s="220" t="str">
        <f>vlookup(M1097,'Página10'!A:B,2,false)</f>
        <v>INOV00013</v>
      </c>
      <c r="E1097" s="134" t="s">
        <v>110</v>
      </c>
      <c r="F1097" s="221">
        <v>45030.0</v>
      </c>
      <c r="G1097" s="222">
        <v>0.08333333333333333</v>
      </c>
      <c r="H1097" s="134" t="s">
        <v>411</v>
      </c>
      <c r="I1097" s="223" t="s">
        <v>411</v>
      </c>
      <c r="J1097" s="223" t="b">
        <f t="shared" si="1"/>
        <v>1</v>
      </c>
      <c r="K1097" s="145" t="s">
        <v>1181</v>
      </c>
      <c r="L1097" s="156"/>
      <c r="M1097" s="134" t="s">
        <v>426</v>
      </c>
      <c r="N1097" s="150">
        <f>if(and(O1097=TRUE,P1097=TRUE), VLOOKUP($E1097,PESSOAL!$B$35:$S$45,MONTH($F1097)+6,false)*G1097*24,0)</f>
        <v>143.6024715</v>
      </c>
      <c r="O1097" s="117" t="b">
        <f t="shared" si="2"/>
        <v>1</v>
      </c>
      <c r="P1097" s="117" t="b">
        <v>1</v>
      </c>
      <c r="Q1097" s="117" t="s">
        <v>368</v>
      </c>
    </row>
    <row r="1098" hidden="1">
      <c r="A1098" s="108"/>
      <c r="B1098" s="220"/>
      <c r="C1098" s="220" t="s">
        <v>52</v>
      </c>
      <c r="D1098" s="220" t="str">
        <f>vlookup(M1098,'Página10'!A:B,2,false)</f>
        <v>INOV00013</v>
      </c>
      <c r="E1098" s="134" t="s">
        <v>110</v>
      </c>
      <c r="F1098" s="221">
        <v>45030.0</v>
      </c>
      <c r="G1098" s="222">
        <v>0.041666666666666664</v>
      </c>
      <c r="H1098" s="134" t="s">
        <v>475</v>
      </c>
      <c r="I1098" s="223" t="s">
        <v>411</v>
      </c>
      <c r="J1098" s="223" t="b">
        <f t="shared" si="1"/>
        <v>0</v>
      </c>
      <c r="K1098" s="145" t="s">
        <v>1190</v>
      </c>
      <c r="L1098" s="156"/>
      <c r="M1098" s="134" t="s">
        <v>426</v>
      </c>
      <c r="N1098" s="150">
        <f>if(and(O1098=TRUE,P1098=TRUE), VLOOKUP($E1098,PESSOAL!$B$35:$S$45,MONTH($F1098)+6,false)*G1098*24,0)</f>
        <v>71.80123576</v>
      </c>
      <c r="O1098" s="117" t="b">
        <f t="shared" si="2"/>
        <v>1</v>
      </c>
      <c r="P1098" s="117" t="b">
        <v>1</v>
      </c>
      <c r="Q1098" s="117" t="s">
        <v>368</v>
      </c>
    </row>
    <row r="1099" hidden="1">
      <c r="A1099" s="108"/>
      <c r="B1099" s="220"/>
      <c r="C1099" s="220" t="s">
        <v>56</v>
      </c>
      <c r="D1099" s="220" t="str">
        <f>vlookup(M1099,'Página10'!A:B,2,false)</f>
        <v>INOV00021</v>
      </c>
      <c r="E1099" s="134" t="s">
        <v>110</v>
      </c>
      <c r="F1099" s="221">
        <v>45033.0</v>
      </c>
      <c r="G1099" s="222">
        <v>0.08333333333333333</v>
      </c>
      <c r="H1099" s="134" t="s">
        <v>475</v>
      </c>
      <c r="I1099" s="223" t="s">
        <v>475</v>
      </c>
      <c r="J1099" s="223" t="b">
        <f t="shared" si="1"/>
        <v>1</v>
      </c>
      <c r="K1099" s="145" t="s">
        <v>1191</v>
      </c>
      <c r="L1099" s="156"/>
      <c r="M1099" s="134" t="s">
        <v>436</v>
      </c>
      <c r="N1099" s="150">
        <f>if(and(O1099=TRUE,P1099=TRUE), VLOOKUP($E1099,PESSOAL!$B$35:$S$45,MONTH($F1099)+6,false)*G1099*24,0)</f>
        <v>143.6024715</v>
      </c>
      <c r="O1099" s="117" t="b">
        <f t="shared" si="2"/>
        <v>1</v>
      </c>
      <c r="P1099" s="117" t="b">
        <v>1</v>
      </c>
      <c r="Q1099" s="117" t="s">
        <v>368</v>
      </c>
    </row>
    <row r="1100" hidden="1">
      <c r="A1100" s="108"/>
      <c r="B1100" s="220"/>
      <c r="C1100" s="220" t="s">
        <v>290</v>
      </c>
      <c r="D1100" s="220" t="str">
        <f>vlookup(M1100,'Página10'!A:B,2,false)</f>
        <v>INOV00001</v>
      </c>
      <c r="E1100" s="134" t="s">
        <v>110</v>
      </c>
      <c r="F1100" s="221">
        <v>45033.0</v>
      </c>
      <c r="G1100" s="222">
        <v>0.10416666666666667</v>
      </c>
      <c r="H1100" s="134" t="s">
        <v>411</v>
      </c>
      <c r="I1100" s="223" t="s">
        <v>411</v>
      </c>
      <c r="J1100" s="223" t="b">
        <f t="shared" si="1"/>
        <v>1</v>
      </c>
      <c r="K1100" s="145" t="s">
        <v>1181</v>
      </c>
      <c r="L1100" s="156"/>
      <c r="M1100" s="134" t="s">
        <v>416</v>
      </c>
      <c r="N1100" s="150">
        <f>if(and(O1100=TRUE,P1100=TRUE), VLOOKUP($E1100,PESSOAL!$B$35:$S$45,MONTH($F1100)+6,false)*G1100*24,0)</f>
        <v>179.5030894</v>
      </c>
      <c r="O1100" s="117" t="b">
        <f t="shared" si="2"/>
        <v>1</v>
      </c>
      <c r="P1100" s="117" t="b">
        <v>1</v>
      </c>
      <c r="Q1100" s="117" t="s">
        <v>368</v>
      </c>
    </row>
    <row r="1101" hidden="1">
      <c r="A1101" s="108"/>
      <c r="B1101" s="220"/>
      <c r="C1101" s="220" t="s">
        <v>56</v>
      </c>
      <c r="D1101" s="220" t="str">
        <f>vlookup(M1101,'Página10'!A:B,2,false)</f>
        <v>INOV00021</v>
      </c>
      <c r="E1101" s="134" t="s">
        <v>110</v>
      </c>
      <c r="F1101" s="221">
        <v>45034.0</v>
      </c>
      <c r="G1101" s="222">
        <v>0.11458333333333333</v>
      </c>
      <c r="H1101" s="134" t="s">
        <v>475</v>
      </c>
      <c r="I1101" s="223" t="s">
        <v>475</v>
      </c>
      <c r="J1101" s="223" t="b">
        <f t="shared" si="1"/>
        <v>1</v>
      </c>
      <c r="K1101" s="145" t="s">
        <v>1192</v>
      </c>
      <c r="L1101" s="156"/>
      <c r="M1101" s="134" t="s">
        <v>436</v>
      </c>
      <c r="N1101" s="150">
        <f>if(and(O1101=TRUE,P1101=TRUE), VLOOKUP($E1101,PESSOAL!$B$35:$S$45,MONTH($F1101)+6,false)*G1101*24,0)</f>
        <v>197.4533984</v>
      </c>
      <c r="O1101" s="117" t="b">
        <f t="shared" si="2"/>
        <v>1</v>
      </c>
      <c r="P1101" s="117" t="b">
        <v>1</v>
      </c>
      <c r="Q1101" s="117" t="s">
        <v>368</v>
      </c>
    </row>
    <row r="1102" hidden="1">
      <c r="A1102" s="108"/>
      <c r="B1102" s="220"/>
      <c r="C1102" s="220" t="s">
        <v>52</v>
      </c>
      <c r="D1102" s="220" t="str">
        <f>vlookup(M1102,'Página10'!A:B,2,false)</f>
        <v>INOV00013</v>
      </c>
      <c r="E1102" s="134" t="s">
        <v>110</v>
      </c>
      <c r="F1102" s="221">
        <v>45034.0</v>
      </c>
      <c r="G1102" s="222">
        <v>0.08333333333333333</v>
      </c>
      <c r="H1102" s="134" t="s">
        <v>475</v>
      </c>
      <c r="I1102" s="223" t="s">
        <v>475</v>
      </c>
      <c r="J1102" s="223" t="b">
        <f t="shared" si="1"/>
        <v>1</v>
      </c>
      <c r="K1102" s="145" t="s">
        <v>1184</v>
      </c>
      <c r="L1102" s="156"/>
      <c r="M1102" s="134" t="s">
        <v>426</v>
      </c>
      <c r="N1102" s="150">
        <f>if(and(O1102=TRUE,P1102=TRUE), VLOOKUP($E1102,PESSOAL!$B$35:$S$45,MONTH($F1102)+6,false)*G1102*24,0)</f>
        <v>143.6024715</v>
      </c>
      <c r="O1102" s="117" t="b">
        <f t="shared" si="2"/>
        <v>1</v>
      </c>
      <c r="P1102" s="117" t="b">
        <v>1</v>
      </c>
      <c r="Q1102" s="117" t="s">
        <v>368</v>
      </c>
    </row>
    <row r="1103" hidden="1">
      <c r="A1103" s="108"/>
      <c r="B1103" s="220"/>
      <c r="C1103" s="220" t="s">
        <v>52</v>
      </c>
      <c r="D1103" s="220" t="str">
        <f>vlookup(M1103,'Página10'!A:B,2,false)</f>
        <v>INOV00013</v>
      </c>
      <c r="E1103" s="134" t="s">
        <v>110</v>
      </c>
      <c r="F1103" s="221">
        <v>45035.0</v>
      </c>
      <c r="G1103" s="222">
        <v>0.08333333333333333</v>
      </c>
      <c r="H1103" s="134" t="s">
        <v>411</v>
      </c>
      <c r="I1103" s="223" t="s">
        <v>411</v>
      </c>
      <c r="J1103" s="223" t="b">
        <f t="shared" si="1"/>
        <v>1</v>
      </c>
      <c r="K1103" s="145" t="s">
        <v>1181</v>
      </c>
      <c r="L1103" s="156"/>
      <c r="M1103" s="134" t="s">
        <v>426</v>
      </c>
      <c r="N1103" s="150">
        <f>if(and(O1103=TRUE,P1103=TRUE), VLOOKUP($E1103,PESSOAL!$B$35:$S$45,MONTH($F1103)+6,false)*G1103*24,0)</f>
        <v>143.6024715</v>
      </c>
      <c r="O1103" s="117" t="b">
        <f t="shared" si="2"/>
        <v>1</v>
      </c>
      <c r="P1103" s="117" t="b">
        <v>1</v>
      </c>
      <c r="Q1103" s="117" t="s">
        <v>368</v>
      </c>
    </row>
    <row r="1104" hidden="1">
      <c r="A1104" s="108"/>
      <c r="B1104" s="220"/>
      <c r="C1104" s="220" t="s">
        <v>290</v>
      </c>
      <c r="D1104" s="220" t="str">
        <f>vlookup(M1104,'Página10'!A:B,2,false)</f>
        <v>INOV00001</v>
      </c>
      <c r="E1104" s="134" t="s">
        <v>110</v>
      </c>
      <c r="F1104" s="221">
        <v>45035.0</v>
      </c>
      <c r="G1104" s="222">
        <v>0.08333333333333333</v>
      </c>
      <c r="H1104" s="134" t="s">
        <v>411</v>
      </c>
      <c r="I1104" s="223" t="s">
        <v>411</v>
      </c>
      <c r="J1104" s="223" t="b">
        <f t="shared" si="1"/>
        <v>1</v>
      </c>
      <c r="K1104" s="145" t="s">
        <v>1181</v>
      </c>
      <c r="L1104" s="156"/>
      <c r="M1104" s="134" t="s">
        <v>416</v>
      </c>
      <c r="N1104" s="150">
        <f>if(and(O1104=TRUE,P1104=TRUE), VLOOKUP($E1104,PESSOAL!$B$35:$S$45,MONTH($F1104)+6,false)*G1104*24,0)</f>
        <v>143.6024715</v>
      </c>
      <c r="O1104" s="117" t="b">
        <f t="shared" si="2"/>
        <v>1</v>
      </c>
      <c r="P1104" s="117" t="b">
        <v>1</v>
      </c>
      <c r="Q1104" s="117" t="s">
        <v>368</v>
      </c>
    </row>
    <row r="1105" hidden="1">
      <c r="A1105" s="108"/>
      <c r="B1105" s="220"/>
      <c r="C1105" s="220" t="s">
        <v>52</v>
      </c>
      <c r="D1105" s="220" t="str">
        <f>vlookup(M1105,'Página10'!A:B,2,false)</f>
        <v>INOV00013</v>
      </c>
      <c r="E1105" s="134" t="s">
        <v>110</v>
      </c>
      <c r="F1105" s="221">
        <v>45035.0</v>
      </c>
      <c r="G1105" s="222">
        <v>0.0625</v>
      </c>
      <c r="H1105" s="134" t="s">
        <v>475</v>
      </c>
      <c r="I1105" s="223" t="s">
        <v>411</v>
      </c>
      <c r="J1105" s="223" t="b">
        <f t="shared" si="1"/>
        <v>0</v>
      </c>
      <c r="K1105" s="145" t="s">
        <v>1184</v>
      </c>
      <c r="L1105" s="156"/>
      <c r="M1105" s="134" t="s">
        <v>426</v>
      </c>
      <c r="N1105" s="150">
        <f>if(and(O1105=TRUE,P1105=TRUE), VLOOKUP($E1105,PESSOAL!$B$35:$S$45,MONTH($F1105)+6,false)*G1105*24,0)</f>
        <v>107.7018536</v>
      </c>
      <c r="O1105" s="117" t="b">
        <f t="shared" si="2"/>
        <v>1</v>
      </c>
      <c r="P1105" s="117" t="b">
        <v>1</v>
      </c>
      <c r="Q1105" s="117" t="s">
        <v>368</v>
      </c>
    </row>
    <row r="1106" hidden="1">
      <c r="A1106" s="108"/>
      <c r="B1106" s="220"/>
      <c r="C1106" s="220" t="s">
        <v>290</v>
      </c>
      <c r="D1106" s="220" t="str">
        <f>vlookup(M1106,'Página10'!A:B,2,false)</f>
        <v>INOV00001</v>
      </c>
      <c r="E1106" s="134" t="s">
        <v>110</v>
      </c>
      <c r="F1106" s="221">
        <v>45035.0</v>
      </c>
      <c r="G1106" s="222">
        <v>0.08333333333333333</v>
      </c>
      <c r="H1106" s="134" t="s">
        <v>411</v>
      </c>
      <c r="I1106" s="223" t="s">
        <v>411</v>
      </c>
      <c r="J1106" s="223" t="b">
        <f t="shared" si="1"/>
        <v>1</v>
      </c>
      <c r="K1106" s="145" t="s">
        <v>1193</v>
      </c>
      <c r="L1106" s="156"/>
      <c r="M1106" s="134" t="s">
        <v>416</v>
      </c>
      <c r="N1106" s="150">
        <f>if(and(O1106=TRUE,P1106=TRUE), VLOOKUP($E1106,PESSOAL!$B$35:$S$45,MONTH($F1106)+6,false)*G1106*24,0)</f>
        <v>143.6024715</v>
      </c>
      <c r="O1106" s="117" t="b">
        <f t="shared" si="2"/>
        <v>1</v>
      </c>
      <c r="P1106" s="117" t="b">
        <v>1</v>
      </c>
      <c r="Q1106" s="117" t="s">
        <v>368</v>
      </c>
    </row>
    <row r="1107" hidden="1">
      <c r="A1107" s="108"/>
      <c r="B1107" s="220"/>
      <c r="C1107" s="220" t="s">
        <v>290</v>
      </c>
      <c r="D1107" s="220" t="str">
        <f>vlookup(M1107,'Página10'!A:B,2,false)</f>
        <v>INOV00001</v>
      </c>
      <c r="E1107" s="134" t="s">
        <v>110</v>
      </c>
      <c r="F1107" s="221">
        <v>45036.0</v>
      </c>
      <c r="G1107" s="222">
        <v>0.052083333333333336</v>
      </c>
      <c r="H1107" s="134" t="s">
        <v>479</v>
      </c>
      <c r="I1107" s="223" t="s">
        <v>479</v>
      </c>
      <c r="J1107" s="223" t="b">
        <f t="shared" si="1"/>
        <v>1</v>
      </c>
      <c r="K1107" s="145" t="s">
        <v>1194</v>
      </c>
      <c r="L1107" s="156"/>
      <c r="M1107" s="134" t="s">
        <v>416</v>
      </c>
      <c r="N1107" s="150">
        <f>if(and(O1107=TRUE,P1107=TRUE), VLOOKUP($E1107,PESSOAL!$B$35:$S$45,MONTH($F1107)+6,false)*G1107*24,0)</f>
        <v>0</v>
      </c>
      <c r="O1107" s="117" t="b">
        <f t="shared" si="2"/>
        <v>0</v>
      </c>
      <c r="P1107" s="117" t="b">
        <v>1</v>
      </c>
      <c r="Q1107" s="117" t="s">
        <v>368</v>
      </c>
    </row>
    <row r="1108" hidden="1">
      <c r="A1108" s="108"/>
      <c r="B1108" s="220"/>
      <c r="C1108" s="220" t="s">
        <v>56</v>
      </c>
      <c r="D1108" s="220" t="str">
        <f>vlookup(M1108,'Página10'!A:B,2,false)</f>
        <v>INOV00021</v>
      </c>
      <c r="E1108" s="134" t="s">
        <v>110</v>
      </c>
      <c r="F1108" s="221">
        <v>45036.0</v>
      </c>
      <c r="G1108" s="222">
        <v>0.08333333333333333</v>
      </c>
      <c r="H1108" s="134" t="s">
        <v>475</v>
      </c>
      <c r="I1108" s="223" t="s">
        <v>411</v>
      </c>
      <c r="J1108" s="223" t="b">
        <f t="shared" si="1"/>
        <v>0</v>
      </c>
      <c r="K1108" s="145" t="s">
        <v>1184</v>
      </c>
      <c r="L1108" s="156"/>
      <c r="M1108" s="134" t="s">
        <v>436</v>
      </c>
      <c r="N1108" s="150">
        <f>if(and(O1108=TRUE,P1108=TRUE), VLOOKUP($E1108,PESSOAL!$B$35:$S$45,MONTH($F1108)+6,false)*G1108*24,0)</f>
        <v>143.6024715</v>
      </c>
      <c r="O1108" s="117" t="b">
        <f t="shared" si="2"/>
        <v>1</v>
      </c>
      <c r="P1108" s="117" t="b">
        <v>1</v>
      </c>
      <c r="Q1108" s="117" t="s">
        <v>368</v>
      </c>
    </row>
    <row r="1109" hidden="1">
      <c r="A1109" s="108"/>
      <c r="B1109" s="220"/>
      <c r="C1109" s="220" t="s">
        <v>290</v>
      </c>
      <c r="D1109" s="220" t="str">
        <f>vlookup(M1109,'Página10'!A:B,2,false)</f>
        <v>INOV00001</v>
      </c>
      <c r="E1109" s="134" t="s">
        <v>110</v>
      </c>
      <c r="F1109" s="221">
        <v>45036.0</v>
      </c>
      <c r="G1109" s="222">
        <v>0.041666666666666664</v>
      </c>
      <c r="H1109" s="134" t="s">
        <v>411</v>
      </c>
      <c r="I1109" s="223" t="s">
        <v>411</v>
      </c>
      <c r="J1109" s="223" t="b">
        <f t="shared" si="1"/>
        <v>1</v>
      </c>
      <c r="K1109" s="145" t="s">
        <v>1195</v>
      </c>
      <c r="L1109" s="156"/>
      <c r="M1109" s="134" t="s">
        <v>416</v>
      </c>
      <c r="N1109" s="150">
        <f>if(and(O1109=TRUE,P1109=TRUE), VLOOKUP($E1109,PESSOAL!$B$35:$S$45,MONTH($F1109)+6,false)*G1109*24,0)</f>
        <v>71.80123576</v>
      </c>
      <c r="O1109" s="117" t="b">
        <f t="shared" si="2"/>
        <v>1</v>
      </c>
      <c r="P1109" s="117" t="b">
        <v>1</v>
      </c>
      <c r="Q1109" s="117" t="s">
        <v>368</v>
      </c>
    </row>
    <row r="1110" hidden="1">
      <c r="A1110" s="108"/>
      <c r="B1110" s="220"/>
      <c r="C1110" s="220" t="s">
        <v>290</v>
      </c>
      <c r="D1110" s="220" t="str">
        <f>vlookup(M1110,'Página10'!A:B,2,false)</f>
        <v>INOV00001</v>
      </c>
      <c r="E1110" s="134" t="s">
        <v>110</v>
      </c>
      <c r="F1110" s="221">
        <v>45036.0</v>
      </c>
      <c r="G1110" s="222">
        <v>0.08333333333333333</v>
      </c>
      <c r="H1110" s="134" t="s">
        <v>411</v>
      </c>
      <c r="I1110" s="223" t="s">
        <v>411</v>
      </c>
      <c r="J1110" s="223" t="b">
        <f t="shared" si="1"/>
        <v>1</v>
      </c>
      <c r="K1110" s="145" t="s">
        <v>1181</v>
      </c>
      <c r="L1110" s="156"/>
      <c r="M1110" s="134" t="s">
        <v>416</v>
      </c>
      <c r="N1110" s="150">
        <f>if(and(O1110=TRUE,P1110=TRUE), VLOOKUP($E1110,PESSOAL!$B$35:$S$45,MONTH($F1110)+6,false)*G1110*24,0)</f>
        <v>143.6024715</v>
      </c>
      <c r="O1110" s="117" t="b">
        <f t="shared" si="2"/>
        <v>1</v>
      </c>
      <c r="P1110" s="117" t="b">
        <v>1</v>
      </c>
      <c r="Q1110" s="117" t="s">
        <v>368</v>
      </c>
    </row>
    <row r="1111" hidden="1">
      <c r="A1111" s="108"/>
      <c r="B1111" s="220"/>
      <c r="C1111" s="220" t="s">
        <v>290</v>
      </c>
      <c r="D1111" s="220" t="str">
        <f>vlookup(M1111,'Página10'!A:B,2,false)</f>
        <v>INOV00001</v>
      </c>
      <c r="E1111" s="134" t="s">
        <v>110</v>
      </c>
      <c r="F1111" s="221">
        <v>45040.0</v>
      </c>
      <c r="G1111" s="222">
        <v>0.09375</v>
      </c>
      <c r="H1111" s="134" t="s">
        <v>411</v>
      </c>
      <c r="I1111" s="223" t="s">
        <v>411</v>
      </c>
      <c r="J1111" s="223" t="b">
        <f t="shared" si="1"/>
        <v>1</v>
      </c>
      <c r="K1111" s="145" t="s">
        <v>1181</v>
      </c>
      <c r="L1111" s="156"/>
      <c r="M1111" s="134" t="s">
        <v>416</v>
      </c>
      <c r="N1111" s="150">
        <f>if(and(O1111=TRUE,P1111=TRUE), VLOOKUP($E1111,PESSOAL!$B$35:$S$45,MONTH($F1111)+6,false)*G1111*24,0)</f>
        <v>161.5527805</v>
      </c>
      <c r="O1111" s="117" t="b">
        <f t="shared" si="2"/>
        <v>1</v>
      </c>
      <c r="P1111" s="117" t="b">
        <v>1</v>
      </c>
      <c r="Q1111" s="117" t="s">
        <v>368</v>
      </c>
    </row>
    <row r="1112" hidden="1">
      <c r="A1112" s="108"/>
      <c r="B1112" s="220"/>
      <c r="C1112" s="220" t="s">
        <v>290</v>
      </c>
      <c r="D1112" s="220" t="str">
        <f>vlookup(M1112,'Página10'!A:B,2,false)</f>
        <v>INOV00001</v>
      </c>
      <c r="E1112" s="134" t="s">
        <v>110</v>
      </c>
      <c r="F1112" s="221">
        <v>45040.0</v>
      </c>
      <c r="G1112" s="222">
        <v>0.08333333333333333</v>
      </c>
      <c r="H1112" s="134" t="s">
        <v>475</v>
      </c>
      <c r="I1112" s="223" t="s">
        <v>475</v>
      </c>
      <c r="J1112" s="223" t="b">
        <f t="shared" si="1"/>
        <v>1</v>
      </c>
      <c r="K1112" s="145" t="s">
        <v>1178</v>
      </c>
      <c r="L1112" s="156"/>
      <c r="M1112" s="134" t="s">
        <v>416</v>
      </c>
      <c r="N1112" s="150">
        <f>if(and(O1112=TRUE,P1112=TRUE), VLOOKUP($E1112,PESSOAL!$B$35:$S$45,MONTH($F1112)+6,false)*G1112*24,0)</f>
        <v>143.6024715</v>
      </c>
      <c r="O1112" s="117" t="b">
        <f t="shared" si="2"/>
        <v>1</v>
      </c>
      <c r="P1112" s="117" t="b">
        <v>1</v>
      </c>
      <c r="Q1112" s="117" t="s">
        <v>368</v>
      </c>
    </row>
    <row r="1113" hidden="1">
      <c r="A1113" s="108"/>
      <c r="B1113" s="220"/>
      <c r="C1113" s="220" t="s">
        <v>56</v>
      </c>
      <c r="D1113" s="220" t="str">
        <f>vlookup(M1113,'Página10'!A:B,2,false)</f>
        <v>INOV00021</v>
      </c>
      <c r="E1113" s="134" t="s">
        <v>110</v>
      </c>
      <c r="F1113" s="221">
        <v>45040.0</v>
      </c>
      <c r="G1113" s="222">
        <v>0.0625</v>
      </c>
      <c r="H1113" s="134" t="s">
        <v>475</v>
      </c>
      <c r="I1113" s="223" t="s">
        <v>475</v>
      </c>
      <c r="J1113" s="223" t="b">
        <f t="shared" si="1"/>
        <v>1</v>
      </c>
      <c r="K1113" s="145" t="s">
        <v>1196</v>
      </c>
      <c r="L1113" s="156"/>
      <c r="M1113" s="134" t="s">
        <v>436</v>
      </c>
      <c r="N1113" s="150">
        <f>if(and(O1113=TRUE,P1113=TRUE), VLOOKUP($E1113,PESSOAL!$B$35:$S$45,MONTH($F1113)+6,false)*G1113*24,0)</f>
        <v>107.7018536</v>
      </c>
      <c r="O1113" s="117" t="b">
        <f t="shared" si="2"/>
        <v>1</v>
      </c>
      <c r="P1113" s="117" t="b">
        <v>1</v>
      </c>
      <c r="Q1113" s="117" t="s">
        <v>368</v>
      </c>
    </row>
    <row r="1114" hidden="1">
      <c r="A1114" s="108"/>
      <c r="B1114" s="220"/>
      <c r="C1114" s="220" t="s">
        <v>290</v>
      </c>
      <c r="D1114" s="220" t="str">
        <f>vlookup(M1114,'Página10'!A:B,2,false)</f>
        <v>INOV00001</v>
      </c>
      <c r="E1114" s="134" t="s">
        <v>110</v>
      </c>
      <c r="F1114" s="221">
        <v>45041.0</v>
      </c>
      <c r="G1114" s="222">
        <v>0.052083333333333336</v>
      </c>
      <c r="H1114" s="134" t="s">
        <v>411</v>
      </c>
      <c r="I1114" s="223" t="s">
        <v>411</v>
      </c>
      <c r="J1114" s="223" t="b">
        <f t="shared" si="1"/>
        <v>1</v>
      </c>
      <c r="K1114" s="145" t="s">
        <v>1181</v>
      </c>
      <c r="L1114" s="156"/>
      <c r="M1114" s="134" t="s">
        <v>416</v>
      </c>
      <c r="N1114" s="150">
        <f>if(and(O1114=TRUE,P1114=TRUE), VLOOKUP($E1114,PESSOAL!$B$35:$S$45,MONTH($F1114)+6,false)*G1114*24,0)</f>
        <v>89.7515447</v>
      </c>
      <c r="O1114" s="117" t="b">
        <f t="shared" si="2"/>
        <v>1</v>
      </c>
      <c r="P1114" s="117" t="b">
        <v>1</v>
      </c>
      <c r="Q1114" s="117" t="s">
        <v>368</v>
      </c>
    </row>
    <row r="1115" hidden="1">
      <c r="A1115" s="108"/>
      <c r="B1115" s="220"/>
      <c r="C1115" s="220" t="s">
        <v>56</v>
      </c>
      <c r="D1115" s="220" t="str">
        <f>vlookup(M1115,'Página10'!A:B,2,false)</f>
        <v>INOV00021</v>
      </c>
      <c r="E1115" s="134" t="s">
        <v>110</v>
      </c>
      <c r="F1115" s="221">
        <v>45041.0</v>
      </c>
      <c r="G1115" s="222">
        <v>0.03125</v>
      </c>
      <c r="H1115" s="134" t="s">
        <v>411</v>
      </c>
      <c r="I1115" s="223" t="s">
        <v>411</v>
      </c>
      <c r="J1115" s="223" t="b">
        <f t="shared" si="1"/>
        <v>1</v>
      </c>
      <c r="K1115" s="145" t="s">
        <v>1197</v>
      </c>
      <c r="L1115" s="156"/>
      <c r="M1115" s="134" t="s">
        <v>436</v>
      </c>
      <c r="N1115" s="150">
        <f>if(and(O1115=TRUE,P1115=TRUE), VLOOKUP($E1115,PESSOAL!$B$35:$S$45,MONTH($F1115)+6,false)*G1115*24,0)</f>
        <v>53.85092682</v>
      </c>
      <c r="O1115" s="117" t="b">
        <f t="shared" si="2"/>
        <v>1</v>
      </c>
      <c r="P1115" s="117" t="b">
        <v>1</v>
      </c>
      <c r="Q1115" s="117" t="s">
        <v>368</v>
      </c>
    </row>
    <row r="1116" hidden="1">
      <c r="A1116" s="108"/>
      <c r="B1116" s="220"/>
      <c r="C1116" s="220" t="s">
        <v>290</v>
      </c>
      <c r="D1116" s="220" t="str">
        <f>vlookup(M1116,'Página10'!A:B,2,false)</f>
        <v>INOV00001</v>
      </c>
      <c r="E1116" s="134" t="s">
        <v>110</v>
      </c>
      <c r="F1116" s="221">
        <v>45041.0</v>
      </c>
      <c r="G1116" s="222">
        <v>0.08333333333333333</v>
      </c>
      <c r="H1116" s="134" t="s">
        <v>411</v>
      </c>
      <c r="I1116" s="223" t="s">
        <v>411</v>
      </c>
      <c r="J1116" s="223" t="b">
        <f t="shared" si="1"/>
        <v>1</v>
      </c>
      <c r="K1116" s="145" t="s">
        <v>1198</v>
      </c>
      <c r="L1116" s="156"/>
      <c r="M1116" s="134" t="s">
        <v>416</v>
      </c>
      <c r="N1116" s="150">
        <f>if(and(O1116=TRUE,P1116=TRUE), VLOOKUP($E1116,PESSOAL!$B$35:$S$45,MONTH($F1116)+6,false)*G1116*24,0)</f>
        <v>143.6024715</v>
      </c>
      <c r="O1116" s="117" t="b">
        <f t="shared" si="2"/>
        <v>1</v>
      </c>
      <c r="P1116" s="117" t="b">
        <v>1</v>
      </c>
      <c r="Q1116" s="117" t="s">
        <v>368</v>
      </c>
    </row>
    <row r="1117" hidden="1">
      <c r="A1117" s="108"/>
      <c r="B1117" s="220"/>
      <c r="C1117" s="220" t="s">
        <v>69</v>
      </c>
      <c r="D1117" s="220" t="str">
        <f>vlookup(M1117,'Página10'!A:B,2,false)</f>
        <v>INOV00041</v>
      </c>
      <c r="E1117" s="134" t="s">
        <v>110</v>
      </c>
      <c r="F1117" s="221">
        <v>45041.0</v>
      </c>
      <c r="G1117" s="222">
        <v>0.041666666666666664</v>
      </c>
      <c r="H1117" s="134" t="s">
        <v>475</v>
      </c>
      <c r="I1117" s="223" t="s">
        <v>411</v>
      </c>
      <c r="J1117" s="223" t="b">
        <f t="shared" si="1"/>
        <v>0</v>
      </c>
      <c r="K1117" s="145" t="s">
        <v>1180</v>
      </c>
      <c r="L1117" s="156"/>
      <c r="M1117" s="134" t="s">
        <v>463</v>
      </c>
      <c r="N1117" s="224">
        <v>0.0</v>
      </c>
      <c r="O1117" s="117" t="b">
        <f t="shared" si="2"/>
        <v>1</v>
      </c>
      <c r="P1117" s="117" t="b">
        <v>1</v>
      </c>
      <c r="Q1117" s="117" t="s">
        <v>368</v>
      </c>
    </row>
    <row r="1118" hidden="1">
      <c r="A1118" s="108"/>
      <c r="B1118" s="220"/>
      <c r="C1118" s="220" t="s">
        <v>56</v>
      </c>
      <c r="D1118" s="220" t="str">
        <f>vlookup(M1118,'Página10'!A:B,2,false)</f>
        <v>INOV00021</v>
      </c>
      <c r="E1118" s="134" t="s">
        <v>110</v>
      </c>
      <c r="F1118" s="221">
        <v>45042.0</v>
      </c>
      <c r="G1118" s="222">
        <v>0.041666666666666664</v>
      </c>
      <c r="H1118" s="134" t="s">
        <v>475</v>
      </c>
      <c r="I1118" s="223" t="s">
        <v>475</v>
      </c>
      <c r="J1118" s="223" t="b">
        <f t="shared" si="1"/>
        <v>1</v>
      </c>
      <c r="K1118" s="145" t="s">
        <v>1191</v>
      </c>
      <c r="L1118" s="156"/>
      <c r="M1118" s="134" t="s">
        <v>436</v>
      </c>
      <c r="N1118" s="150">
        <f>if(and(O1118=TRUE,P1118=TRUE), VLOOKUP($E1118,PESSOAL!$B$35:$S$45,MONTH($F1118)+6,false)*G1118*24,0)</f>
        <v>71.80123576</v>
      </c>
      <c r="O1118" s="117" t="b">
        <f t="shared" si="2"/>
        <v>1</v>
      </c>
      <c r="P1118" s="117" t="b">
        <v>1</v>
      </c>
      <c r="Q1118" s="117" t="s">
        <v>368</v>
      </c>
    </row>
    <row r="1119" hidden="1">
      <c r="A1119" s="108"/>
      <c r="B1119" s="220"/>
      <c r="C1119" s="220" t="s">
        <v>56</v>
      </c>
      <c r="D1119" s="220" t="str">
        <f>vlookup(M1119,'Página10'!A:B,2,false)</f>
        <v>INOV00021</v>
      </c>
      <c r="E1119" s="134" t="s">
        <v>110</v>
      </c>
      <c r="F1119" s="221">
        <v>45042.0</v>
      </c>
      <c r="G1119" s="222">
        <v>0.08333333333333333</v>
      </c>
      <c r="H1119" s="134" t="s">
        <v>411</v>
      </c>
      <c r="I1119" s="223" t="s">
        <v>411</v>
      </c>
      <c r="J1119" s="223" t="b">
        <f t="shared" si="1"/>
        <v>1</v>
      </c>
      <c r="K1119" s="145" t="s">
        <v>1173</v>
      </c>
      <c r="L1119" s="156"/>
      <c r="M1119" s="134" t="s">
        <v>436</v>
      </c>
      <c r="N1119" s="150">
        <f>if(and(O1119=TRUE,P1119=TRUE), VLOOKUP($E1119,PESSOAL!$B$35:$S$45,MONTH($F1119)+6,false)*G1119*24,0)</f>
        <v>143.6024715</v>
      </c>
      <c r="O1119" s="117" t="b">
        <f t="shared" si="2"/>
        <v>1</v>
      </c>
      <c r="P1119" s="117" t="b">
        <v>1</v>
      </c>
      <c r="Q1119" s="117" t="s">
        <v>368</v>
      </c>
    </row>
    <row r="1120" hidden="1">
      <c r="A1120" s="108"/>
      <c r="B1120" s="220"/>
      <c r="C1120" s="220" t="s">
        <v>52</v>
      </c>
      <c r="D1120" s="220" t="str">
        <f>vlookup(M1120,'Página10'!A:B,2,false)</f>
        <v>INOV00013</v>
      </c>
      <c r="E1120" s="134" t="s">
        <v>110</v>
      </c>
      <c r="F1120" s="221">
        <v>45042.0</v>
      </c>
      <c r="G1120" s="222">
        <v>0.20833333333333334</v>
      </c>
      <c r="H1120" s="134" t="s">
        <v>475</v>
      </c>
      <c r="I1120" s="223" t="s">
        <v>475</v>
      </c>
      <c r="J1120" s="223" t="b">
        <f t="shared" si="1"/>
        <v>1</v>
      </c>
      <c r="K1120" s="145" t="s">
        <v>1199</v>
      </c>
      <c r="L1120" s="156"/>
      <c r="M1120" s="134" t="s">
        <v>426</v>
      </c>
      <c r="N1120" s="150">
        <f>if(and(O1120=TRUE,P1120=TRUE), VLOOKUP($E1120,PESSOAL!$B$35:$S$45,MONTH($F1120)+6,false)*G1120*24,0)</f>
        <v>359.0061788</v>
      </c>
      <c r="O1120" s="117" t="b">
        <f t="shared" si="2"/>
        <v>1</v>
      </c>
      <c r="P1120" s="117" t="b">
        <v>1</v>
      </c>
      <c r="Q1120" s="117" t="s">
        <v>368</v>
      </c>
    </row>
    <row r="1121" hidden="1">
      <c r="A1121" s="108"/>
      <c r="B1121" s="220"/>
      <c r="C1121" s="220" t="s">
        <v>290</v>
      </c>
      <c r="D1121" s="220" t="str">
        <f>vlookup(M1121,'Página10'!A:B,2,false)</f>
        <v>INOV00001</v>
      </c>
      <c r="E1121" s="134" t="s">
        <v>110</v>
      </c>
      <c r="F1121" s="221">
        <v>45042.0</v>
      </c>
      <c r="G1121" s="222">
        <v>0.0625</v>
      </c>
      <c r="H1121" s="134" t="s">
        <v>411</v>
      </c>
      <c r="I1121" s="223" t="s">
        <v>411</v>
      </c>
      <c r="J1121" s="223" t="b">
        <f t="shared" si="1"/>
        <v>1</v>
      </c>
      <c r="K1121" s="145" t="s">
        <v>1181</v>
      </c>
      <c r="L1121" s="156"/>
      <c r="M1121" s="134" t="s">
        <v>416</v>
      </c>
      <c r="N1121" s="150">
        <f>if(and(O1121=TRUE,P1121=TRUE), VLOOKUP($E1121,PESSOAL!$B$35:$S$45,MONTH($F1121)+6,false)*G1121*24,0)</f>
        <v>107.7018536</v>
      </c>
      <c r="O1121" s="117" t="b">
        <f t="shared" si="2"/>
        <v>1</v>
      </c>
      <c r="P1121" s="117" t="b">
        <v>1</v>
      </c>
      <c r="Q1121" s="117" t="s">
        <v>368</v>
      </c>
    </row>
    <row r="1122" hidden="1">
      <c r="A1122" s="108"/>
      <c r="B1122" s="220"/>
      <c r="C1122" s="220" t="s">
        <v>290</v>
      </c>
      <c r="D1122" s="220" t="str">
        <f>vlookup(M1122,'Página10'!A:B,2,false)</f>
        <v>INOV00001</v>
      </c>
      <c r="E1122" s="134" t="s">
        <v>110</v>
      </c>
      <c r="F1122" s="221">
        <v>45043.0</v>
      </c>
      <c r="G1122" s="222">
        <v>0.15625</v>
      </c>
      <c r="H1122" s="134" t="s">
        <v>475</v>
      </c>
      <c r="I1122" s="223" t="s">
        <v>475</v>
      </c>
      <c r="J1122" s="223" t="b">
        <f t="shared" si="1"/>
        <v>1</v>
      </c>
      <c r="K1122" s="145" t="s">
        <v>1200</v>
      </c>
      <c r="L1122" s="156"/>
      <c r="M1122" s="134" t="s">
        <v>416</v>
      </c>
      <c r="N1122" s="150">
        <f>if(and(O1122=TRUE,P1122=TRUE), VLOOKUP($E1122,PESSOAL!$B$35:$S$45,MONTH($F1122)+6,false)*G1122*24,0)</f>
        <v>269.2546341</v>
      </c>
      <c r="O1122" s="117" t="b">
        <f t="shared" si="2"/>
        <v>1</v>
      </c>
      <c r="P1122" s="117" t="b">
        <v>1</v>
      </c>
      <c r="Q1122" s="117" t="s">
        <v>368</v>
      </c>
    </row>
    <row r="1123" hidden="1">
      <c r="A1123" s="108"/>
      <c r="B1123" s="220"/>
      <c r="C1123" s="220" t="s">
        <v>290</v>
      </c>
      <c r="D1123" s="220" t="str">
        <f>vlookup(M1123,'Página10'!A:B,2,false)</f>
        <v>INOV00001</v>
      </c>
      <c r="E1123" s="134" t="s">
        <v>110</v>
      </c>
      <c r="F1123" s="221">
        <v>45043.0</v>
      </c>
      <c r="G1123" s="222">
        <v>0.10416666666666667</v>
      </c>
      <c r="H1123" s="134" t="s">
        <v>411</v>
      </c>
      <c r="I1123" s="223" t="s">
        <v>411</v>
      </c>
      <c r="J1123" s="223" t="b">
        <f t="shared" si="1"/>
        <v>1</v>
      </c>
      <c r="K1123" s="145" t="s">
        <v>1201</v>
      </c>
      <c r="L1123" s="156"/>
      <c r="M1123" s="134" t="s">
        <v>416</v>
      </c>
      <c r="N1123" s="150">
        <f>if(and(O1123=TRUE,P1123=TRUE), VLOOKUP($E1123,PESSOAL!$B$35:$S$45,MONTH($F1123)+6,false)*G1123*24,0)</f>
        <v>179.5030894</v>
      </c>
      <c r="O1123" s="117" t="b">
        <f t="shared" si="2"/>
        <v>1</v>
      </c>
      <c r="P1123" s="117" t="b">
        <v>1</v>
      </c>
      <c r="Q1123" s="117" t="s">
        <v>368</v>
      </c>
    </row>
    <row r="1124" hidden="1">
      <c r="A1124" s="108"/>
      <c r="B1124" s="220"/>
      <c r="C1124" s="220" t="s">
        <v>290</v>
      </c>
      <c r="D1124" s="220" t="str">
        <f>vlookup(M1124,'Página10'!A:B,2,false)</f>
        <v>INOV00001</v>
      </c>
      <c r="E1124" s="134" t="s">
        <v>110</v>
      </c>
      <c r="F1124" s="221">
        <v>45044.0</v>
      </c>
      <c r="G1124" s="222">
        <v>0.09375</v>
      </c>
      <c r="H1124" s="134" t="s">
        <v>475</v>
      </c>
      <c r="I1124" s="223" t="s">
        <v>475</v>
      </c>
      <c r="J1124" s="223" t="b">
        <f t="shared" si="1"/>
        <v>1</v>
      </c>
      <c r="K1124" s="145" t="s">
        <v>1202</v>
      </c>
      <c r="L1124" s="156"/>
      <c r="M1124" s="134" t="s">
        <v>416</v>
      </c>
      <c r="N1124" s="150">
        <f>if(and(O1124=TRUE,P1124=TRUE), VLOOKUP($E1124,PESSOAL!$B$35:$S$45,MONTH($F1124)+6,false)*G1124*24,0)</f>
        <v>161.5527805</v>
      </c>
      <c r="O1124" s="117" t="b">
        <f t="shared" si="2"/>
        <v>1</v>
      </c>
      <c r="P1124" s="117" t="b">
        <v>1</v>
      </c>
      <c r="Q1124" s="117" t="s">
        <v>368</v>
      </c>
    </row>
    <row r="1125" hidden="1">
      <c r="A1125" s="108"/>
      <c r="B1125" s="220"/>
      <c r="C1125" s="220" t="s">
        <v>56</v>
      </c>
      <c r="D1125" s="220" t="str">
        <f>vlookup(M1125,'Página10'!A:B,2,false)</f>
        <v>INOV00021</v>
      </c>
      <c r="E1125" s="134" t="s">
        <v>110</v>
      </c>
      <c r="F1125" s="221">
        <v>45044.0</v>
      </c>
      <c r="G1125" s="222">
        <v>0.041666666666666664</v>
      </c>
      <c r="H1125" s="134" t="s">
        <v>411</v>
      </c>
      <c r="I1125" s="223" t="s">
        <v>411</v>
      </c>
      <c r="J1125" s="223" t="b">
        <f t="shared" si="1"/>
        <v>1</v>
      </c>
      <c r="K1125" s="145" t="s">
        <v>1173</v>
      </c>
      <c r="L1125" s="156"/>
      <c r="M1125" s="134" t="s">
        <v>436</v>
      </c>
      <c r="N1125" s="150">
        <f>if(and(O1125=TRUE,P1125=TRUE), VLOOKUP($E1125,PESSOAL!$B$35:$S$45,MONTH($F1125)+6,false)*G1125*24,0)</f>
        <v>71.80123576</v>
      </c>
      <c r="O1125" s="117" t="b">
        <f t="shared" si="2"/>
        <v>1</v>
      </c>
      <c r="P1125" s="117" t="b">
        <v>1</v>
      </c>
      <c r="Q1125" s="117" t="s">
        <v>368</v>
      </c>
    </row>
    <row r="1126" hidden="1">
      <c r="A1126" s="108"/>
      <c r="B1126" s="220"/>
      <c r="C1126" s="220" t="s">
        <v>52</v>
      </c>
      <c r="D1126" s="220" t="str">
        <f>vlookup(M1126,'Página10'!A:B,2,false)</f>
        <v>INOV00013</v>
      </c>
      <c r="E1126" s="134" t="s">
        <v>110</v>
      </c>
      <c r="F1126" s="221">
        <v>45044.0</v>
      </c>
      <c r="G1126" s="222">
        <v>0.10416666666666667</v>
      </c>
      <c r="H1126" s="134" t="s">
        <v>411</v>
      </c>
      <c r="I1126" s="223" t="s">
        <v>411</v>
      </c>
      <c r="J1126" s="223" t="b">
        <f t="shared" si="1"/>
        <v>1</v>
      </c>
      <c r="K1126" s="145" t="s">
        <v>1203</v>
      </c>
      <c r="L1126" s="156"/>
      <c r="M1126" s="134" t="s">
        <v>426</v>
      </c>
      <c r="N1126" s="150">
        <f>if(and(O1126=TRUE,P1126=TRUE), VLOOKUP($E1126,PESSOAL!$B$35:$S$45,MONTH($F1126)+6,false)*G1126*24,0)</f>
        <v>179.5030894</v>
      </c>
      <c r="O1126" s="117" t="b">
        <f t="shared" si="2"/>
        <v>1</v>
      </c>
      <c r="P1126" s="117" t="b">
        <v>1</v>
      </c>
      <c r="Q1126" s="117" t="s">
        <v>368</v>
      </c>
    </row>
    <row r="1127" hidden="1">
      <c r="A1127" s="108"/>
      <c r="B1127" s="220"/>
      <c r="C1127" s="220" t="s">
        <v>290</v>
      </c>
      <c r="D1127" s="220" t="str">
        <f>vlookup(M1127,'Página10'!A:B,2,false)</f>
        <v>INOV00001</v>
      </c>
      <c r="E1127" s="134" t="s">
        <v>110</v>
      </c>
      <c r="F1127" s="221">
        <v>45044.0</v>
      </c>
      <c r="G1127" s="222">
        <v>0.041666666666666664</v>
      </c>
      <c r="H1127" s="134" t="s">
        <v>475</v>
      </c>
      <c r="I1127" s="223" t="s">
        <v>475</v>
      </c>
      <c r="J1127" s="223" t="b">
        <f t="shared" si="1"/>
        <v>1</v>
      </c>
      <c r="K1127" s="145" t="s">
        <v>1178</v>
      </c>
      <c r="L1127" s="156"/>
      <c r="M1127" s="134" t="s">
        <v>416</v>
      </c>
      <c r="N1127" s="150">
        <f>if(and(O1127=TRUE,P1127=TRUE), VLOOKUP($E1127,PESSOAL!$B$35:$S$45,MONTH($F1127)+6,false)*G1127*24,0)</f>
        <v>71.80123576</v>
      </c>
      <c r="O1127" s="117" t="b">
        <f t="shared" si="2"/>
        <v>1</v>
      </c>
      <c r="P1127" s="117" t="b">
        <v>1</v>
      </c>
      <c r="Q1127" s="117" t="s">
        <v>368</v>
      </c>
    </row>
    <row r="1128" hidden="1">
      <c r="A1128" s="108"/>
      <c r="B1128" s="220"/>
      <c r="C1128" s="220" t="s">
        <v>290</v>
      </c>
      <c r="D1128" s="220" t="str">
        <f>vlookup(M1128,'Página10'!A:B,2,false)</f>
        <v>INOV00001</v>
      </c>
      <c r="E1128" s="134" t="s">
        <v>110</v>
      </c>
      <c r="F1128" s="221">
        <v>45048.0</v>
      </c>
      <c r="G1128" s="222">
        <v>0.041666666666666664</v>
      </c>
      <c r="H1128" s="134" t="s">
        <v>475</v>
      </c>
      <c r="I1128" s="223" t="s">
        <v>475</v>
      </c>
      <c r="J1128" s="223" t="b">
        <f t="shared" si="1"/>
        <v>1</v>
      </c>
      <c r="K1128" s="145" t="s">
        <v>1178</v>
      </c>
      <c r="L1128" s="156"/>
      <c r="M1128" s="134" t="s">
        <v>416</v>
      </c>
      <c r="N1128" s="150">
        <f>if(and(O1128=TRUE,P1128=TRUE), VLOOKUP($E1128,PESSOAL!$B$35:$S$45,MONTH($F1128)+6,false)*G1128*24,0)</f>
        <v>61.3900474</v>
      </c>
      <c r="O1128" s="117" t="b">
        <f t="shared" si="2"/>
        <v>1</v>
      </c>
      <c r="P1128" s="117" t="b">
        <v>1</v>
      </c>
      <c r="Q1128" s="117" t="s">
        <v>368</v>
      </c>
    </row>
    <row r="1129" hidden="1">
      <c r="A1129" s="108"/>
      <c r="B1129" s="220"/>
      <c r="C1129" s="220" t="s">
        <v>56</v>
      </c>
      <c r="D1129" s="220" t="str">
        <f>vlookup(M1129,'Página10'!A:B,2,false)</f>
        <v>INOV00021</v>
      </c>
      <c r="E1129" s="134" t="s">
        <v>110</v>
      </c>
      <c r="F1129" s="221">
        <v>45048.0</v>
      </c>
      <c r="G1129" s="222">
        <v>0.041666666666666664</v>
      </c>
      <c r="H1129" s="134" t="s">
        <v>411</v>
      </c>
      <c r="I1129" s="223" t="s">
        <v>411</v>
      </c>
      <c r="J1129" s="223" t="b">
        <f t="shared" si="1"/>
        <v>1</v>
      </c>
      <c r="K1129" s="145" t="s">
        <v>1204</v>
      </c>
      <c r="L1129" s="156"/>
      <c r="M1129" s="134" t="s">
        <v>436</v>
      </c>
      <c r="N1129" s="150">
        <f>if(and(O1129=TRUE,P1129=TRUE), VLOOKUP($E1129,PESSOAL!$B$35:$S$45,MONTH($F1129)+6,false)*G1129*24,0)</f>
        <v>61.3900474</v>
      </c>
      <c r="O1129" s="117" t="b">
        <f t="shared" si="2"/>
        <v>1</v>
      </c>
      <c r="P1129" s="117" t="b">
        <v>1</v>
      </c>
      <c r="Q1129" s="117" t="s">
        <v>368</v>
      </c>
    </row>
    <row r="1130" hidden="1">
      <c r="A1130" s="108"/>
      <c r="B1130" s="220"/>
      <c r="C1130" s="220" t="s">
        <v>58</v>
      </c>
      <c r="D1130" s="220" t="str">
        <f>vlookup(M1130,'Página10'!A:B,2,false)</f>
        <v>INOV00023</v>
      </c>
      <c r="E1130" s="134" t="s">
        <v>110</v>
      </c>
      <c r="F1130" s="221">
        <v>45048.0</v>
      </c>
      <c r="G1130" s="222">
        <v>0.0625</v>
      </c>
      <c r="H1130" s="134" t="s">
        <v>411</v>
      </c>
      <c r="I1130" s="223" t="s">
        <v>411</v>
      </c>
      <c r="J1130" s="223" t="b">
        <f t="shared" si="1"/>
        <v>1</v>
      </c>
      <c r="K1130" s="145" t="s">
        <v>1205</v>
      </c>
      <c r="L1130" s="156"/>
      <c r="M1130" s="134" t="s">
        <v>438</v>
      </c>
      <c r="N1130" s="150">
        <f>if(and(O1130=TRUE,P1130=TRUE), VLOOKUP($E1130,PESSOAL!$B$35:$S$45,MONTH($F1130)+6,false)*G1130*24,0)</f>
        <v>92.08507109</v>
      </c>
      <c r="O1130" s="117" t="b">
        <f t="shared" si="2"/>
        <v>1</v>
      </c>
      <c r="P1130" s="117" t="b">
        <v>1</v>
      </c>
      <c r="Q1130" s="117" t="s">
        <v>368</v>
      </c>
    </row>
    <row r="1131" hidden="1">
      <c r="A1131" s="108"/>
      <c r="B1131" s="220"/>
      <c r="C1131" s="220" t="s">
        <v>290</v>
      </c>
      <c r="D1131" s="220" t="str">
        <f>vlookup(M1131,'Página10'!A:B,2,false)</f>
        <v>INOV00001</v>
      </c>
      <c r="E1131" s="134" t="s">
        <v>110</v>
      </c>
      <c r="F1131" s="221">
        <v>45048.0</v>
      </c>
      <c r="G1131" s="222">
        <v>0.14583333333333334</v>
      </c>
      <c r="H1131" s="134" t="s">
        <v>411</v>
      </c>
      <c r="I1131" s="223" t="s">
        <v>411</v>
      </c>
      <c r="J1131" s="223" t="b">
        <f t="shared" si="1"/>
        <v>1</v>
      </c>
      <c r="K1131" s="145" t="s">
        <v>1206</v>
      </c>
      <c r="L1131" s="156"/>
      <c r="M1131" s="134" t="s">
        <v>416</v>
      </c>
      <c r="N1131" s="150">
        <f>if(and(O1131=TRUE,P1131=TRUE), VLOOKUP($E1131,PESSOAL!$B$35:$S$45,MONTH($F1131)+6,false)*G1131*24,0)</f>
        <v>214.8651659</v>
      </c>
      <c r="O1131" s="117" t="b">
        <f t="shared" si="2"/>
        <v>1</v>
      </c>
      <c r="P1131" s="117" t="b">
        <v>1</v>
      </c>
      <c r="Q1131" s="117" t="s">
        <v>368</v>
      </c>
    </row>
    <row r="1132" hidden="1">
      <c r="A1132" s="108"/>
      <c r="B1132" s="220"/>
      <c r="C1132" s="220" t="s">
        <v>290</v>
      </c>
      <c r="D1132" s="220" t="str">
        <f>vlookup(M1132,'Página10'!A:B,2,false)</f>
        <v>INOV00001</v>
      </c>
      <c r="E1132" s="134" t="s">
        <v>110</v>
      </c>
      <c r="F1132" s="221">
        <v>45049.0</v>
      </c>
      <c r="G1132" s="222">
        <v>0.09375</v>
      </c>
      <c r="H1132" s="134" t="s">
        <v>411</v>
      </c>
      <c r="I1132" s="223" t="s">
        <v>411</v>
      </c>
      <c r="J1132" s="223" t="b">
        <f t="shared" si="1"/>
        <v>1</v>
      </c>
      <c r="K1132" s="145" t="s">
        <v>1198</v>
      </c>
      <c r="L1132" s="156"/>
      <c r="M1132" s="134" t="s">
        <v>416</v>
      </c>
      <c r="N1132" s="150">
        <f>if(and(O1132=TRUE,P1132=TRUE), VLOOKUP($E1132,PESSOAL!$B$35:$S$45,MONTH($F1132)+6,false)*G1132*24,0)</f>
        <v>138.1276066</v>
      </c>
      <c r="O1132" s="117" t="b">
        <f t="shared" si="2"/>
        <v>1</v>
      </c>
      <c r="P1132" s="117" t="b">
        <v>1</v>
      </c>
      <c r="Q1132" s="117" t="s">
        <v>368</v>
      </c>
    </row>
    <row r="1133" hidden="1">
      <c r="A1133" s="108"/>
      <c r="B1133" s="220"/>
      <c r="C1133" s="220" t="s">
        <v>54</v>
      </c>
      <c r="D1133" s="220" t="str">
        <f>vlookup(M1133,'Página10'!A:B,2,false)</f>
        <v>INOV00016</v>
      </c>
      <c r="E1133" s="134" t="s">
        <v>110</v>
      </c>
      <c r="F1133" s="221">
        <v>45049.0</v>
      </c>
      <c r="G1133" s="222">
        <v>0.020833333333333332</v>
      </c>
      <c r="H1133" s="134" t="s">
        <v>479</v>
      </c>
      <c r="I1133" s="223" t="s">
        <v>479</v>
      </c>
      <c r="J1133" s="223" t="b">
        <f t="shared" si="1"/>
        <v>1</v>
      </c>
      <c r="K1133" s="145" t="s">
        <v>1207</v>
      </c>
      <c r="L1133" s="156"/>
      <c r="M1133" s="134" t="s">
        <v>428</v>
      </c>
      <c r="N1133" s="150">
        <f>if(and(O1133=TRUE,P1133=TRUE), VLOOKUP($E1133,PESSOAL!$B$35:$S$45,MONTH($F1133)+6,false)*G1133*24,0)</f>
        <v>0</v>
      </c>
      <c r="O1133" s="117" t="b">
        <f t="shared" si="2"/>
        <v>0</v>
      </c>
      <c r="P1133" s="117" t="b">
        <v>1</v>
      </c>
      <c r="Q1133" s="117" t="s">
        <v>368</v>
      </c>
    </row>
    <row r="1134" hidden="1">
      <c r="A1134" s="108"/>
      <c r="B1134" s="220"/>
      <c r="C1134" s="220" t="s">
        <v>52</v>
      </c>
      <c r="D1134" s="220" t="str">
        <f>vlookup(M1134,'Página10'!A:B,2,false)</f>
        <v>INOV00013</v>
      </c>
      <c r="E1134" s="134" t="s">
        <v>110</v>
      </c>
      <c r="F1134" s="221">
        <v>45049.0</v>
      </c>
      <c r="G1134" s="222">
        <v>0.10416666666666667</v>
      </c>
      <c r="H1134" s="134" t="s">
        <v>411</v>
      </c>
      <c r="I1134" s="223" t="s">
        <v>411</v>
      </c>
      <c r="J1134" s="223" t="b">
        <f t="shared" si="1"/>
        <v>1</v>
      </c>
      <c r="K1134" s="145" t="s">
        <v>1203</v>
      </c>
      <c r="L1134" s="156"/>
      <c r="M1134" s="134" t="s">
        <v>426</v>
      </c>
      <c r="N1134" s="150">
        <f>if(and(O1134=TRUE,P1134=TRUE), VLOOKUP($E1134,PESSOAL!$B$35:$S$45,MONTH($F1134)+6,false)*G1134*24,0)</f>
        <v>153.4751185</v>
      </c>
      <c r="O1134" s="117" t="b">
        <f t="shared" si="2"/>
        <v>1</v>
      </c>
      <c r="P1134" s="117" t="b">
        <v>1</v>
      </c>
      <c r="Q1134" s="117" t="s">
        <v>368</v>
      </c>
    </row>
    <row r="1135" hidden="1">
      <c r="A1135" s="108"/>
      <c r="B1135" s="220"/>
      <c r="C1135" s="220" t="s">
        <v>52</v>
      </c>
      <c r="D1135" s="220" t="str">
        <f>vlookup(M1135,'Página10'!A:B,2,false)</f>
        <v>INOV00013</v>
      </c>
      <c r="E1135" s="134" t="s">
        <v>110</v>
      </c>
      <c r="F1135" s="221">
        <v>45049.0</v>
      </c>
      <c r="G1135" s="222">
        <v>0.08333333333333333</v>
      </c>
      <c r="H1135" s="134" t="s">
        <v>411</v>
      </c>
      <c r="I1135" s="223" t="s">
        <v>411</v>
      </c>
      <c r="J1135" s="223" t="b">
        <f t="shared" si="1"/>
        <v>1</v>
      </c>
      <c r="K1135" s="145" t="s">
        <v>1203</v>
      </c>
      <c r="L1135" s="156"/>
      <c r="M1135" s="134" t="s">
        <v>426</v>
      </c>
      <c r="N1135" s="150">
        <f>if(and(O1135=TRUE,P1135=TRUE), VLOOKUP($E1135,PESSOAL!$B$35:$S$45,MONTH($F1135)+6,false)*G1135*24,0)</f>
        <v>122.7800948</v>
      </c>
      <c r="O1135" s="117" t="b">
        <f t="shared" si="2"/>
        <v>1</v>
      </c>
      <c r="P1135" s="117" t="b">
        <v>1</v>
      </c>
      <c r="Q1135" s="117" t="s">
        <v>368</v>
      </c>
    </row>
    <row r="1136" hidden="1">
      <c r="A1136" s="108"/>
      <c r="B1136" s="220"/>
      <c r="C1136" s="220" t="s">
        <v>435</v>
      </c>
      <c r="D1136" s="220" t="str">
        <f>vlookup(M1136,'Página10'!A:B,2,false)</f>
        <v>INOV00020</v>
      </c>
      <c r="E1136" s="134" t="s">
        <v>110</v>
      </c>
      <c r="F1136" s="221">
        <v>45050.0</v>
      </c>
      <c r="G1136" s="222">
        <v>0.10416666666666667</v>
      </c>
      <c r="H1136" s="134" t="s">
        <v>475</v>
      </c>
      <c r="I1136" s="223" t="s">
        <v>475</v>
      </c>
      <c r="J1136" s="223" t="b">
        <f t="shared" si="1"/>
        <v>1</v>
      </c>
      <c r="K1136" s="145" t="s">
        <v>1208</v>
      </c>
      <c r="L1136" s="156"/>
      <c r="M1136" s="134" t="s">
        <v>434</v>
      </c>
      <c r="N1136" s="150">
        <f>if(and(O1136=TRUE,P1136=TRUE), VLOOKUP($E1136,PESSOAL!$B$35:$S$45,MONTH($F1136)+6,false)*G1136*24,0)</f>
        <v>0</v>
      </c>
      <c r="O1136" s="117" t="b">
        <f t="shared" si="2"/>
        <v>1</v>
      </c>
      <c r="P1136" s="117" t="b">
        <v>0</v>
      </c>
      <c r="Q1136" s="117" t="s">
        <v>368</v>
      </c>
    </row>
    <row r="1137" hidden="1">
      <c r="A1137" s="108"/>
      <c r="B1137" s="220"/>
      <c r="C1137" s="220" t="s">
        <v>52</v>
      </c>
      <c r="D1137" s="220" t="str">
        <f>vlookup(M1137,'Página10'!A:B,2,false)</f>
        <v>INOV00013</v>
      </c>
      <c r="E1137" s="134" t="s">
        <v>110</v>
      </c>
      <c r="F1137" s="221">
        <v>45050.0</v>
      </c>
      <c r="G1137" s="222">
        <v>0.10416666666666667</v>
      </c>
      <c r="H1137" s="134" t="s">
        <v>411</v>
      </c>
      <c r="I1137" s="223" t="s">
        <v>411</v>
      </c>
      <c r="J1137" s="223" t="b">
        <f t="shared" si="1"/>
        <v>1</v>
      </c>
      <c r="K1137" s="145" t="s">
        <v>1209</v>
      </c>
      <c r="L1137" s="156"/>
      <c r="M1137" s="134" t="s">
        <v>426</v>
      </c>
      <c r="N1137" s="150">
        <f>if(and(O1137=TRUE,P1137=TRUE), VLOOKUP($E1137,PESSOAL!$B$35:$S$45,MONTH($F1137)+6,false)*G1137*24,0)</f>
        <v>153.4751185</v>
      </c>
      <c r="O1137" s="117" t="b">
        <f t="shared" si="2"/>
        <v>1</v>
      </c>
      <c r="P1137" s="117" t="b">
        <v>1</v>
      </c>
      <c r="Q1137" s="117" t="s">
        <v>368</v>
      </c>
    </row>
    <row r="1138" hidden="1">
      <c r="A1138" s="108"/>
      <c r="B1138" s="220"/>
      <c r="C1138" s="220" t="s">
        <v>56</v>
      </c>
      <c r="D1138" s="220" t="str">
        <f>vlookup(M1138,'Página10'!A:B,2,false)</f>
        <v>INOV00021</v>
      </c>
      <c r="E1138" s="134" t="s">
        <v>110</v>
      </c>
      <c r="F1138" s="221">
        <v>45050.0</v>
      </c>
      <c r="G1138" s="222">
        <v>0.0625</v>
      </c>
      <c r="H1138" s="134" t="s">
        <v>475</v>
      </c>
      <c r="I1138" s="223" t="s">
        <v>411</v>
      </c>
      <c r="J1138" s="223" t="b">
        <f t="shared" si="1"/>
        <v>0</v>
      </c>
      <c r="K1138" s="145" t="s">
        <v>1210</v>
      </c>
      <c r="L1138" s="156"/>
      <c r="M1138" s="134" t="s">
        <v>436</v>
      </c>
      <c r="N1138" s="150">
        <f>if(and(O1138=TRUE,P1138=TRUE), VLOOKUP($E1138,PESSOAL!$B$35:$S$45,MONTH($F1138)+6,false)*G1138*24,0)</f>
        <v>92.08507109</v>
      </c>
      <c r="O1138" s="117" t="b">
        <f t="shared" si="2"/>
        <v>1</v>
      </c>
      <c r="P1138" s="117" t="b">
        <v>1</v>
      </c>
      <c r="Q1138" s="117" t="s">
        <v>368</v>
      </c>
    </row>
    <row r="1139" hidden="1">
      <c r="A1139" s="108"/>
      <c r="B1139" s="220"/>
      <c r="C1139" s="220" t="s">
        <v>52</v>
      </c>
      <c r="D1139" s="220" t="str">
        <f>vlookup(M1139,'Página10'!A:B,2,false)</f>
        <v>INOV00013</v>
      </c>
      <c r="E1139" s="134" t="s">
        <v>110</v>
      </c>
      <c r="F1139" s="221">
        <v>45050.0</v>
      </c>
      <c r="G1139" s="222">
        <v>0.0625</v>
      </c>
      <c r="H1139" s="134" t="s">
        <v>411</v>
      </c>
      <c r="I1139" s="223" t="s">
        <v>411</v>
      </c>
      <c r="J1139" s="223" t="b">
        <f t="shared" si="1"/>
        <v>1</v>
      </c>
      <c r="K1139" s="145" t="s">
        <v>1209</v>
      </c>
      <c r="L1139" s="156"/>
      <c r="M1139" s="134" t="s">
        <v>426</v>
      </c>
      <c r="N1139" s="150">
        <f>if(and(O1139=TRUE,P1139=TRUE), VLOOKUP($E1139,PESSOAL!$B$35:$S$45,MONTH($F1139)+6,false)*G1139*24,0)</f>
        <v>92.08507109</v>
      </c>
      <c r="O1139" s="117" t="b">
        <f t="shared" si="2"/>
        <v>1</v>
      </c>
      <c r="P1139" s="117" t="b">
        <v>1</v>
      </c>
      <c r="Q1139" s="117" t="s">
        <v>368</v>
      </c>
    </row>
    <row r="1140" hidden="1">
      <c r="A1140" s="108"/>
      <c r="B1140" s="220"/>
      <c r="C1140" s="220" t="s">
        <v>290</v>
      </c>
      <c r="D1140" s="220" t="str">
        <f>vlookup(M1140,'Página10'!A:B,2,false)</f>
        <v>INOV00001</v>
      </c>
      <c r="E1140" s="134" t="s">
        <v>110</v>
      </c>
      <c r="F1140" s="221">
        <v>45051.0</v>
      </c>
      <c r="G1140" s="222">
        <v>0.21875</v>
      </c>
      <c r="H1140" s="134" t="s">
        <v>411</v>
      </c>
      <c r="I1140" s="223" t="s">
        <v>411</v>
      </c>
      <c r="J1140" s="223" t="b">
        <f t="shared" si="1"/>
        <v>1</v>
      </c>
      <c r="K1140" s="145" t="s">
        <v>1211</v>
      </c>
      <c r="L1140" s="156"/>
      <c r="M1140" s="134" t="s">
        <v>416</v>
      </c>
      <c r="N1140" s="150">
        <f>if(and(O1140=TRUE,P1140=TRUE), VLOOKUP($E1140,PESSOAL!$B$35:$S$45,MONTH($F1140)+6,false)*G1140*24,0)</f>
        <v>322.2977488</v>
      </c>
      <c r="O1140" s="117" t="b">
        <f t="shared" si="2"/>
        <v>1</v>
      </c>
      <c r="P1140" s="117" t="b">
        <v>1</v>
      </c>
      <c r="Q1140" s="117" t="s">
        <v>368</v>
      </c>
    </row>
    <row r="1141" hidden="1">
      <c r="A1141" s="108"/>
      <c r="B1141" s="220"/>
      <c r="C1141" s="220" t="s">
        <v>290</v>
      </c>
      <c r="D1141" s="220" t="str">
        <f>vlookup(M1141,'Página10'!A:B,2,false)</f>
        <v>INOV00001</v>
      </c>
      <c r="E1141" s="134" t="s">
        <v>110</v>
      </c>
      <c r="F1141" s="221">
        <v>45051.0</v>
      </c>
      <c r="G1141" s="222">
        <v>0.08333333333333333</v>
      </c>
      <c r="H1141" s="134" t="s">
        <v>475</v>
      </c>
      <c r="I1141" s="223" t="s">
        <v>475</v>
      </c>
      <c r="J1141" s="223" t="b">
        <f t="shared" si="1"/>
        <v>1</v>
      </c>
      <c r="K1141" s="145" t="s">
        <v>1178</v>
      </c>
      <c r="L1141" s="156"/>
      <c r="M1141" s="134" t="s">
        <v>416</v>
      </c>
      <c r="N1141" s="150">
        <f>if(and(O1141=TRUE,P1141=TRUE), VLOOKUP($E1141,PESSOAL!$B$35:$S$45,MONTH($F1141)+6,false)*G1141*24,0)</f>
        <v>122.7800948</v>
      </c>
      <c r="O1141" s="117" t="b">
        <f t="shared" si="2"/>
        <v>1</v>
      </c>
      <c r="P1141" s="117" t="b">
        <v>1</v>
      </c>
      <c r="Q1141" s="117" t="s">
        <v>368</v>
      </c>
    </row>
    <row r="1142" hidden="1">
      <c r="A1142" s="108"/>
      <c r="B1142" s="220"/>
      <c r="C1142" s="220" t="s">
        <v>50</v>
      </c>
      <c r="D1142" s="220" t="str">
        <f>vlookup(M1142,'Página10'!A:B,2,false)</f>
        <v>INOV00006</v>
      </c>
      <c r="E1142" s="134" t="s">
        <v>110</v>
      </c>
      <c r="F1142" s="221">
        <v>45054.0</v>
      </c>
      <c r="G1142" s="222">
        <v>0.0625</v>
      </c>
      <c r="H1142" s="134" t="s">
        <v>475</v>
      </c>
      <c r="I1142" s="223" t="s">
        <v>475</v>
      </c>
      <c r="J1142" s="223" t="b">
        <f t="shared" si="1"/>
        <v>1</v>
      </c>
      <c r="K1142" s="145" t="s">
        <v>1212</v>
      </c>
      <c r="L1142" s="156"/>
      <c r="M1142" s="134" t="s">
        <v>422</v>
      </c>
      <c r="N1142" s="150">
        <f>if(and(O1142=TRUE,P1142=TRUE), VLOOKUP($E1142,PESSOAL!$B$35:$S$45,MONTH($F1142)+6,false)*G1142*24,0)</f>
        <v>92.08507109</v>
      </c>
      <c r="O1142" s="117" t="b">
        <f t="shared" si="2"/>
        <v>1</v>
      </c>
      <c r="P1142" s="117" t="b">
        <v>1</v>
      </c>
      <c r="Q1142" s="117" t="s">
        <v>368</v>
      </c>
    </row>
    <row r="1143" hidden="1">
      <c r="A1143" s="108"/>
      <c r="B1143" s="220"/>
      <c r="C1143" s="220" t="s">
        <v>290</v>
      </c>
      <c r="D1143" s="220" t="str">
        <f>vlookup(M1143,'Página10'!A:B,2,false)</f>
        <v>INOV00001</v>
      </c>
      <c r="E1143" s="134" t="s">
        <v>110</v>
      </c>
      <c r="F1143" s="221">
        <v>45054.0</v>
      </c>
      <c r="G1143" s="222">
        <v>0.08333333333333333</v>
      </c>
      <c r="H1143" s="134" t="s">
        <v>411</v>
      </c>
      <c r="I1143" s="223" t="s">
        <v>411</v>
      </c>
      <c r="J1143" s="223" t="b">
        <f t="shared" si="1"/>
        <v>1</v>
      </c>
      <c r="K1143" s="145" t="s">
        <v>1179</v>
      </c>
      <c r="L1143" s="156"/>
      <c r="M1143" s="134" t="s">
        <v>416</v>
      </c>
      <c r="N1143" s="150">
        <f>if(and(O1143=TRUE,P1143=TRUE), VLOOKUP($E1143,PESSOAL!$B$35:$S$45,MONTH($F1143)+6,false)*G1143*24,0)</f>
        <v>122.7800948</v>
      </c>
      <c r="O1143" s="117" t="b">
        <f t="shared" si="2"/>
        <v>1</v>
      </c>
      <c r="P1143" s="117" t="b">
        <v>1</v>
      </c>
      <c r="Q1143" s="117" t="s">
        <v>368</v>
      </c>
    </row>
    <row r="1144" hidden="1">
      <c r="A1144" s="108"/>
      <c r="B1144" s="220"/>
      <c r="C1144" s="220" t="s">
        <v>52</v>
      </c>
      <c r="D1144" s="220" t="str">
        <f>vlookup(M1144,'Página10'!A:B,2,false)</f>
        <v>INOV00013</v>
      </c>
      <c r="E1144" s="134" t="s">
        <v>110</v>
      </c>
      <c r="F1144" s="221">
        <v>45054.0</v>
      </c>
      <c r="G1144" s="222">
        <v>0.0625</v>
      </c>
      <c r="H1144" s="134" t="s">
        <v>411</v>
      </c>
      <c r="I1144" s="223" t="s">
        <v>411</v>
      </c>
      <c r="J1144" s="223" t="b">
        <f t="shared" si="1"/>
        <v>1</v>
      </c>
      <c r="K1144" s="145" t="s">
        <v>1213</v>
      </c>
      <c r="L1144" s="156"/>
      <c r="M1144" s="134" t="s">
        <v>426</v>
      </c>
      <c r="N1144" s="150">
        <f>if(and(O1144=TRUE,P1144=TRUE), VLOOKUP($E1144,PESSOAL!$B$35:$S$45,MONTH($F1144)+6,false)*G1144*24,0)</f>
        <v>92.08507109</v>
      </c>
      <c r="O1144" s="117" t="b">
        <f t="shared" si="2"/>
        <v>1</v>
      </c>
      <c r="P1144" s="117" t="b">
        <v>1</v>
      </c>
      <c r="Q1144" s="117" t="s">
        <v>368</v>
      </c>
    </row>
    <row r="1145" hidden="1">
      <c r="A1145" s="108"/>
      <c r="B1145" s="220"/>
      <c r="C1145" s="220" t="s">
        <v>290</v>
      </c>
      <c r="D1145" s="220" t="str">
        <f>vlookup(M1145,'Página10'!A:B,2,false)</f>
        <v>INOV00001</v>
      </c>
      <c r="E1145" s="134" t="s">
        <v>110</v>
      </c>
      <c r="F1145" s="221">
        <v>45055.0</v>
      </c>
      <c r="G1145" s="222">
        <v>0.07291666666666667</v>
      </c>
      <c r="H1145" s="134" t="s">
        <v>411</v>
      </c>
      <c r="I1145" s="223" t="s">
        <v>411</v>
      </c>
      <c r="J1145" s="223" t="b">
        <f t="shared" si="1"/>
        <v>1</v>
      </c>
      <c r="K1145" s="145" t="s">
        <v>1179</v>
      </c>
      <c r="L1145" s="156"/>
      <c r="M1145" s="134" t="s">
        <v>416</v>
      </c>
      <c r="N1145" s="150">
        <f>if(and(O1145=TRUE,P1145=TRUE), VLOOKUP($E1145,PESSOAL!$B$35:$S$45,MONTH($F1145)+6,false)*G1145*24,0)</f>
        <v>107.4325829</v>
      </c>
      <c r="O1145" s="117" t="b">
        <f t="shared" si="2"/>
        <v>1</v>
      </c>
      <c r="P1145" s="117" t="b">
        <v>1</v>
      </c>
      <c r="Q1145" s="117" t="s">
        <v>368</v>
      </c>
    </row>
    <row r="1146" hidden="1">
      <c r="A1146" s="108"/>
      <c r="B1146" s="220"/>
      <c r="C1146" s="220" t="s">
        <v>290</v>
      </c>
      <c r="D1146" s="220" t="str">
        <f>vlookup(M1146,'Página10'!A:B,2,false)</f>
        <v>INOV00001</v>
      </c>
      <c r="E1146" s="134" t="s">
        <v>110</v>
      </c>
      <c r="F1146" s="221">
        <v>45055.0</v>
      </c>
      <c r="G1146" s="222">
        <v>0.041666666666666664</v>
      </c>
      <c r="H1146" s="134" t="s">
        <v>479</v>
      </c>
      <c r="I1146" s="223" t="s">
        <v>479</v>
      </c>
      <c r="J1146" s="223" t="b">
        <f t="shared" si="1"/>
        <v>1</v>
      </c>
      <c r="K1146" s="145" t="s">
        <v>1214</v>
      </c>
      <c r="L1146" s="156"/>
      <c r="M1146" s="134" t="s">
        <v>416</v>
      </c>
      <c r="N1146" s="150">
        <f>if(and(O1146=TRUE,P1146=TRUE), VLOOKUP($E1146,PESSOAL!$B$35:$S$45,MONTH($F1146)+6,false)*G1146*24,0)</f>
        <v>0</v>
      </c>
      <c r="O1146" s="117" t="b">
        <f t="shared" si="2"/>
        <v>0</v>
      </c>
      <c r="P1146" s="117" t="b">
        <v>1</v>
      </c>
      <c r="Q1146" s="117" t="s">
        <v>368</v>
      </c>
    </row>
    <row r="1147" hidden="1">
      <c r="A1147" s="108"/>
      <c r="B1147" s="220"/>
      <c r="C1147" s="220" t="s">
        <v>56</v>
      </c>
      <c r="D1147" s="220" t="str">
        <f>vlookup(M1147,'Página10'!A:B,2,false)</f>
        <v>INOV00021</v>
      </c>
      <c r="E1147" s="134" t="s">
        <v>110</v>
      </c>
      <c r="F1147" s="221">
        <v>45055.0</v>
      </c>
      <c r="G1147" s="222">
        <v>0.08333333333333333</v>
      </c>
      <c r="H1147" s="134" t="s">
        <v>474</v>
      </c>
      <c r="I1147" s="223" t="s">
        <v>411</v>
      </c>
      <c r="J1147" s="223" t="b">
        <f t="shared" si="1"/>
        <v>0</v>
      </c>
      <c r="K1147" s="145" t="s">
        <v>1215</v>
      </c>
      <c r="L1147" s="156"/>
      <c r="M1147" s="134" t="s">
        <v>436</v>
      </c>
      <c r="N1147" s="150">
        <f>if(and(O1147=TRUE,P1147=TRUE), VLOOKUP($E1147,PESSOAL!$B$35:$S$45,MONTH($F1147)+6,false)*G1147*24,0)</f>
        <v>122.7800948</v>
      </c>
      <c r="O1147" s="117" t="b">
        <f t="shared" si="2"/>
        <v>1</v>
      </c>
      <c r="P1147" s="117" t="b">
        <v>1</v>
      </c>
      <c r="Q1147" s="117" t="s">
        <v>368</v>
      </c>
    </row>
    <row r="1148" hidden="1">
      <c r="A1148" s="108"/>
      <c r="B1148" s="220"/>
      <c r="C1148" s="220" t="s">
        <v>56</v>
      </c>
      <c r="D1148" s="220" t="str">
        <f>vlookup(M1148,'Página10'!A:B,2,false)</f>
        <v>INOV00021</v>
      </c>
      <c r="E1148" s="134" t="s">
        <v>110</v>
      </c>
      <c r="F1148" s="221">
        <v>45055.0</v>
      </c>
      <c r="G1148" s="222">
        <v>0.10416666666666667</v>
      </c>
      <c r="H1148" s="134" t="s">
        <v>411</v>
      </c>
      <c r="I1148" s="223" t="s">
        <v>411</v>
      </c>
      <c r="J1148" s="223" t="b">
        <f t="shared" si="1"/>
        <v>1</v>
      </c>
      <c r="K1148" s="145" t="s">
        <v>1216</v>
      </c>
      <c r="L1148" s="156"/>
      <c r="M1148" s="134" t="s">
        <v>436</v>
      </c>
      <c r="N1148" s="150">
        <f>if(and(O1148=TRUE,P1148=TRUE), VLOOKUP($E1148,PESSOAL!$B$35:$S$45,MONTH($F1148)+6,false)*G1148*24,0)</f>
        <v>153.4751185</v>
      </c>
      <c r="O1148" s="117" t="b">
        <f t="shared" si="2"/>
        <v>1</v>
      </c>
      <c r="P1148" s="117" t="b">
        <v>1</v>
      </c>
      <c r="Q1148" s="117" t="s">
        <v>368</v>
      </c>
    </row>
    <row r="1149" hidden="1">
      <c r="A1149" s="108"/>
      <c r="B1149" s="220"/>
      <c r="C1149" s="220" t="s">
        <v>435</v>
      </c>
      <c r="D1149" s="220" t="str">
        <f>vlookup(M1149,'Página10'!A:B,2,false)</f>
        <v>INOV00020</v>
      </c>
      <c r="E1149" s="134" t="s">
        <v>110</v>
      </c>
      <c r="F1149" s="221">
        <v>45056.0</v>
      </c>
      <c r="G1149" s="222">
        <v>0.23958333333333334</v>
      </c>
      <c r="H1149" s="134" t="s">
        <v>411</v>
      </c>
      <c r="I1149" s="223" t="s">
        <v>411</v>
      </c>
      <c r="J1149" s="223" t="b">
        <f t="shared" si="1"/>
        <v>1</v>
      </c>
      <c r="K1149" s="145" t="s">
        <v>1217</v>
      </c>
      <c r="L1149" s="156"/>
      <c r="M1149" s="134" t="s">
        <v>434</v>
      </c>
      <c r="N1149" s="150">
        <f>if(and(O1149=TRUE,P1149=TRUE), VLOOKUP($E1149,PESSOAL!$B$35:$S$45,MONTH($F1149)+6,false)*G1149*24,0)</f>
        <v>0</v>
      </c>
      <c r="O1149" s="117" t="b">
        <f t="shared" si="2"/>
        <v>1</v>
      </c>
      <c r="P1149" s="117" t="b">
        <v>0</v>
      </c>
      <c r="Q1149" s="117" t="s">
        <v>368</v>
      </c>
    </row>
    <row r="1150" hidden="1">
      <c r="A1150" s="108"/>
      <c r="B1150" s="220"/>
      <c r="C1150" s="220" t="s">
        <v>56</v>
      </c>
      <c r="D1150" s="220" t="str">
        <f>vlookup(M1150,'Página10'!A:B,2,false)</f>
        <v>INOV00021</v>
      </c>
      <c r="E1150" s="134" t="s">
        <v>110</v>
      </c>
      <c r="F1150" s="221">
        <v>45056.0</v>
      </c>
      <c r="G1150" s="222">
        <v>0.041666666666666664</v>
      </c>
      <c r="H1150" s="134" t="s">
        <v>411</v>
      </c>
      <c r="I1150" s="223" t="s">
        <v>411</v>
      </c>
      <c r="J1150" s="223" t="b">
        <f t="shared" si="1"/>
        <v>1</v>
      </c>
      <c r="K1150" s="145" t="s">
        <v>1218</v>
      </c>
      <c r="L1150" s="156"/>
      <c r="M1150" s="134" t="s">
        <v>436</v>
      </c>
      <c r="N1150" s="150">
        <f>if(and(O1150=TRUE,P1150=TRUE), VLOOKUP($E1150,PESSOAL!$B$35:$S$45,MONTH($F1150)+6,false)*G1150*24,0)</f>
        <v>61.3900474</v>
      </c>
      <c r="O1150" s="117" t="b">
        <f t="shared" si="2"/>
        <v>1</v>
      </c>
      <c r="P1150" s="117" t="b">
        <v>1</v>
      </c>
      <c r="Q1150" s="117" t="s">
        <v>368</v>
      </c>
    </row>
    <row r="1151" hidden="1">
      <c r="A1151" s="108"/>
      <c r="B1151" s="220"/>
      <c r="C1151" s="220" t="s">
        <v>435</v>
      </c>
      <c r="D1151" s="220" t="str">
        <f>vlookup(M1151,'Página10'!A:B,2,false)</f>
        <v>INOV00020</v>
      </c>
      <c r="E1151" s="134" t="s">
        <v>110</v>
      </c>
      <c r="F1151" s="221">
        <v>45057.0</v>
      </c>
      <c r="G1151" s="222">
        <v>0.11458333333333333</v>
      </c>
      <c r="H1151" s="134" t="s">
        <v>411</v>
      </c>
      <c r="I1151" s="223" t="s">
        <v>411</v>
      </c>
      <c r="J1151" s="223" t="b">
        <f t="shared" si="1"/>
        <v>1</v>
      </c>
      <c r="K1151" s="145" t="s">
        <v>1219</v>
      </c>
      <c r="L1151" s="156"/>
      <c r="M1151" s="134" t="s">
        <v>434</v>
      </c>
      <c r="N1151" s="150">
        <f>if(and(O1151=TRUE,P1151=TRUE), VLOOKUP($E1151,PESSOAL!$B$35:$S$45,MONTH($F1151)+6,false)*G1151*24,0)</f>
        <v>0</v>
      </c>
      <c r="O1151" s="117" t="b">
        <f t="shared" si="2"/>
        <v>1</v>
      </c>
      <c r="P1151" s="117" t="b">
        <v>0</v>
      </c>
      <c r="Q1151" s="117" t="s">
        <v>368</v>
      </c>
    </row>
    <row r="1152" hidden="1">
      <c r="A1152" s="108"/>
      <c r="B1152" s="220"/>
      <c r="C1152" s="220" t="s">
        <v>290</v>
      </c>
      <c r="D1152" s="220" t="str">
        <f>vlookup(M1152,'Página10'!A:B,2,false)</f>
        <v>INOV00001</v>
      </c>
      <c r="E1152" s="134" t="s">
        <v>110</v>
      </c>
      <c r="F1152" s="221">
        <v>45057.0</v>
      </c>
      <c r="G1152" s="222">
        <v>0.041666666666666664</v>
      </c>
      <c r="H1152" s="134" t="s">
        <v>475</v>
      </c>
      <c r="I1152" s="223" t="s">
        <v>475</v>
      </c>
      <c r="J1152" s="223" t="b">
        <f t="shared" si="1"/>
        <v>1</v>
      </c>
      <c r="K1152" s="145" t="s">
        <v>1178</v>
      </c>
      <c r="L1152" s="156"/>
      <c r="M1152" s="134" t="s">
        <v>416</v>
      </c>
      <c r="N1152" s="150">
        <f>if(and(O1152=TRUE,P1152=TRUE), VLOOKUP($E1152,PESSOAL!$B$35:$S$45,MONTH($F1152)+6,false)*G1152*24,0)</f>
        <v>61.3900474</v>
      </c>
      <c r="O1152" s="117" t="b">
        <f t="shared" si="2"/>
        <v>1</v>
      </c>
      <c r="P1152" s="117" t="b">
        <v>1</v>
      </c>
      <c r="Q1152" s="117" t="s">
        <v>368</v>
      </c>
    </row>
    <row r="1153" hidden="1">
      <c r="A1153" s="108"/>
      <c r="B1153" s="220"/>
      <c r="C1153" s="220" t="s">
        <v>290</v>
      </c>
      <c r="D1153" s="220" t="str">
        <f>vlookup(M1153,'Página10'!A:B,2,false)</f>
        <v>INOV00001</v>
      </c>
      <c r="E1153" s="134" t="s">
        <v>110</v>
      </c>
      <c r="F1153" s="221">
        <v>45058.0</v>
      </c>
      <c r="G1153" s="222">
        <v>0.020833333333333332</v>
      </c>
      <c r="H1153" s="134" t="s">
        <v>479</v>
      </c>
      <c r="I1153" s="223" t="s">
        <v>479</v>
      </c>
      <c r="J1153" s="223" t="b">
        <f t="shared" si="1"/>
        <v>1</v>
      </c>
      <c r="K1153" s="145" t="s">
        <v>1214</v>
      </c>
      <c r="L1153" s="156"/>
      <c r="M1153" s="134" t="s">
        <v>416</v>
      </c>
      <c r="N1153" s="150">
        <f>if(and(O1153=TRUE,P1153=TRUE), VLOOKUP($E1153,PESSOAL!$B$35:$S$45,MONTH($F1153)+6,false)*G1153*24,0)</f>
        <v>0</v>
      </c>
      <c r="O1153" s="117" t="b">
        <f t="shared" si="2"/>
        <v>0</v>
      </c>
      <c r="P1153" s="117" t="b">
        <v>1</v>
      </c>
      <c r="Q1153" s="117" t="s">
        <v>368</v>
      </c>
    </row>
    <row r="1154" hidden="1">
      <c r="A1154" s="108"/>
      <c r="B1154" s="220"/>
      <c r="C1154" s="220" t="s">
        <v>56</v>
      </c>
      <c r="D1154" s="220" t="str">
        <f>vlookup(M1154,'Página10'!A:B,2,false)</f>
        <v>INOV00021</v>
      </c>
      <c r="E1154" s="134" t="s">
        <v>110</v>
      </c>
      <c r="F1154" s="221">
        <v>45061.0</v>
      </c>
      <c r="G1154" s="222">
        <v>0.03125</v>
      </c>
      <c r="H1154" s="134" t="s">
        <v>411</v>
      </c>
      <c r="I1154" s="223" t="s">
        <v>411</v>
      </c>
      <c r="J1154" s="223" t="b">
        <f t="shared" si="1"/>
        <v>1</v>
      </c>
      <c r="K1154" s="145" t="s">
        <v>1220</v>
      </c>
      <c r="L1154" s="156"/>
      <c r="M1154" s="134" t="s">
        <v>436</v>
      </c>
      <c r="N1154" s="150">
        <f>if(and(O1154=TRUE,P1154=TRUE), VLOOKUP($E1154,PESSOAL!$B$35:$S$45,MONTH($F1154)+6,false)*G1154*24,0)</f>
        <v>46.04253555</v>
      </c>
      <c r="O1154" s="117" t="b">
        <f t="shared" si="2"/>
        <v>1</v>
      </c>
      <c r="P1154" s="117" t="b">
        <v>1</v>
      </c>
      <c r="Q1154" s="117" t="s">
        <v>368</v>
      </c>
    </row>
    <row r="1155" hidden="1">
      <c r="A1155" s="108"/>
      <c r="B1155" s="220"/>
      <c r="C1155" s="220" t="s">
        <v>290</v>
      </c>
      <c r="D1155" s="220" t="str">
        <f>vlookup(M1155,'Página10'!A:B,2,false)</f>
        <v>INOV00001</v>
      </c>
      <c r="E1155" s="134" t="s">
        <v>110</v>
      </c>
      <c r="F1155" s="221">
        <v>45061.0</v>
      </c>
      <c r="G1155" s="222">
        <v>0.08333333333333333</v>
      </c>
      <c r="H1155" s="134" t="s">
        <v>475</v>
      </c>
      <c r="I1155" s="223" t="s">
        <v>475</v>
      </c>
      <c r="J1155" s="223" t="b">
        <f t="shared" si="1"/>
        <v>1</v>
      </c>
      <c r="K1155" s="145" t="s">
        <v>1178</v>
      </c>
      <c r="L1155" s="156"/>
      <c r="M1155" s="134" t="s">
        <v>416</v>
      </c>
      <c r="N1155" s="150">
        <f>if(and(O1155=TRUE,P1155=TRUE), VLOOKUP($E1155,PESSOAL!$B$35:$S$45,MONTH($F1155)+6,false)*G1155*24,0)</f>
        <v>122.7800948</v>
      </c>
      <c r="O1155" s="117" t="b">
        <f t="shared" si="2"/>
        <v>1</v>
      </c>
      <c r="P1155" s="117" t="b">
        <v>1</v>
      </c>
      <c r="Q1155" s="117" t="s">
        <v>368</v>
      </c>
    </row>
    <row r="1156" hidden="1">
      <c r="A1156" s="108"/>
      <c r="B1156" s="220"/>
      <c r="C1156" s="220" t="s">
        <v>290</v>
      </c>
      <c r="D1156" s="220" t="str">
        <f>vlookup(M1156,'Página10'!A:B,2,false)</f>
        <v>INOV00001</v>
      </c>
      <c r="E1156" s="134" t="s">
        <v>110</v>
      </c>
      <c r="F1156" s="221">
        <v>45061.0</v>
      </c>
      <c r="G1156" s="222">
        <v>0.125</v>
      </c>
      <c r="H1156" s="134" t="s">
        <v>411</v>
      </c>
      <c r="I1156" s="223" t="s">
        <v>411</v>
      </c>
      <c r="J1156" s="223" t="b">
        <f t="shared" si="1"/>
        <v>1</v>
      </c>
      <c r="K1156" s="145" t="s">
        <v>1221</v>
      </c>
      <c r="L1156" s="156"/>
      <c r="M1156" s="134" t="s">
        <v>416</v>
      </c>
      <c r="N1156" s="150">
        <f>if(and(O1156=TRUE,P1156=TRUE), VLOOKUP($E1156,PESSOAL!$B$35:$S$45,MONTH($F1156)+6,false)*G1156*24,0)</f>
        <v>184.1701422</v>
      </c>
      <c r="O1156" s="117" t="b">
        <f t="shared" si="2"/>
        <v>1</v>
      </c>
      <c r="P1156" s="117" t="b">
        <v>1</v>
      </c>
      <c r="Q1156" s="117" t="s">
        <v>368</v>
      </c>
    </row>
    <row r="1157" hidden="1">
      <c r="A1157" s="108"/>
      <c r="B1157" s="220"/>
      <c r="C1157" s="220" t="s">
        <v>290</v>
      </c>
      <c r="D1157" s="220" t="str">
        <f>vlookup(M1157,'Página10'!A:B,2,false)</f>
        <v>INOV00001</v>
      </c>
      <c r="E1157" s="134" t="s">
        <v>110</v>
      </c>
      <c r="F1157" s="221">
        <v>45062.0</v>
      </c>
      <c r="G1157" s="222">
        <v>0.10416666666666667</v>
      </c>
      <c r="H1157" s="134" t="s">
        <v>411</v>
      </c>
      <c r="I1157" s="223" t="s">
        <v>411</v>
      </c>
      <c r="J1157" s="223" t="b">
        <f t="shared" si="1"/>
        <v>1</v>
      </c>
      <c r="K1157" s="145" t="s">
        <v>1222</v>
      </c>
      <c r="L1157" s="156"/>
      <c r="M1157" s="134" t="s">
        <v>416</v>
      </c>
      <c r="N1157" s="150">
        <f>if(and(O1157=TRUE,P1157=TRUE), VLOOKUP($E1157,PESSOAL!$B$35:$S$45,MONTH($F1157)+6,false)*G1157*24,0)</f>
        <v>153.4751185</v>
      </c>
      <c r="O1157" s="117" t="b">
        <f t="shared" si="2"/>
        <v>1</v>
      </c>
      <c r="P1157" s="117" t="b">
        <v>1</v>
      </c>
      <c r="Q1157" s="117" t="s">
        <v>368</v>
      </c>
    </row>
    <row r="1158" hidden="1">
      <c r="A1158" s="108"/>
      <c r="B1158" s="220"/>
      <c r="C1158" s="220" t="s">
        <v>56</v>
      </c>
      <c r="D1158" s="220" t="str">
        <f>vlookup(M1158,'Página10'!A:B,2,false)</f>
        <v>INOV00021</v>
      </c>
      <c r="E1158" s="134" t="s">
        <v>110</v>
      </c>
      <c r="F1158" s="221">
        <v>45062.0</v>
      </c>
      <c r="G1158" s="222">
        <v>0.0625</v>
      </c>
      <c r="H1158" s="134" t="s">
        <v>411</v>
      </c>
      <c r="I1158" s="223" t="s">
        <v>411</v>
      </c>
      <c r="J1158" s="223" t="b">
        <f t="shared" si="1"/>
        <v>1</v>
      </c>
      <c r="K1158" s="145" t="s">
        <v>1223</v>
      </c>
      <c r="L1158" s="156"/>
      <c r="M1158" s="134" t="s">
        <v>436</v>
      </c>
      <c r="N1158" s="150">
        <f>if(and(O1158=TRUE,P1158=TRUE), VLOOKUP($E1158,PESSOAL!$B$35:$S$45,MONTH($F1158)+6,false)*G1158*24,0)</f>
        <v>92.08507109</v>
      </c>
      <c r="O1158" s="117" t="b">
        <f t="shared" si="2"/>
        <v>1</v>
      </c>
      <c r="P1158" s="117" t="b">
        <v>1</v>
      </c>
      <c r="Q1158" s="117" t="s">
        <v>368</v>
      </c>
    </row>
    <row r="1159" hidden="1">
      <c r="A1159" s="108"/>
      <c r="B1159" s="220"/>
      <c r="C1159" s="220" t="s">
        <v>290</v>
      </c>
      <c r="D1159" s="220" t="str">
        <f>vlookup(M1159,'Página10'!A:B,2,false)</f>
        <v>INOV00001</v>
      </c>
      <c r="E1159" s="134" t="s">
        <v>110</v>
      </c>
      <c r="F1159" s="221">
        <v>45062.0</v>
      </c>
      <c r="G1159" s="222">
        <v>0.08333333333333333</v>
      </c>
      <c r="H1159" s="134" t="s">
        <v>474</v>
      </c>
      <c r="I1159" s="223" t="s">
        <v>474</v>
      </c>
      <c r="J1159" s="223" t="b">
        <f t="shared" si="1"/>
        <v>1</v>
      </c>
      <c r="K1159" s="145" t="s">
        <v>1224</v>
      </c>
      <c r="L1159" s="156"/>
      <c r="M1159" s="134" t="s">
        <v>416</v>
      </c>
      <c r="N1159" s="150">
        <f>if(and(O1159=TRUE,P1159=TRUE), VLOOKUP($E1159,PESSOAL!$B$35:$S$45,MONTH($F1159)+6,false)*G1159*24,0)</f>
        <v>122.7800948</v>
      </c>
      <c r="O1159" s="117" t="b">
        <f t="shared" si="2"/>
        <v>1</v>
      </c>
      <c r="P1159" s="117" t="b">
        <v>1</v>
      </c>
      <c r="Q1159" s="117" t="s">
        <v>368</v>
      </c>
    </row>
    <row r="1160" hidden="1">
      <c r="A1160" s="108"/>
      <c r="B1160" s="220"/>
      <c r="C1160" s="220" t="s">
        <v>54</v>
      </c>
      <c r="D1160" s="220" t="str">
        <f>vlookup(M1160,'Página10'!A:B,2,false)</f>
        <v>INOV00016</v>
      </c>
      <c r="E1160" s="134" t="s">
        <v>110</v>
      </c>
      <c r="F1160" s="221">
        <v>45063.0</v>
      </c>
      <c r="G1160" s="222">
        <v>0.21875</v>
      </c>
      <c r="H1160" s="134" t="s">
        <v>411</v>
      </c>
      <c r="I1160" s="223" t="s">
        <v>411</v>
      </c>
      <c r="J1160" s="223" t="b">
        <f t="shared" si="1"/>
        <v>1</v>
      </c>
      <c r="K1160" s="145" t="s">
        <v>1225</v>
      </c>
      <c r="L1160" s="156"/>
      <c r="M1160" s="134" t="s">
        <v>428</v>
      </c>
      <c r="N1160" s="150">
        <f>if(and(O1160=TRUE,P1160=TRUE), VLOOKUP($E1160,PESSOAL!$B$35:$S$45,MONTH($F1160)+6,false)*G1160*24,0)</f>
        <v>322.2977488</v>
      </c>
      <c r="O1160" s="117" t="b">
        <f t="shared" si="2"/>
        <v>1</v>
      </c>
      <c r="P1160" s="117" t="b">
        <v>1</v>
      </c>
      <c r="Q1160" s="117" t="s">
        <v>368</v>
      </c>
    </row>
    <row r="1161" hidden="1">
      <c r="A1161" s="108"/>
      <c r="B1161" s="220"/>
      <c r="C1161" s="220" t="s">
        <v>290</v>
      </c>
      <c r="D1161" s="220" t="str">
        <f>vlookup(M1161,'Página10'!A:B,2,false)</f>
        <v>INOV00001</v>
      </c>
      <c r="E1161" s="134" t="s">
        <v>110</v>
      </c>
      <c r="F1161" s="221">
        <v>45063.0</v>
      </c>
      <c r="G1161" s="222">
        <v>0.0625</v>
      </c>
      <c r="H1161" s="134" t="s">
        <v>411</v>
      </c>
      <c r="I1161" s="223" t="s">
        <v>411</v>
      </c>
      <c r="J1161" s="223" t="b">
        <f t="shared" si="1"/>
        <v>1</v>
      </c>
      <c r="K1161" s="145" t="s">
        <v>1226</v>
      </c>
      <c r="L1161" s="156"/>
      <c r="M1161" s="134" t="s">
        <v>416</v>
      </c>
      <c r="N1161" s="150">
        <f>if(and(O1161=TRUE,P1161=TRUE), VLOOKUP($E1161,PESSOAL!$B$35:$S$45,MONTH($F1161)+6,false)*G1161*24,0)</f>
        <v>92.08507109</v>
      </c>
      <c r="O1161" s="117" t="b">
        <f t="shared" si="2"/>
        <v>1</v>
      </c>
      <c r="P1161" s="117" t="b">
        <v>1</v>
      </c>
      <c r="Q1161" s="117" t="s">
        <v>368</v>
      </c>
    </row>
    <row r="1162" hidden="1">
      <c r="A1162" s="108"/>
      <c r="B1162" s="220"/>
      <c r="C1162" s="220" t="s">
        <v>54</v>
      </c>
      <c r="D1162" s="220" t="str">
        <f>vlookup(M1162,'Página10'!A:B,2,false)</f>
        <v>INOV00016</v>
      </c>
      <c r="E1162" s="134" t="s">
        <v>110</v>
      </c>
      <c r="F1162" s="221">
        <v>45063.0</v>
      </c>
      <c r="G1162" s="222">
        <v>0.0625</v>
      </c>
      <c r="H1162" s="134" t="s">
        <v>411</v>
      </c>
      <c r="I1162" s="223" t="s">
        <v>411</v>
      </c>
      <c r="J1162" s="223" t="b">
        <f t="shared" si="1"/>
        <v>1</v>
      </c>
      <c r="K1162" s="145" t="s">
        <v>1227</v>
      </c>
      <c r="L1162" s="156"/>
      <c r="M1162" s="134" t="s">
        <v>428</v>
      </c>
      <c r="N1162" s="150">
        <f>if(and(O1162=TRUE,P1162=TRUE), VLOOKUP($E1162,PESSOAL!$B$35:$S$45,MONTH($F1162)+6,false)*G1162*24,0)</f>
        <v>92.08507109</v>
      </c>
      <c r="O1162" s="117" t="b">
        <f t="shared" si="2"/>
        <v>1</v>
      </c>
      <c r="P1162" s="117" t="b">
        <v>1</v>
      </c>
      <c r="Q1162" s="117" t="s">
        <v>368</v>
      </c>
    </row>
    <row r="1163" hidden="1">
      <c r="A1163" s="108"/>
      <c r="B1163" s="220"/>
      <c r="C1163" s="220" t="s">
        <v>290</v>
      </c>
      <c r="D1163" s="220" t="str">
        <f>vlookup(M1163,'Página10'!A:B,2,false)</f>
        <v>INOV00001</v>
      </c>
      <c r="E1163" s="134" t="s">
        <v>110</v>
      </c>
      <c r="F1163" s="221">
        <v>45064.0</v>
      </c>
      <c r="G1163" s="222">
        <v>0.08333333333333333</v>
      </c>
      <c r="H1163" s="134" t="s">
        <v>411</v>
      </c>
      <c r="I1163" s="223" t="s">
        <v>411</v>
      </c>
      <c r="J1163" s="223" t="b">
        <f t="shared" si="1"/>
        <v>1</v>
      </c>
      <c r="K1163" s="145" t="s">
        <v>1226</v>
      </c>
      <c r="L1163" s="156"/>
      <c r="M1163" s="134" t="s">
        <v>416</v>
      </c>
      <c r="N1163" s="150">
        <f>if(and(O1163=TRUE,P1163=TRUE), VLOOKUP($E1163,PESSOAL!$B$35:$S$45,MONTH($F1163)+6,false)*G1163*24,0)</f>
        <v>122.7800948</v>
      </c>
      <c r="O1163" s="117" t="b">
        <f t="shared" si="2"/>
        <v>1</v>
      </c>
      <c r="P1163" s="117" t="b">
        <v>1</v>
      </c>
      <c r="Q1163" s="117" t="s">
        <v>368</v>
      </c>
    </row>
    <row r="1164" hidden="1">
      <c r="A1164" s="108"/>
      <c r="B1164" s="220"/>
      <c r="C1164" s="220" t="s">
        <v>435</v>
      </c>
      <c r="D1164" s="220" t="str">
        <f>vlookup(M1164,'Página10'!A:B,2,false)</f>
        <v>INOV00020</v>
      </c>
      <c r="E1164" s="134" t="s">
        <v>110</v>
      </c>
      <c r="F1164" s="221">
        <v>45064.0</v>
      </c>
      <c r="G1164" s="222">
        <v>0.041666666666666664</v>
      </c>
      <c r="H1164" s="134" t="s">
        <v>474</v>
      </c>
      <c r="I1164" s="223" t="s">
        <v>411</v>
      </c>
      <c r="J1164" s="223" t="b">
        <f t="shared" si="1"/>
        <v>0</v>
      </c>
      <c r="K1164" s="145" t="s">
        <v>1228</v>
      </c>
      <c r="L1164" s="156"/>
      <c r="M1164" s="134" t="s">
        <v>434</v>
      </c>
      <c r="N1164" s="150">
        <f>if(and(O1164=TRUE,P1164=TRUE), VLOOKUP($E1164,PESSOAL!$B$35:$S$45,MONTH($F1164)+6,false)*G1164*24,0)</f>
        <v>0</v>
      </c>
      <c r="O1164" s="117" t="b">
        <f t="shared" si="2"/>
        <v>1</v>
      </c>
      <c r="P1164" s="117" t="b">
        <v>0</v>
      </c>
      <c r="Q1164" s="117" t="s">
        <v>368</v>
      </c>
    </row>
    <row r="1165" hidden="1">
      <c r="A1165" s="108"/>
      <c r="B1165" s="220"/>
      <c r="C1165" s="220" t="s">
        <v>290</v>
      </c>
      <c r="D1165" s="220" t="str">
        <f>vlookup(M1165,'Página10'!A:B,2,false)</f>
        <v>INOV00001</v>
      </c>
      <c r="E1165" s="134" t="s">
        <v>110</v>
      </c>
      <c r="F1165" s="221">
        <v>45065.0</v>
      </c>
      <c r="G1165" s="222">
        <v>0.125</v>
      </c>
      <c r="H1165" s="134" t="s">
        <v>411</v>
      </c>
      <c r="I1165" s="223" t="s">
        <v>411</v>
      </c>
      <c r="J1165" s="223" t="b">
        <f t="shared" si="1"/>
        <v>1</v>
      </c>
      <c r="K1165" s="145" t="s">
        <v>1229</v>
      </c>
      <c r="L1165" s="156"/>
      <c r="M1165" s="134" t="s">
        <v>416</v>
      </c>
      <c r="N1165" s="150">
        <f>if(and(O1165=TRUE,P1165=TRUE), VLOOKUP($E1165,PESSOAL!$B$35:$S$45,MONTH($F1165)+6,false)*G1165*24,0)</f>
        <v>184.1701422</v>
      </c>
      <c r="O1165" s="117" t="b">
        <f t="shared" si="2"/>
        <v>1</v>
      </c>
      <c r="P1165" s="117" t="b">
        <v>1</v>
      </c>
      <c r="Q1165" s="117" t="s">
        <v>368</v>
      </c>
    </row>
    <row r="1166" hidden="1">
      <c r="A1166" s="108"/>
      <c r="B1166" s="220"/>
      <c r="C1166" s="220" t="s">
        <v>69</v>
      </c>
      <c r="D1166" s="220" t="str">
        <f>vlookup(M1166,'Página10'!A:B,2,false)</f>
        <v>INOV00041</v>
      </c>
      <c r="E1166" s="134" t="s">
        <v>110</v>
      </c>
      <c r="F1166" s="221">
        <v>45065.0</v>
      </c>
      <c r="G1166" s="222">
        <v>0.041666666666666664</v>
      </c>
      <c r="H1166" s="134" t="s">
        <v>474</v>
      </c>
      <c r="I1166" s="223" t="s">
        <v>411</v>
      </c>
      <c r="J1166" s="223" t="b">
        <f t="shared" si="1"/>
        <v>0</v>
      </c>
      <c r="K1166" s="145" t="s">
        <v>1228</v>
      </c>
      <c r="L1166" s="156"/>
      <c r="M1166" s="134" t="s">
        <v>463</v>
      </c>
      <c r="N1166" s="224">
        <v>0.0</v>
      </c>
      <c r="O1166" s="117" t="b">
        <f t="shared" si="2"/>
        <v>1</v>
      </c>
      <c r="P1166" s="117" t="b">
        <v>1</v>
      </c>
      <c r="Q1166" s="117" t="s">
        <v>368</v>
      </c>
    </row>
    <row r="1167" hidden="1">
      <c r="A1167" s="108"/>
      <c r="B1167" s="220"/>
      <c r="C1167" s="220" t="s">
        <v>69</v>
      </c>
      <c r="D1167" s="220" t="str">
        <f>vlookup(M1167,'Página10'!A:B,2,false)</f>
        <v>INOV00041</v>
      </c>
      <c r="E1167" s="134" t="s">
        <v>110</v>
      </c>
      <c r="F1167" s="221">
        <v>45065.0</v>
      </c>
      <c r="G1167" s="222">
        <v>0.041666666666666664</v>
      </c>
      <c r="H1167" s="134" t="s">
        <v>475</v>
      </c>
      <c r="I1167" s="223" t="s">
        <v>475</v>
      </c>
      <c r="J1167" s="223" t="b">
        <f t="shared" si="1"/>
        <v>1</v>
      </c>
      <c r="K1167" s="145" t="s">
        <v>1230</v>
      </c>
      <c r="L1167" s="156"/>
      <c r="M1167" s="134" t="s">
        <v>463</v>
      </c>
      <c r="N1167" s="224">
        <v>0.0</v>
      </c>
      <c r="O1167" s="117" t="b">
        <f t="shared" si="2"/>
        <v>1</v>
      </c>
      <c r="P1167" s="117" t="b">
        <v>1</v>
      </c>
      <c r="Q1167" s="117" t="s">
        <v>368</v>
      </c>
    </row>
    <row r="1168" hidden="1">
      <c r="A1168" s="108"/>
      <c r="B1168" s="220"/>
      <c r="C1168" s="220" t="s">
        <v>290</v>
      </c>
      <c r="D1168" s="220" t="str">
        <f>vlookup(M1168,'Página10'!A:B,2,false)</f>
        <v>INOV00001</v>
      </c>
      <c r="E1168" s="134" t="s">
        <v>110</v>
      </c>
      <c r="F1168" s="221">
        <v>45068.0</v>
      </c>
      <c r="G1168" s="222">
        <v>0.125</v>
      </c>
      <c r="H1168" s="134" t="s">
        <v>411</v>
      </c>
      <c r="I1168" s="223" t="s">
        <v>411</v>
      </c>
      <c r="J1168" s="223" t="b">
        <f t="shared" si="1"/>
        <v>1</v>
      </c>
      <c r="K1168" s="145" t="s">
        <v>1231</v>
      </c>
      <c r="L1168" s="156"/>
      <c r="M1168" s="134" t="s">
        <v>416</v>
      </c>
      <c r="N1168" s="150">
        <f>if(and(O1168=TRUE,P1168=TRUE), VLOOKUP($E1168,PESSOAL!$B$35:$S$45,MONTH($F1168)+6,false)*G1168*24,0)</f>
        <v>184.1701422</v>
      </c>
      <c r="O1168" s="117" t="b">
        <f t="shared" si="2"/>
        <v>1</v>
      </c>
      <c r="P1168" s="117" t="b">
        <v>1</v>
      </c>
      <c r="Q1168" s="117" t="s">
        <v>368</v>
      </c>
    </row>
    <row r="1169" hidden="1">
      <c r="A1169" s="108"/>
      <c r="B1169" s="220"/>
      <c r="C1169" s="220" t="s">
        <v>290</v>
      </c>
      <c r="D1169" s="220" t="str">
        <f>vlookup(M1169,'Página10'!A:B,2,false)</f>
        <v>INOV00001</v>
      </c>
      <c r="E1169" s="134" t="s">
        <v>110</v>
      </c>
      <c r="F1169" s="221">
        <v>45068.0</v>
      </c>
      <c r="G1169" s="222">
        <v>0.041666666666666664</v>
      </c>
      <c r="H1169" s="134" t="s">
        <v>411</v>
      </c>
      <c r="I1169" s="223" t="s">
        <v>411</v>
      </c>
      <c r="J1169" s="223" t="b">
        <f t="shared" si="1"/>
        <v>1</v>
      </c>
      <c r="K1169" s="145" t="s">
        <v>1226</v>
      </c>
      <c r="L1169" s="156"/>
      <c r="M1169" s="134" t="s">
        <v>416</v>
      </c>
      <c r="N1169" s="150">
        <f>if(and(O1169=TRUE,P1169=TRUE), VLOOKUP($E1169,PESSOAL!$B$35:$S$45,MONTH($F1169)+6,false)*G1169*24,0)</f>
        <v>61.3900474</v>
      </c>
      <c r="O1169" s="117" t="b">
        <f t="shared" si="2"/>
        <v>1</v>
      </c>
      <c r="P1169" s="117" t="b">
        <v>1</v>
      </c>
      <c r="Q1169" s="117" t="s">
        <v>368</v>
      </c>
    </row>
    <row r="1170" hidden="1">
      <c r="A1170" s="108"/>
      <c r="B1170" s="220"/>
      <c r="C1170" s="220" t="s">
        <v>51</v>
      </c>
      <c r="D1170" s="220" t="str">
        <f>vlookup(M1170,'Página10'!A:B,2,false)</f>
        <v>INOV00010</v>
      </c>
      <c r="E1170" s="134" t="s">
        <v>110</v>
      </c>
      <c r="F1170" s="221">
        <v>45068.0</v>
      </c>
      <c r="G1170" s="222">
        <v>0.08333333333333333</v>
      </c>
      <c r="H1170" s="134" t="s">
        <v>411</v>
      </c>
      <c r="I1170" s="223" t="s">
        <v>411</v>
      </c>
      <c r="J1170" s="223" t="b">
        <f t="shared" si="1"/>
        <v>1</v>
      </c>
      <c r="K1170" s="145" t="s">
        <v>1232</v>
      </c>
      <c r="L1170" s="156"/>
      <c r="M1170" s="134" t="s">
        <v>423</v>
      </c>
      <c r="N1170" s="150">
        <f>if(and(O1170=TRUE,P1170=TRUE), VLOOKUP($E1170,PESSOAL!$B$35:$S$45,MONTH($F1170)+6,false)*G1170*24,0)</f>
        <v>122.7800948</v>
      </c>
      <c r="O1170" s="117" t="b">
        <f t="shared" si="2"/>
        <v>1</v>
      </c>
      <c r="P1170" s="117" t="b">
        <v>1</v>
      </c>
      <c r="Q1170" s="117" t="s">
        <v>368</v>
      </c>
    </row>
    <row r="1171" hidden="1">
      <c r="A1171" s="108"/>
      <c r="B1171" s="220"/>
      <c r="C1171" s="220" t="s">
        <v>51</v>
      </c>
      <c r="D1171" s="220" t="str">
        <f>vlookup(M1171,'Página10'!A:B,2,false)</f>
        <v>INOV00010</v>
      </c>
      <c r="E1171" s="134" t="s">
        <v>110</v>
      </c>
      <c r="F1171" s="221">
        <v>45069.0</v>
      </c>
      <c r="G1171" s="222">
        <v>0.020833333333333332</v>
      </c>
      <c r="H1171" s="134" t="s">
        <v>479</v>
      </c>
      <c r="I1171" s="223" t="s">
        <v>479</v>
      </c>
      <c r="J1171" s="223" t="b">
        <f t="shared" si="1"/>
        <v>1</v>
      </c>
      <c r="K1171" s="145" t="s">
        <v>1233</v>
      </c>
      <c r="L1171" s="156"/>
      <c r="M1171" s="134" t="s">
        <v>423</v>
      </c>
      <c r="N1171" s="150">
        <f>if(and(O1171=TRUE,P1171=TRUE), VLOOKUP($E1171,PESSOAL!$B$35:$S$45,MONTH($F1171)+6,false)*G1171*24,0)</f>
        <v>0</v>
      </c>
      <c r="O1171" s="117" t="b">
        <f t="shared" si="2"/>
        <v>0</v>
      </c>
      <c r="P1171" s="117" t="b">
        <v>1</v>
      </c>
      <c r="Q1171" s="117" t="s">
        <v>368</v>
      </c>
    </row>
    <row r="1172" hidden="1">
      <c r="A1172" s="108"/>
      <c r="B1172" s="220"/>
      <c r="C1172" s="220" t="s">
        <v>290</v>
      </c>
      <c r="D1172" s="220" t="str">
        <f>vlookup(M1172,'Página10'!A:B,2,false)</f>
        <v>INOV00001</v>
      </c>
      <c r="E1172" s="134" t="s">
        <v>110</v>
      </c>
      <c r="F1172" s="221">
        <v>45069.0</v>
      </c>
      <c r="G1172" s="222">
        <v>0.041666666666666664</v>
      </c>
      <c r="H1172" s="134" t="s">
        <v>479</v>
      </c>
      <c r="I1172" s="223" t="s">
        <v>479</v>
      </c>
      <c r="J1172" s="223" t="b">
        <f t="shared" si="1"/>
        <v>1</v>
      </c>
      <c r="K1172" s="145" t="s">
        <v>1214</v>
      </c>
      <c r="L1172" s="156"/>
      <c r="M1172" s="134" t="s">
        <v>416</v>
      </c>
      <c r="N1172" s="150">
        <f>if(and(O1172=TRUE,P1172=TRUE), VLOOKUP($E1172,PESSOAL!$B$35:$S$45,MONTH($F1172)+6,false)*G1172*24,0)</f>
        <v>0</v>
      </c>
      <c r="O1172" s="117" t="b">
        <f t="shared" si="2"/>
        <v>0</v>
      </c>
      <c r="P1172" s="117" t="b">
        <v>1</v>
      </c>
      <c r="Q1172" s="117" t="s">
        <v>368</v>
      </c>
    </row>
    <row r="1173" hidden="1">
      <c r="A1173" s="108"/>
      <c r="B1173" s="220"/>
      <c r="C1173" s="220" t="s">
        <v>290</v>
      </c>
      <c r="D1173" s="220" t="str">
        <f>vlookup(M1173,'Página10'!A:B,2,false)</f>
        <v>INOV00001</v>
      </c>
      <c r="E1173" s="134" t="s">
        <v>110</v>
      </c>
      <c r="F1173" s="221">
        <v>45069.0</v>
      </c>
      <c r="G1173" s="222">
        <v>0.041666666666666664</v>
      </c>
      <c r="H1173" s="134" t="s">
        <v>411</v>
      </c>
      <c r="I1173" s="223" t="s">
        <v>411</v>
      </c>
      <c r="J1173" s="223" t="b">
        <f t="shared" si="1"/>
        <v>1</v>
      </c>
      <c r="K1173" s="145" t="s">
        <v>1234</v>
      </c>
      <c r="L1173" s="156"/>
      <c r="M1173" s="134" t="s">
        <v>416</v>
      </c>
      <c r="N1173" s="150">
        <f>if(and(O1173=TRUE,P1173=TRUE), VLOOKUP($E1173,PESSOAL!$B$35:$S$45,MONTH($F1173)+6,false)*G1173*24,0)</f>
        <v>61.3900474</v>
      </c>
      <c r="O1173" s="117" t="b">
        <f t="shared" si="2"/>
        <v>1</v>
      </c>
      <c r="P1173" s="117" t="b">
        <v>1</v>
      </c>
      <c r="Q1173" s="117" t="s">
        <v>368</v>
      </c>
    </row>
    <row r="1174" hidden="1">
      <c r="A1174" s="108"/>
      <c r="B1174" s="220"/>
      <c r="C1174" s="220" t="s">
        <v>435</v>
      </c>
      <c r="D1174" s="220" t="str">
        <f>vlookup(M1174,'Página10'!A:B,2,false)</f>
        <v>INOV00020</v>
      </c>
      <c r="E1174" s="134" t="s">
        <v>110</v>
      </c>
      <c r="F1174" s="221">
        <v>45069.0</v>
      </c>
      <c r="G1174" s="222">
        <v>0.020833333333333332</v>
      </c>
      <c r="H1174" s="134" t="s">
        <v>475</v>
      </c>
      <c r="I1174" s="223" t="s">
        <v>475</v>
      </c>
      <c r="J1174" s="223" t="b">
        <f t="shared" si="1"/>
        <v>1</v>
      </c>
      <c r="K1174" s="145" t="s">
        <v>1235</v>
      </c>
      <c r="L1174" s="156"/>
      <c r="M1174" s="134" t="s">
        <v>434</v>
      </c>
      <c r="N1174" s="150">
        <f>if(and(O1174=TRUE,P1174=TRUE), VLOOKUP($E1174,PESSOAL!$B$35:$S$45,MONTH($F1174)+6,false)*G1174*24,0)</f>
        <v>0</v>
      </c>
      <c r="O1174" s="117" t="b">
        <f t="shared" si="2"/>
        <v>1</v>
      </c>
      <c r="P1174" s="117" t="b">
        <v>0</v>
      </c>
      <c r="Q1174" s="117" t="s">
        <v>368</v>
      </c>
    </row>
    <row r="1175" hidden="1">
      <c r="A1175" s="108"/>
      <c r="B1175" s="220"/>
      <c r="C1175" s="220" t="s">
        <v>69</v>
      </c>
      <c r="D1175" s="220" t="str">
        <f>vlookup(M1175,'Página10'!A:B,2,false)</f>
        <v>INOV00041</v>
      </c>
      <c r="E1175" s="134" t="s">
        <v>110</v>
      </c>
      <c r="F1175" s="221">
        <v>45070.0</v>
      </c>
      <c r="G1175" s="222">
        <v>0.0625</v>
      </c>
      <c r="H1175" s="134" t="s">
        <v>475</v>
      </c>
      <c r="I1175" s="223" t="s">
        <v>475</v>
      </c>
      <c r="J1175" s="223" t="b">
        <f t="shared" si="1"/>
        <v>1</v>
      </c>
      <c r="K1175" s="145" t="s">
        <v>1236</v>
      </c>
      <c r="L1175" s="156"/>
      <c r="M1175" s="134" t="s">
        <v>463</v>
      </c>
      <c r="N1175" s="224">
        <v>0.0</v>
      </c>
      <c r="O1175" s="117" t="b">
        <f t="shared" si="2"/>
        <v>1</v>
      </c>
      <c r="P1175" s="117" t="b">
        <v>1</v>
      </c>
      <c r="Q1175" s="117" t="s">
        <v>368</v>
      </c>
    </row>
    <row r="1176" hidden="1">
      <c r="A1176" s="108"/>
      <c r="B1176" s="220"/>
      <c r="C1176" s="220" t="s">
        <v>441</v>
      </c>
      <c r="D1176" s="220" t="str">
        <f>vlookup(M1176,'Página10'!A:B,2,false)</f>
        <v>INOV00025</v>
      </c>
      <c r="E1176" s="134" t="s">
        <v>110</v>
      </c>
      <c r="F1176" s="221">
        <v>45071.0</v>
      </c>
      <c r="G1176" s="222">
        <v>0.041666666666666664</v>
      </c>
      <c r="H1176" s="134" t="s">
        <v>475</v>
      </c>
      <c r="I1176" s="223" t="s">
        <v>475</v>
      </c>
      <c r="J1176" s="223" t="b">
        <f t="shared" si="1"/>
        <v>1</v>
      </c>
      <c r="K1176" s="145" t="s">
        <v>1237</v>
      </c>
      <c r="L1176" s="156"/>
      <c r="M1176" s="134" t="s">
        <v>440</v>
      </c>
      <c r="N1176" s="150">
        <f>if(and(O1176=TRUE,P1176=TRUE), VLOOKUP($E1176,PESSOAL!$B$35:$S$45,MONTH($F1176)+6,false)*G1176*24,0)</f>
        <v>0</v>
      </c>
      <c r="O1176" s="117" t="b">
        <f t="shared" si="2"/>
        <v>1</v>
      </c>
      <c r="P1176" s="117" t="b">
        <v>0</v>
      </c>
      <c r="Q1176" s="117" t="s">
        <v>368</v>
      </c>
    </row>
    <row r="1177" hidden="1">
      <c r="A1177" s="108"/>
      <c r="B1177" s="220"/>
      <c r="C1177" s="220" t="s">
        <v>290</v>
      </c>
      <c r="D1177" s="220" t="str">
        <f>vlookup(M1177,'Página10'!A:B,2,false)</f>
        <v>INOV00001</v>
      </c>
      <c r="E1177" s="134" t="s">
        <v>110</v>
      </c>
      <c r="F1177" s="221">
        <v>45071.0</v>
      </c>
      <c r="G1177" s="222">
        <v>0.041666666666666664</v>
      </c>
      <c r="H1177" s="134" t="s">
        <v>411</v>
      </c>
      <c r="I1177" s="223" t="s">
        <v>411</v>
      </c>
      <c r="J1177" s="223" t="b">
        <f t="shared" si="1"/>
        <v>1</v>
      </c>
      <c r="K1177" s="145" t="s">
        <v>1238</v>
      </c>
      <c r="L1177" s="156"/>
      <c r="M1177" s="134" t="s">
        <v>416</v>
      </c>
      <c r="N1177" s="150">
        <f>if(and(O1177=TRUE,P1177=TRUE), VLOOKUP($E1177,PESSOAL!$B$35:$S$45,MONTH($F1177)+6,false)*G1177*24,0)</f>
        <v>61.3900474</v>
      </c>
      <c r="O1177" s="117" t="b">
        <f t="shared" si="2"/>
        <v>1</v>
      </c>
      <c r="P1177" s="117" t="b">
        <v>1</v>
      </c>
      <c r="Q1177" s="117" t="s">
        <v>368</v>
      </c>
    </row>
    <row r="1178" hidden="1">
      <c r="A1178" s="108"/>
      <c r="B1178" s="220"/>
      <c r="C1178" s="220" t="s">
        <v>51</v>
      </c>
      <c r="D1178" s="220" t="str">
        <f>vlookup(M1178,'Página10'!A:B,2,false)</f>
        <v>INOV00010</v>
      </c>
      <c r="E1178" s="134" t="s">
        <v>110</v>
      </c>
      <c r="F1178" s="221">
        <v>45071.0</v>
      </c>
      <c r="G1178" s="222">
        <v>0.0625</v>
      </c>
      <c r="H1178" s="134" t="s">
        <v>411</v>
      </c>
      <c r="I1178" s="223" t="s">
        <v>411</v>
      </c>
      <c r="J1178" s="223" t="b">
        <f t="shared" si="1"/>
        <v>1</v>
      </c>
      <c r="K1178" s="145" t="s">
        <v>1239</v>
      </c>
      <c r="L1178" s="156"/>
      <c r="M1178" s="134" t="s">
        <v>423</v>
      </c>
      <c r="N1178" s="150">
        <f>if(and(O1178=TRUE,P1178=TRUE), VLOOKUP($E1178,PESSOAL!$B$35:$S$45,MONTH($F1178)+6,false)*G1178*24,0)</f>
        <v>92.08507109</v>
      </c>
      <c r="O1178" s="117" t="b">
        <f t="shared" si="2"/>
        <v>1</v>
      </c>
      <c r="P1178" s="117" t="b">
        <v>1</v>
      </c>
      <c r="Q1178" s="117" t="s">
        <v>368</v>
      </c>
    </row>
    <row r="1179" hidden="1">
      <c r="A1179" s="108"/>
      <c r="B1179" s="220"/>
      <c r="C1179" s="220" t="s">
        <v>54</v>
      </c>
      <c r="D1179" s="220" t="str">
        <f>vlookup(M1179,'Página10'!A:B,2,false)</f>
        <v>INOV00016</v>
      </c>
      <c r="E1179" s="134" t="s">
        <v>110</v>
      </c>
      <c r="F1179" s="221">
        <v>45071.0</v>
      </c>
      <c r="G1179" s="222">
        <v>0.041666666666666664</v>
      </c>
      <c r="H1179" s="134" t="s">
        <v>475</v>
      </c>
      <c r="I1179" s="223" t="s">
        <v>475</v>
      </c>
      <c r="J1179" s="223" t="b">
        <f t="shared" si="1"/>
        <v>1</v>
      </c>
      <c r="K1179" s="145" t="s">
        <v>1240</v>
      </c>
      <c r="L1179" s="156"/>
      <c r="M1179" s="134" t="s">
        <v>428</v>
      </c>
      <c r="N1179" s="150">
        <f>if(and(O1179=TRUE,P1179=TRUE), VLOOKUP($E1179,PESSOAL!$B$35:$S$45,MONTH($F1179)+6,false)*G1179*24,0)</f>
        <v>61.3900474</v>
      </c>
      <c r="O1179" s="117" t="b">
        <f t="shared" si="2"/>
        <v>1</v>
      </c>
      <c r="P1179" s="117" t="b">
        <v>1</v>
      </c>
      <c r="Q1179" s="117" t="s">
        <v>368</v>
      </c>
    </row>
    <row r="1180" hidden="1">
      <c r="A1180" s="108"/>
      <c r="B1180" s="220"/>
      <c r="C1180" s="220" t="s">
        <v>290</v>
      </c>
      <c r="D1180" s="220" t="str">
        <f>vlookup(M1180,'Página10'!A:B,2,false)</f>
        <v>INOV00001</v>
      </c>
      <c r="E1180" s="134" t="s">
        <v>110</v>
      </c>
      <c r="F1180" s="221">
        <v>45072.0</v>
      </c>
      <c r="G1180" s="222">
        <v>0.041666666666666664</v>
      </c>
      <c r="H1180" s="134" t="s">
        <v>411</v>
      </c>
      <c r="I1180" s="223" t="s">
        <v>411</v>
      </c>
      <c r="J1180" s="223" t="b">
        <f t="shared" si="1"/>
        <v>1</v>
      </c>
      <c r="K1180" s="145" t="s">
        <v>1238</v>
      </c>
      <c r="L1180" s="156"/>
      <c r="M1180" s="134" t="s">
        <v>416</v>
      </c>
      <c r="N1180" s="150">
        <f>if(and(O1180=TRUE,P1180=TRUE), VLOOKUP($E1180,PESSOAL!$B$35:$S$45,MONTH($F1180)+6,false)*G1180*24,0)</f>
        <v>61.3900474</v>
      </c>
      <c r="O1180" s="117" t="b">
        <f t="shared" si="2"/>
        <v>1</v>
      </c>
      <c r="P1180" s="117" t="b">
        <v>1</v>
      </c>
      <c r="Q1180" s="117" t="s">
        <v>368</v>
      </c>
    </row>
    <row r="1181" hidden="1">
      <c r="A1181" s="108"/>
      <c r="B1181" s="220"/>
      <c r="C1181" s="220" t="s">
        <v>290</v>
      </c>
      <c r="D1181" s="220" t="str">
        <f>vlookup(M1181,'Página10'!A:B,2,false)</f>
        <v>INOV00001</v>
      </c>
      <c r="E1181" s="134" t="s">
        <v>110</v>
      </c>
      <c r="F1181" s="221">
        <v>45072.0</v>
      </c>
      <c r="G1181" s="222">
        <v>0.0625</v>
      </c>
      <c r="H1181" s="134" t="s">
        <v>411</v>
      </c>
      <c r="I1181" s="223" t="s">
        <v>411</v>
      </c>
      <c r="J1181" s="223" t="b">
        <f t="shared" si="1"/>
        <v>1</v>
      </c>
      <c r="K1181" s="145" t="s">
        <v>1241</v>
      </c>
      <c r="L1181" s="156"/>
      <c r="M1181" s="134" t="s">
        <v>416</v>
      </c>
      <c r="N1181" s="150">
        <f>if(and(O1181=TRUE,P1181=TRUE), VLOOKUP($E1181,PESSOAL!$B$35:$S$45,MONTH($F1181)+6,false)*G1181*24,0)</f>
        <v>92.08507109</v>
      </c>
      <c r="O1181" s="117" t="b">
        <f t="shared" si="2"/>
        <v>1</v>
      </c>
      <c r="P1181" s="117" t="b">
        <v>1</v>
      </c>
      <c r="Q1181" s="117" t="s">
        <v>368</v>
      </c>
    </row>
    <row r="1182" hidden="1">
      <c r="A1182" s="108"/>
      <c r="B1182" s="220"/>
      <c r="C1182" s="220" t="s">
        <v>54</v>
      </c>
      <c r="D1182" s="220" t="str">
        <f>vlookup(M1182,'Página10'!A:B,2,false)</f>
        <v>INOV00016</v>
      </c>
      <c r="E1182" s="134" t="s">
        <v>110</v>
      </c>
      <c r="F1182" s="221">
        <v>45075.0</v>
      </c>
      <c r="G1182" s="222">
        <v>0.125</v>
      </c>
      <c r="H1182" s="134" t="s">
        <v>411</v>
      </c>
      <c r="I1182" s="223" t="s">
        <v>411</v>
      </c>
      <c r="J1182" s="223" t="b">
        <f t="shared" si="1"/>
        <v>1</v>
      </c>
      <c r="K1182" s="145" t="s">
        <v>1242</v>
      </c>
      <c r="L1182" s="156"/>
      <c r="M1182" s="134" t="s">
        <v>428</v>
      </c>
      <c r="N1182" s="150">
        <f>if(and(O1182=TRUE,P1182=TRUE), VLOOKUP($E1182,PESSOAL!$B$35:$S$45,MONTH($F1182)+6,false)*G1182*24,0)</f>
        <v>184.1701422</v>
      </c>
      <c r="O1182" s="117" t="b">
        <f t="shared" si="2"/>
        <v>1</v>
      </c>
      <c r="P1182" s="117" t="b">
        <v>1</v>
      </c>
      <c r="Q1182" s="117" t="s">
        <v>368</v>
      </c>
    </row>
    <row r="1183" hidden="1">
      <c r="A1183" s="108"/>
      <c r="B1183" s="220"/>
      <c r="C1183" s="220" t="s">
        <v>56</v>
      </c>
      <c r="D1183" s="220" t="str">
        <f>vlookup(M1183,'Página10'!A:B,2,false)</f>
        <v>INOV00021</v>
      </c>
      <c r="E1183" s="134" t="s">
        <v>110</v>
      </c>
      <c r="F1183" s="221">
        <v>45075.0</v>
      </c>
      <c r="G1183" s="222">
        <v>0.041666666666666664</v>
      </c>
      <c r="H1183" s="134" t="s">
        <v>475</v>
      </c>
      <c r="I1183" s="223" t="s">
        <v>475</v>
      </c>
      <c r="J1183" s="223" t="b">
        <f t="shared" si="1"/>
        <v>1</v>
      </c>
      <c r="K1183" s="145" t="s">
        <v>1243</v>
      </c>
      <c r="L1183" s="156"/>
      <c r="M1183" s="134" t="s">
        <v>436</v>
      </c>
      <c r="N1183" s="150">
        <f>if(and(O1183=TRUE,P1183=TRUE), VLOOKUP($E1183,PESSOAL!$B$35:$S$45,MONTH($F1183)+6,false)*G1183*24,0)</f>
        <v>61.3900474</v>
      </c>
      <c r="O1183" s="117" t="b">
        <f t="shared" si="2"/>
        <v>1</v>
      </c>
      <c r="P1183" s="117" t="b">
        <v>1</v>
      </c>
      <c r="Q1183" s="117" t="s">
        <v>368</v>
      </c>
    </row>
    <row r="1184" hidden="1">
      <c r="A1184" s="108"/>
      <c r="B1184" s="220"/>
      <c r="C1184" s="220" t="s">
        <v>51</v>
      </c>
      <c r="D1184" s="220" t="str">
        <f>vlookup(M1184,'Página10'!A:B,2,false)</f>
        <v>INOV00010</v>
      </c>
      <c r="E1184" s="134" t="s">
        <v>110</v>
      </c>
      <c r="F1184" s="221">
        <v>45075.0</v>
      </c>
      <c r="G1184" s="222">
        <v>0.020833333333333332</v>
      </c>
      <c r="H1184" s="134" t="s">
        <v>411</v>
      </c>
      <c r="I1184" s="223" t="s">
        <v>411</v>
      </c>
      <c r="J1184" s="223" t="b">
        <f t="shared" si="1"/>
        <v>1</v>
      </c>
      <c r="K1184" s="145" t="s">
        <v>1244</v>
      </c>
      <c r="L1184" s="156"/>
      <c r="M1184" s="134" t="s">
        <v>423</v>
      </c>
      <c r="N1184" s="150">
        <f>if(and(O1184=TRUE,P1184=TRUE), VLOOKUP($E1184,PESSOAL!$B$35:$S$45,MONTH($F1184)+6,false)*G1184*24,0)</f>
        <v>30.6950237</v>
      </c>
      <c r="O1184" s="117" t="b">
        <f t="shared" si="2"/>
        <v>1</v>
      </c>
      <c r="P1184" s="117" t="b">
        <v>1</v>
      </c>
      <c r="Q1184" s="117" t="s">
        <v>368</v>
      </c>
    </row>
    <row r="1185" hidden="1">
      <c r="A1185" s="108"/>
      <c r="B1185" s="220"/>
      <c r="C1185" s="220" t="s">
        <v>441</v>
      </c>
      <c r="D1185" s="220" t="str">
        <f>vlookup(M1185,'Página10'!A:B,2,false)</f>
        <v>INOV00025</v>
      </c>
      <c r="E1185" s="134" t="s">
        <v>110</v>
      </c>
      <c r="F1185" s="221">
        <v>45076.0</v>
      </c>
      <c r="G1185" s="222">
        <v>0.041666666666666664</v>
      </c>
      <c r="H1185" s="134" t="s">
        <v>411</v>
      </c>
      <c r="I1185" s="223" t="s">
        <v>411</v>
      </c>
      <c r="J1185" s="223" t="b">
        <f t="shared" si="1"/>
        <v>1</v>
      </c>
      <c r="K1185" s="145" t="s">
        <v>1245</v>
      </c>
      <c r="L1185" s="156"/>
      <c r="M1185" s="134" t="s">
        <v>440</v>
      </c>
      <c r="N1185" s="150">
        <f>if(and(O1185=TRUE,P1185=TRUE), VLOOKUP($E1185,PESSOAL!$B$35:$S$45,MONTH($F1185)+6,false)*G1185*24,0)</f>
        <v>0</v>
      </c>
      <c r="O1185" s="117" t="b">
        <f t="shared" si="2"/>
        <v>1</v>
      </c>
      <c r="P1185" s="117" t="b">
        <v>0</v>
      </c>
      <c r="Q1185" s="117" t="s">
        <v>368</v>
      </c>
    </row>
    <row r="1186" hidden="1">
      <c r="A1186" s="108"/>
      <c r="B1186" s="220"/>
      <c r="C1186" s="220" t="s">
        <v>290</v>
      </c>
      <c r="D1186" s="220" t="str">
        <f>vlookup(M1186,'Página10'!A:B,2,false)</f>
        <v>INOV00001</v>
      </c>
      <c r="E1186" s="134" t="s">
        <v>110</v>
      </c>
      <c r="F1186" s="221">
        <v>45076.0</v>
      </c>
      <c r="G1186" s="222">
        <v>0.0625</v>
      </c>
      <c r="H1186" s="134" t="s">
        <v>474</v>
      </c>
      <c r="I1186" s="223" t="s">
        <v>474</v>
      </c>
      <c r="J1186" s="223" t="b">
        <f t="shared" si="1"/>
        <v>1</v>
      </c>
      <c r="K1186" s="145" t="s">
        <v>1224</v>
      </c>
      <c r="L1186" s="156"/>
      <c r="M1186" s="134" t="s">
        <v>416</v>
      </c>
      <c r="N1186" s="150">
        <f>if(and(O1186=TRUE,P1186=TRUE), VLOOKUP($E1186,PESSOAL!$B$35:$S$45,MONTH($F1186)+6,false)*G1186*24,0)</f>
        <v>92.08507109</v>
      </c>
      <c r="O1186" s="117" t="b">
        <f t="shared" si="2"/>
        <v>1</v>
      </c>
      <c r="P1186" s="117" t="b">
        <v>1</v>
      </c>
      <c r="Q1186" s="117" t="s">
        <v>368</v>
      </c>
    </row>
    <row r="1187" hidden="1">
      <c r="A1187" s="108"/>
      <c r="B1187" s="220"/>
      <c r="C1187" s="220" t="s">
        <v>290</v>
      </c>
      <c r="D1187" s="220" t="str">
        <f>vlookup(M1187,'Página10'!A:B,2,false)</f>
        <v>INOV00001</v>
      </c>
      <c r="E1187" s="134" t="s">
        <v>110</v>
      </c>
      <c r="F1187" s="221">
        <v>45076.0</v>
      </c>
      <c r="G1187" s="222">
        <v>0.0625</v>
      </c>
      <c r="H1187" s="134" t="s">
        <v>411</v>
      </c>
      <c r="I1187" s="223" t="s">
        <v>411</v>
      </c>
      <c r="J1187" s="223" t="b">
        <f t="shared" si="1"/>
        <v>1</v>
      </c>
      <c r="K1187" s="145" t="s">
        <v>1246</v>
      </c>
      <c r="L1187" s="156"/>
      <c r="M1187" s="134" t="s">
        <v>416</v>
      </c>
      <c r="N1187" s="150">
        <f>if(and(O1187=TRUE,P1187=TRUE), VLOOKUP($E1187,PESSOAL!$B$35:$S$45,MONTH($F1187)+6,false)*G1187*24,0)</f>
        <v>92.08507109</v>
      </c>
      <c r="O1187" s="117" t="b">
        <f t="shared" si="2"/>
        <v>1</v>
      </c>
      <c r="P1187" s="117" t="b">
        <v>1</v>
      </c>
      <c r="Q1187" s="117" t="s">
        <v>368</v>
      </c>
    </row>
    <row r="1188" hidden="1">
      <c r="A1188" s="108"/>
      <c r="B1188" s="220"/>
      <c r="C1188" s="220" t="s">
        <v>441</v>
      </c>
      <c r="D1188" s="220" t="str">
        <f>vlookup(M1188,'Página10'!A:B,2,false)</f>
        <v>INOV00025</v>
      </c>
      <c r="E1188" s="134" t="s">
        <v>110</v>
      </c>
      <c r="F1188" s="221">
        <v>45077.0</v>
      </c>
      <c r="G1188" s="222">
        <v>0.09375</v>
      </c>
      <c r="H1188" s="134" t="s">
        <v>411</v>
      </c>
      <c r="I1188" s="223" t="s">
        <v>411</v>
      </c>
      <c r="J1188" s="223" t="b">
        <f t="shared" si="1"/>
        <v>1</v>
      </c>
      <c r="K1188" s="145" t="s">
        <v>1245</v>
      </c>
      <c r="L1188" s="156"/>
      <c r="M1188" s="134" t="s">
        <v>440</v>
      </c>
      <c r="N1188" s="150">
        <f>if(and(O1188=TRUE,P1188=TRUE), VLOOKUP($E1188,PESSOAL!$B$35:$S$45,MONTH($F1188)+6,false)*G1188*24,0)</f>
        <v>0</v>
      </c>
      <c r="O1188" s="117" t="b">
        <f t="shared" si="2"/>
        <v>1</v>
      </c>
      <c r="P1188" s="117" t="b">
        <v>0</v>
      </c>
      <c r="Q1188" s="117" t="s">
        <v>368</v>
      </c>
    </row>
    <row r="1189" hidden="1">
      <c r="A1189" s="108"/>
      <c r="B1189" s="220"/>
      <c r="C1189" s="220" t="s">
        <v>290</v>
      </c>
      <c r="D1189" s="220" t="str">
        <f>vlookup(M1189,'Página10'!A:B,2,false)</f>
        <v>INOV00001</v>
      </c>
      <c r="E1189" s="134" t="s">
        <v>110</v>
      </c>
      <c r="F1189" s="221">
        <v>45077.0</v>
      </c>
      <c r="G1189" s="222">
        <v>0.125</v>
      </c>
      <c r="H1189" s="134" t="s">
        <v>411</v>
      </c>
      <c r="I1189" s="223" t="s">
        <v>411</v>
      </c>
      <c r="J1189" s="223" t="b">
        <f t="shared" si="1"/>
        <v>1</v>
      </c>
      <c r="K1189" s="145" t="s">
        <v>1247</v>
      </c>
      <c r="L1189" s="156"/>
      <c r="M1189" s="134" t="s">
        <v>416</v>
      </c>
      <c r="N1189" s="150">
        <f>if(and(O1189=TRUE,P1189=TRUE), VLOOKUP($E1189,PESSOAL!$B$35:$S$45,MONTH($F1189)+6,false)*G1189*24,0)</f>
        <v>184.1701422</v>
      </c>
      <c r="O1189" s="117" t="b">
        <f t="shared" si="2"/>
        <v>1</v>
      </c>
      <c r="P1189" s="117" t="b">
        <v>1</v>
      </c>
      <c r="Q1189" s="117" t="s">
        <v>368</v>
      </c>
    </row>
    <row r="1190" hidden="1">
      <c r="A1190" s="108"/>
      <c r="B1190" s="220"/>
      <c r="C1190" s="220" t="s">
        <v>54</v>
      </c>
      <c r="D1190" s="220" t="str">
        <f>vlookup(M1190,'Página10'!A:B,2,false)</f>
        <v>INOV00016</v>
      </c>
      <c r="E1190" s="134" t="s">
        <v>110</v>
      </c>
      <c r="F1190" s="221">
        <v>45077.0</v>
      </c>
      <c r="G1190" s="222">
        <v>0.020833333333333332</v>
      </c>
      <c r="H1190" s="134" t="s">
        <v>411</v>
      </c>
      <c r="I1190" s="223" t="s">
        <v>411</v>
      </c>
      <c r="J1190" s="223" t="b">
        <f t="shared" si="1"/>
        <v>1</v>
      </c>
      <c r="K1190" s="145" t="s">
        <v>1248</v>
      </c>
      <c r="L1190" s="156"/>
      <c r="M1190" s="134" t="s">
        <v>428</v>
      </c>
      <c r="N1190" s="150">
        <f>if(and(O1190=TRUE,P1190=TRUE), VLOOKUP($E1190,PESSOAL!$B$35:$S$45,MONTH($F1190)+6,false)*G1190*24,0)</f>
        <v>30.6950237</v>
      </c>
      <c r="O1190" s="117" t="b">
        <f t="shared" si="2"/>
        <v>1</v>
      </c>
      <c r="P1190" s="117" t="b">
        <v>1</v>
      </c>
      <c r="Q1190" s="117" t="s">
        <v>368</v>
      </c>
    </row>
    <row r="1191" hidden="1">
      <c r="A1191" s="108"/>
      <c r="B1191" s="220"/>
      <c r="C1191" s="220" t="s">
        <v>441</v>
      </c>
      <c r="D1191" s="220" t="str">
        <f>vlookup(M1191,'Página10'!A:B,2,false)</f>
        <v>INOV00025</v>
      </c>
      <c r="E1191" s="134" t="s">
        <v>110</v>
      </c>
      <c r="F1191" s="221">
        <v>45078.0</v>
      </c>
      <c r="G1191" s="222">
        <v>0.07291666666666667</v>
      </c>
      <c r="H1191" s="134" t="s">
        <v>411</v>
      </c>
      <c r="I1191" s="223" t="s">
        <v>411</v>
      </c>
      <c r="J1191" s="223" t="b">
        <f t="shared" si="1"/>
        <v>1</v>
      </c>
      <c r="K1191" s="145" t="s">
        <v>1245</v>
      </c>
      <c r="L1191" s="156"/>
      <c r="M1191" s="134" t="s">
        <v>440</v>
      </c>
      <c r="N1191" s="150">
        <f>if(and(O1191=TRUE,P1191=TRUE), VLOOKUP($E1191,PESSOAL!$B$35:$S$45,MONTH($F1191)+6,false)*G1191*24,0)</f>
        <v>0</v>
      </c>
      <c r="O1191" s="117" t="b">
        <f t="shared" si="2"/>
        <v>1</v>
      </c>
      <c r="P1191" s="117" t="b">
        <v>0</v>
      </c>
      <c r="Q1191" s="117" t="s">
        <v>368</v>
      </c>
    </row>
    <row r="1192" hidden="1">
      <c r="A1192" s="108"/>
      <c r="B1192" s="220"/>
      <c r="C1192" s="220" t="s">
        <v>290</v>
      </c>
      <c r="D1192" s="220" t="str">
        <f>vlookup(M1192,'Página10'!A:B,2,false)</f>
        <v>INOV00001</v>
      </c>
      <c r="E1192" s="134" t="s">
        <v>110</v>
      </c>
      <c r="F1192" s="221">
        <v>45078.0</v>
      </c>
      <c r="G1192" s="222">
        <v>0.08333333333333333</v>
      </c>
      <c r="H1192" s="134" t="s">
        <v>411</v>
      </c>
      <c r="I1192" s="223" t="s">
        <v>411</v>
      </c>
      <c r="J1192" s="223" t="b">
        <f t="shared" si="1"/>
        <v>1</v>
      </c>
      <c r="K1192" s="145" t="s">
        <v>1246</v>
      </c>
      <c r="L1192" s="156"/>
      <c r="M1192" s="134" t="s">
        <v>416</v>
      </c>
      <c r="N1192" s="150">
        <f>if(and(O1192=TRUE,P1192=TRUE), VLOOKUP($E1192,PESSOAL!$B$35:$S$45,MONTH($F1192)+6,false)*G1192*24,0)</f>
        <v>128.626766</v>
      </c>
      <c r="O1192" s="117" t="b">
        <f t="shared" si="2"/>
        <v>1</v>
      </c>
      <c r="P1192" s="117" t="b">
        <v>1</v>
      </c>
      <c r="Q1192" s="117" t="s">
        <v>368</v>
      </c>
    </row>
    <row r="1193" hidden="1">
      <c r="A1193" s="108"/>
      <c r="B1193" s="220"/>
      <c r="C1193" s="220" t="s">
        <v>290</v>
      </c>
      <c r="D1193" s="220" t="str">
        <f>vlookup(M1193,'Página10'!A:B,2,false)</f>
        <v>INOV00001</v>
      </c>
      <c r="E1193" s="134" t="s">
        <v>110</v>
      </c>
      <c r="F1193" s="221">
        <v>45078.0</v>
      </c>
      <c r="G1193" s="222">
        <v>0.10416666666666667</v>
      </c>
      <c r="H1193" s="134" t="s">
        <v>411</v>
      </c>
      <c r="I1193" s="223" t="s">
        <v>411</v>
      </c>
      <c r="J1193" s="223" t="b">
        <f t="shared" si="1"/>
        <v>1</v>
      </c>
      <c r="K1193" s="145" t="s">
        <v>1249</v>
      </c>
      <c r="L1193" s="156"/>
      <c r="M1193" s="134" t="s">
        <v>416</v>
      </c>
      <c r="N1193" s="150">
        <f>if(and(O1193=TRUE,P1193=TRUE), VLOOKUP($E1193,PESSOAL!$B$35:$S$45,MONTH($F1193)+6,false)*G1193*24,0)</f>
        <v>160.7834575</v>
      </c>
      <c r="O1193" s="117" t="b">
        <f t="shared" si="2"/>
        <v>1</v>
      </c>
      <c r="P1193" s="117" t="b">
        <v>1</v>
      </c>
      <c r="Q1193" s="117" t="s">
        <v>368</v>
      </c>
    </row>
    <row r="1194" hidden="1">
      <c r="A1194" s="108"/>
      <c r="B1194" s="220"/>
      <c r="C1194" s="220" t="s">
        <v>290</v>
      </c>
      <c r="D1194" s="220" t="str">
        <f>vlookup(M1194,'Página10'!A:B,2,false)</f>
        <v>INOV00001</v>
      </c>
      <c r="E1194" s="134" t="s">
        <v>110</v>
      </c>
      <c r="F1194" s="221">
        <v>45082.0</v>
      </c>
      <c r="G1194" s="222">
        <v>0.08333333333333333</v>
      </c>
      <c r="H1194" s="134" t="s">
        <v>475</v>
      </c>
      <c r="I1194" s="223" t="s">
        <v>411</v>
      </c>
      <c r="J1194" s="223" t="b">
        <f t="shared" si="1"/>
        <v>0</v>
      </c>
      <c r="K1194" s="145" t="s">
        <v>1184</v>
      </c>
      <c r="L1194" s="156"/>
      <c r="M1194" s="134" t="s">
        <v>416</v>
      </c>
      <c r="N1194" s="150">
        <f>if(and(O1194=TRUE,P1194=TRUE), VLOOKUP($E1194,PESSOAL!$B$35:$S$45,MONTH($F1194)+6,false)*G1194*24,0)</f>
        <v>128.626766</v>
      </c>
      <c r="O1194" s="117" t="b">
        <f t="shared" si="2"/>
        <v>1</v>
      </c>
      <c r="P1194" s="117" t="b">
        <v>1</v>
      </c>
      <c r="Q1194" s="117" t="s">
        <v>368</v>
      </c>
    </row>
    <row r="1195" hidden="1">
      <c r="A1195" s="108"/>
      <c r="B1195" s="220"/>
      <c r="C1195" s="220" t="s">
        <v>290</v>
      </c>
      <c r="D1195" s="220" t="str">
        <f>vlookup(M1195,'Página10'!A:B,2,false)</f>
        <v>INOV00001</v>
      </c>
      <c r="E1195" s="134" t="s">
        <v>110</v>
      </c>
      <c r="F1195" s="221">
        <v>45082.0</v>
      </c>
      <c r="G1195" s="222">
        <v>0.020833333333333332</v>
      </c>
      <c r="H1195" s="134" t="s">
        <v>479</v>
      </c>
      <c r="I1195" s="223" t="s">
        <v>479</v>
      </c>
      <c r="J1195" s="223" t="b">
        <f t="shared" si="1"/>
        <v>1</v>
      </c>
      <c r="K1195" s="145" t="s">
        <v>1250</v>
      </c>
      <c r="L1195" s="156"/>
      <c r="M1195" s="134" t="s">
        <v>416</v>
      </c>
      <c r="N1195" s="150">
        <f>if(and(O1195=TRUE,P1195=TRUE), VLOOKUP($E1195,PESSOAL!$B$35:$S$45,MONTH($F1195)+6,false)*G1195*24,0)</f>
        <v>0</v>
      </c>
      <c r="O1195" s="117" t="b">
        <f t="shared" si="2"/>
        <v>0</v>
      </c>
      <c r="P1195" s="117" t="b">
        <v>1</v>
      </c>
      <c r="Q1195" s="117" t="s">
        <v>368</v>
      </c>
    </row>
    <row r="1196" hidden="1">
      <c r="A1196" s="108"/>
      <c r="B1196" s="220"/>
      <c r="C1196" s="220" t="s">
        <v>290</v>
      </c>
      <c r="D1196" s="220" t="str">
        <f>vlookup(M1196,'Página10'!A:B,2,false)</f>
        <v>INOV00001</v>
      </c>
      <c r="E1196" s="134" t="s">
        <v>110</v>
      </c>
      <c r="F1196" s="221">
        <v>45082.0</v>
      </c>
      <c r="G1196" s="222">
        <v>0.041666666666666664</v>
      </c>
      <c r="H1196" s="134" t="s">
        <v>411</v>
      </c>
      <c r="I1196" s="223" t="s">
        <v>411</v>
      </c>
      <c r="J1196" s="223" t="b">
        <f t="shared" si="1"/>
        <v>1</v>
      </c>
      <c r="K1196" s="145" t="s">
        <v>1251</v>
      </c>
      <c r="L1196" s="156"/>
      <c r="M1196" s="134" t="s">
        <v>416</v>
      </c>
      <c r="N1196" s="150">
        <f>if(and(O1196=TRUE,P1196=TRUE), VLOOKUP($E1196,PESSOAL!$B$35:$S$45,MONTH($F1196)+6,false)*G1196*24,0)</f>
        <v>64.31338299</v>
      </c>
      <c r="O1196" s="117" t="b">
        <f t="shared" si="2"/>
        <v>1</v>
      </c>
      <c r="P1196" s="117" t="b">
        <v>1</v>
      </c>
      <c r="Q1196" s="117" t="s">
        <v>368</v>
      </c>
    </row>
    <row r="1197" hidden="1">
      <c r="A1197" s="108"/>
      <c r="B1197" s="220"/>
      <c r="C1197" s="220" t="s">
        <v>54</v>
      </c>
      <c r="D1197" s="220" t="str">
        <f>vlookup(M1197,'Página10'!A:B,2,false)</f>
        <v>INOV00016</v>
      </c>
      <c r="E1197" s="134" t="s">
        <v>110</v>
      </c>
      <c r="F1197" s="221">
        <v>45083.0</v>
      </c>
      <c r="G1197" s="222">
        <v>0.020833333333333332</v>
      </c>
      <c r="H1197" s="134" t="s">
        <v>479</v>
      </c>
      <c r="I1197" s="223" t="s">
        <v>479</v>
      </c>
      <c r="J1197" s="223" t="b">
        <f t="shared" si="1"/>
        <v>1</v>
      </c>
      <c r="K1197" s="145" t="s">
        <v>1252</v>
      </c>
      <c r="L1197" s="156"/>
      <c r="M1197" s="134" t="s">
        <v>428</v>
      </c>
      <c r="N1197" s="150">
        <f>if(and(O1197=TRUE,P1197=TRUE), VLOOKUP($E1197,PESSOAL!$B$35:$S$45,MONTH($F1197)+6,false)*G1197*24,0)</f>
        <v>0</v>
      </c>
      <c r="O1197" s="117" t="b">
        <f t="shared" si="2"/>
        <v>0</v>
      </c>
      <c r="P1197" s="117" t="b">
        <v>1</v>
      </c>
      <c r="Q1197" s="117" t="s">
        <v>368</v>
      </c>
    </row>
    <row r="1198" hidden="1">
      <c r="A1198" s="108"/>
      <c r="B1198" s="220"/>
      <c r="C1198" s="220" t="s">
        <v>69</v>
      </c>
      <c r="D1198" s="220" t="str">
        <f>vlookup(M1198,'Página10'!A:B,2,false)</f>
        <v>INOV00041</v>
      </c>
      <c r="E1198" s="134" t="s">
        <v>110</v>
      </c>
      <c r="F1198" s="221">
        <v>45083.0</v>
      </c>
      <c r="G1198" s="222">
        <v>0.0625</v>
      </c>
      <c r="H1198" s="134" t="s">
        <v>475</v>
      </c>
      <c r="I1198" s="223" t="s">
        <v>475</v>
      </c>
      <c r="J1198" s="223" t="b">
        <f t="shared" si="1"/>
        <v>1</v>
      </c>
      <c r="K1198" s="145" t="s">
        <v>1253</v>
      </c>
      <c r="L1198" s="156"/>
      <c r="M1198" s="134" t="s">
        <v>463</v>
      </c>
      <c r="N1198" s="224">
        <v>0.0</v>
      </c>
      <c r="O1198" s="117" t="b">
        <f t="shared" si="2"/>
        <v>1</v>
      </c>
      <c r="P1198" s="117" t="b">
        <v>1</v>
      </c>
      <c r="Q1198" s="117" t="s">
        <v>368</v>
      </c>
    </row>
    <row r="1199" hidden="1">
      <c r="A1199" s="108"/>
      <c r="B1199" s="220"/>
      <c r="C1199" s="220" t="s">
        <v>54</v>
      </c>
      <c r="D1199" s="220" t="str">
        <f>vlookup(M1199,'Página10'!A:B,2,false)</f>
        <v>INOV00016</v>
      </c>
      <c r="E1199" s="134" t="s">
        <v>110</v>
      </c>
      <c r="F1199" s="221">
        <v>45083.0</v>
      </c>
      <c r="G1199" s="222">
        <v>0.041666666666666664</v>
      </c>
      <c r="H1199" s="134" t="s">
        <v>411</v>
      </c>
      <c r="I1199" s="223" t="s">
        <v>411</v>
      </c>
      <c r="J1199" s="223" t="b">
        <f t="shared" si="1"/>
        <v>1</v>
      </c>
      <c r="K1199" s="145" t="s">
        <v>1254</v>
      </c>
      <c r="L1199" s="156"/>
      <c r="M1199" s="134" t="s">
        <v>428</v>
      </c>
      <c r="N1199" s="150">
        <f>if(and(O1199=TRUE,P1199=TRUE), VLOOKUP($E1199,PESSOAL!$B$35:$S$45,MONTH($F1199)+6,false)*G1199*24,0)</f>
        <v>64.31338299</v>
      </c>
      <c r="O1199" s="117" t="b">
        <f t="shared" si="2"/>
        <v>1</v>
      </c>
      <c r="P1199" s="117" t="b">
        <v>1</v>
      </c>
      <c r="Q1199" s="117" t="s">
        <v>368</v>
      </c>
    </row>
    <row r="1200" hidden="1">
      <c r="A1200" s="108"/>
      <c r="B1200" s="220"/>
      <c r="C1200" s="220" t="s">
        <v>290</v>
      </c>
      <c r="D1200" s="220" t="str">
        <f>vlookup(M1200,'Página10'!A:B,2,false)</f>
        <v>INOV00001</v>
      </c>
      <c r="E1200" s="134" t="s">
        <v>110</v>
      </c>
      <c r="F1200" s="221">
        <v>45083.0</v>
      </c>
      <c r="G1200" s="222">
        <v>0.10416666666666667</v>
      </c>
      <c r="H1200" s="134" t="s">
        <v>411</v>
      </c>
      <c r="I1200" s="223" t="s">
        <v>411</v>
      </c>
      <c r="J1200" s="223" t="b">
        <f t="shared" si="1"/>
        <v>1</v>
      </c>
      <c r="K1200" s="145" t="s">
        <v>1255</v>
      </c>
      <c r="L1200" s="156"/>
      <c r="M1200" s="134" t="s">
        <v>416</v>
      </c>
      <c r="N1200" s="150">
        <f>if(and(O1200=TRUE,P1200=TRUE), VLOOKUP($E1200,PESSOAL!$B$35:$S$45,MONTH($F1200)+6,false)*G1200*24,0)</f>
        <v>160.7834575</v>
      </c>
      <c r="O1200" s="117" t="b">
        <f t="shared" si="2"/>
        <v>1</v>
      </c>
      <c r="P1200" s="117" t="b">
        <v>1</v>
      </c>
      <c r="Q1200" s="117" t="s">
        <v>368</v>
      </c>
    </row>
    <row r="1201" hidden="1">
      <c r="A1201" s="108"/>
      <c r="B1201" s="220"/>
      <c r="C1201" s="220" t="s">
        <v>290</v>
      </c>
      <c r="D1201" s="220" t="str">
        <f>vlookup(M1201,'Página10'!A:B,2,false)</f>
        <v>INOV00001</v>
      </c>
      <c r="E1201" s="134" t="s">
        <v>110</v>
      </c>
      <c r="F1201" s="221">
        <v>45084.0</v>
      </c>
      <c r="G1201" s="222">
        <v>0.08333333333333333</v>
      </c>
      <c r="H1201" s="134" t="s">
        <v>411</v>
      </c>
      <c r="I1201" s="223" t="s">
        <v>411</v>
      </c>
      <c r="J1201" s="223" t="b">
        <f t="shared" si="1"/>
        <v>1</v>
      </c>
      <c r="K1201" s="145" t="s">
        <v>1254</v>
      </c>
      <c r="L1201" s="156"/>
      <c r="M1201" s="134" t="s">
        <v>416</v>
      </c>
      <c r="N1201" s="150">
        <f>if(and(O1201=TRUE,P1201=TRUE), VLOOKUP($E1201,PESSOAL!$B$35:$S$45,MONTH($F1201)+6,false)*G1201*24,0)</f>
        <v>128.626766</v>
      </c>
      <c r="O1201" s="117" t="b">
        <f t="shared" si="2"/>
        <v>1</v>
      </c>
      <c r="P1201" s="117" t="b">
        <v>1</v>
      </c>
      <c r="Q1201" s="117" t="s">
        <v>368</v>
      </c>
    </row>
    <row r="1202" hidden="1">
      <c r="A1202" s="108"/>
      <c r="B1202" s="220"/>
      <c r="C1202" s="220" t="s">
        <v>435</v>
      </c>
      <c r="D1202" s="220" t="str">
        <f>vlookup(M1202,'Página10'!A:B,2,false)</f>
        <v>INOV00020</v>
      </c>
      <c r="E1202" s="134" t="s">
        <v>110</v>
      </c>
      <c r="F1202" s="221">
        <v>45084.0</v>
      </c>
      <c r="G1202" s="222">
        <v>0.020833333333333332</v>
      </c>
      <c r="H1202" s="134" t="s">
        <v>475</v>
      </c>
      <c r="I1202" s="223" t="s">
        <v>475</v>
      </c>
      <c r="J1202" s="223" t="b">
        <f t="shared" si="1"/>
        <v>1</v>
      </c>
      <c r="K1202" s="145" t="s">
        <v>1235</v>
      </c>
      <c r="L1202" s="156"/>
      <c r="M1202" s="134" t="s">
        <v>434</v>
      </c>
      <c r="N1202" s="150">
        <f>if(and(O1202=TRUE,P1202=TRUE), VLOOKUP($E1202,PESSOAL!$B$35:$S$45,MONTH($F1202)+6,false)*G1202*24,0)</f>
        <v>0</v>
      </c>
      <c r="O1202" s="117" t="b">
        <f t="shared" si="2"/>
        <v>1</v>
      </c>
      <c r="P1202" s="117" t="b">
        <v>0</v>
      </c>
      <c r="Q1202" s="117" t="s">
        <v>368</v>
      </c>
    </row>
    <row r="1203" hidden="1">
      <c r="A1203" s="108"/>
      <c r="B1203" s="220"/>
      <c r="C1203" s="220" t="s">
        <v>57</v>
      </c>
      <c r="D1203" s="220" t="str">
        <f>vlookup(M1203,'Página10'!A:B,2,false)</f>
        <v>INOV00022</v>
      </c>
      <c r="E1203" s="134" t="s">
        <v>110</v>
      </c>
      <c r="F1203" s="221">
        <v>45084.0</v>
      </c>
      <c r="G1203" s="222">
        <v>0.0625</v>
      </c>
      <c r="H1203" s="134" t="s">
        <v>475</v>
      </c>
      <c r="I1203" s="223" t="s">
        <v>475</v>
      </c>
      <c r="J1203" s="223" t="b">
        <f t="shared" si="1"/>
        <v>1</v>
      </c>
      <c r="K1203" s="145" t="s">
        <v>1256</v>
      </c>
      <c r="L1203" s="156"/>
      <c r="M1203" s="134" t="s">
        <v>437</v>
      </c>
      <c r="N1203" s="150">
        <f>if(and(O1203=TRUE,P1203=TRUE), VLOOKUP($E1203,PESSOAL!$B$35:$S$45,MONTH($F1203)+6,false)*G1203*24,0)</f>
        <v>96.47007448</v>
      </c>
      <c r="O1203" s="117" t="b">
        <f t="shared" si="2"/>
        <v>1</v>
      </c>
      <c r="P1203" s="117" t="b">
        <v>1</v>
      </c>
      <c r="Q1203" s="117" t="s">
        <v>368</v>
      </c>
    </row>
    <row r="1204" hidden="1">
      <c r="A1204" s="108"/>
      <c r="B1204" s="220"/>
      <c r="C1204" s="220" t="s">
        <v>290</v>
      </c>
      <c r="D1204" s="220" t="str">
        <f>vlookup(M1204,'Página10'!A:B,2,false)</f>
        <v>INOV00001</v>
      </c>
      <c r="E1204" s="134" t="s">
        <v>110</v>
      </c>
      <c r="F1204" s="221">
        <v>45086.0</v>
      </c>
      <c r="G1204" s="222">
        <v>0.041666666666666664</v>
      </c>
      <c r="H1204" s="134" t="s">
        <v>411</v>
      </c>
      <c r="I1204" s="223" t="s">
        <v>411</v>
      </c>
      <c r="J1204" s="223" t="b">
        <f t="shared" si="1"/>
        <v>1</v>
      </c>
      <c r="K1204" s="145" t="s">
        <v>1251</v>
      </c>
      <c r="L1204" s="156"/>
      <c r="M1204" s="134" t="s">
        <v>416</v>
      </c>
      <c r="N1204" s="150">
        <f>if(and(O1204=TRUE,P1204=TRUE), VLOOKUP($E1204,PESSOAL!$B$35:$S$45,MONTH($F1204)+6,false)*G1204*24,0)</f>
        <v>64.31338299</v>
      </c>
      <c r="O1204" s="117" t="b">
        <f t="shared" si="2"/>
        <v>1</v>
      </c>
      <c r="P1204" s="117" t="b">
        <v>1</v>
      </c>
      <c r="Q1204" s="117" t="s">
        <v>368</v>
      </c>
    </row>
    <row r="1205" hidden="1">
      <c r="A1205" s="108"/>
      <c r="B1205" s="220"/>
      <c r="C1205" s="220" t="s">
        <v>290</v>
      </c>
      <c r="D1205" s="220" t="str">
        <f>vlookup(M1205,'Página10'!A:B,2,false)</f>
        <v>INOV00001</v>
      </c>
      <c r="E1205" s="134" t="s">
        <v>110</v>
      </c>
      <c r="F1205" s="221">
        <v>45086.0</v>
      </c>
      <c r="G1205" s="222">
        <v>0.041666666666666664</v>
      </c>
      <c r="H1205" s="134" t="s">
        <v>411</v>
      </c>
      <c r="I1205" s="223" t="s">
        <v>411</v>
      </c>
      <c r="J1205" s="223" t="b">
        <f t="shared" si="1"/>
        <v>1</v>
      </c>
      <c r="K1205" s="145" t="s">
        <v>1257</v>
      </c>
      <c r="L1205" s="156"/>
      <c r="M1205" s="134" t="s">
        <v>416</v>
      </c>
      <c r="N1205" s="150">
        <f>if(and(O1205=TRUE,P1205=TRUE), VLOOKUP($E1205,PESSOAL!$B$35:$S$45,MONTH($F1205)+6,false)*G1205*24,0)</f>
        <v>64.31338299</v>
      </c>
      <c r="O1205" s="117" t="b">
        <f t="shared" si="2"/>
        <v>1</v>
      </c>
      <c r="P1205" s="117" t="b">
        <v>1</v>
      </c>
      <c r="Q1205" s="117" t="s">
        <v>368</v>
      </c>
    </row>
    <row r="1206" hidden="1">
      <c r="A1206" s="108"/>
      <c r="B1206" s="220"/>
      <c r="C1206" s="220" t="s">
        <v>290</v>
      </c>
      <c r="D1206" s="220" t="str">
        <f>vlookup(M1206,'Página10'!A:B,2,false)</f>
        <v>INOV00001</v>
      </c>
      <c r="E1206" s="134" t="s">
        <v>110</v>
      </c>
      <c r="F1206" s="221">
        <v>45104.0</v>
      </c>
      <c r="G1206" s="222">
        <v>0.21875</v>
      </c>
      <c r="H1206" s="134" t="s">
        <v>474</v>
      </c>
      <c r="I1206" s="223" t="s">
        <v>474</v>
      </c>
      <c r="J1206" s="223" t="b">
        <f t="shared" si="1"/>
        <v>1</v>
      </c>
      <c r="K1206" s="145" t="s">
        <v>1258</v>
      </c>
      <c r="L1206" s="156"/>
      <c r="M1206" s="134" t="s">
        <v>416</v>
      </c>
      <c r="N1206" s="150">
        <f>if(and(O1206=TRUE,P1206=TRUE), VLOOKUP($E1206,PESSOAL!$B$35:$S$45,MONTH($F1206)+6,false)*G1206*24,0)</f>
        <v>337.6452607</v>
      </c>
      <c r="O1206" s="117" t="b">
        <f t="shared" si="2"/>
        <v>1</v>
      </c>
      <c r="P1206" s="117" t="b">
        <v>1</v>
      </c>
      <c r="Q1206" s="117" t="s">
        <v>368</v>
      </c>
    </row>
    <row r="1207" hidden="1">
      <c r="A1207" s="108"/>
      <c r="B1207" s="220"/>
      <c r="C1207" s="220" t="s">
        <v>56</v>
      </c>
      <c r="D1207" s="220" t="str">
        <f>vlookup(M1207,'Página10'!A:B,2,false)</f>
        <v>INOV00021</v>
      </c>
      <c r="E1207" s="134" t="s">
        <v>110</v>
      </c>
      <c r="F1207" s="221">
        <v>45104.0</v>
      </c>
      <c r="G1207" s="222">
        <v>0.041666666666666664</v>
      </c>
      <c r="H1207" s="134" t="s">
        <v>411</v>
      </c>
      <c r="I1207" s="223" t="s">
        <v>411</v>
      </c>
      <c r="J1207" s="223" t="b">
        <f t="shared" si="1"/>
        <v>1</v>
      </c>
      <c r="K1207" s="145" t="s">
        <v>1259</v>
      </c>
      <c r="L1207" s="156"/>
      <c r="M1207" s="134" t="s">
        <v>436</v>
      </c>
      <c r="N1207" s="150">
        <f>if(and(O1207=TRUE,P1207=TRUE), VLOOKUP($E1207,PESSOAL!$B$35:$S$45,MONTH($F1207)+6,false)*G1207*24,0)</f>
        <v>64.31338299</v>
      </c>
      <c r="O1207" s="117" t="b">
        <f t="shared" si="2"/>
        <v>1</v>
      </c>
      <c r="P1207" s="117" t="b">
        <v>1</v>
      </c>
      <c r="Q1207" s="117" t="s">
        <v>368</v>
      </c>
    </row>
    <row r="1208" hidden="1">
      <c r="A1208" s="108"/>
      <c r="B1208" s="220"/>
      <c r="C1208" s="220" t="s">
        <v>290</v>
      </c>
      <c r="D1208" s="220" t="str">
        <f>vlookup(M1208,'Página10'!A:B,2,false)</f>
        <v>INOV00001</v>
      </c>
      <c r="E1208" s="134" t="s">
        <v>110</v>
      </c>
      <c r="F1208" s="221">
        <v>45104.0</v>
      </c>
      <c r="G1208" s="222">
        <v>0.0625</v>
      </c>
      <c r="H1208" s="134" t="s">
        <v>411</v>
      </c>
      <c r="I1208" s="223" t="s">
        <v>411</v>
      </c>
      <c r="J1208" s="223" t="b">
        <f t="shared" si="1"/>
        <v>1</v>
      </c>
      <c r="K1208" s="145" t="s">
        <v>1260</v>
      </c>
      <c r="L1208" s="156"/>
      <c r="M1208" s="134" t="s">
        <v>416</v>
      </c>
      <c r="N1208" s="150">
        <f>if(and(O1208=TRUE,P1208=TRUE), VLOOKUP($E1208,PESSOAL!$B$35:$S$45,MONTH($F1208)+6,false)*G1208*24,0)</f>
        <v>96.47007448</v>
      </c>
      <c r="O1208" s="117" t="b">
        <f t="shared" si="2"/>
        <v>1</v>
      </c>
      <c r="P1208" s="117" t="b">
        <v>1</v>
      </c>
      <c r="Q1208" s="117" t="s">
        <v>368</v>
      </c>
    </row>
    <row r="1209" hidden="1">
      <c r="A1209" s="108"/>
      <c r="B1209" s="220"/>
      <c r="C1209" s="220" t="s">
        <v>56</v>
      </c>
      <c r="D1209" s="220" t="str">
        <f>vlookup(M1209,'Página10'!A:B,2,false)</f>
        <v>INOV00021</v>
      </c>
      <c r="E1209" s="134" t="s">
        <v>110</v>
      </c>
      <c r="F1209" s="221">
        <v>45104.0</v>
      </c>
      <c r="G1209" s="222">
        <v>0.041666666666666664</v>
      </c>
      <c r="H1209" s="134" t="s">
        <v>411</v>
      </c>
      <c r="I1209" s="223" t="s">
        <v>411</v>
      </c>
      <c r="J1209" s="223" t="b">
        <f t="shared" si="1"/>
        <v>1</v>
      </c>
      <c r="K1209" s="145" t="s">
        <v>1260</v>
      </c>
      <c r="L1209" s="156"/>
      <c r="M1209" s="134" t="s">
        <v>436</v>
      </c>
      <c r="N1209" s="150">
        <f>if(and(O1209=TRUE,P1209=TRUE), VLOOKUP($E1209,PESSOAL!$B$35:$S$45,MONTH($F1209)+6,false)*G1209*24,0)</f>
        <v>64.31338299</v>
      </c>
      <c r="O1209" s="117" t="b">
        <f t="shared" si="2"/>
        <v>1</v>
      </c>
      <c r="P1209" s="117" t="b">
        <v>1</v>
      </c>
      <c r="Q1209" s="117" t="s">
        <v>368</v>
      </c>
    </row>
    <row r="1210" hidden="1">
      <c r="A1210" s="108"/>
      <c r="B1210" s="220"/>
      <c r="C1210" s="220" t="s">
        <v>290</v>
      </c>
      <c r="D1210" s="220" t="str">
        <f>vlookup(M1210,'Página10'!A:B,2,false)</f>
        <v>INOV00001</v>
      </c>
      <c r="E1210" s="134" t="s">
        <v>110</v>
      </c>
      <c r="F1210" s="221">
        <v>45105.0</v>
      </c>
      <c r="G1210" s="222">
        <v>0.15625</v>
      </c>
      <c r="H1210" s="134" t="s">
        <v>411</v>
      </c>
      <c r="I1210" s="223" t="s">
        <v>411</v>
      </c>
      <c r="J1210" s="223" t="b">
        <f t="shared" si="1"/>
        <v>1</v>
      </c>
      <c r="K1210" s="145" t="s">
        <v>1261</v>
      </c>
      <c r="L1210" s="156"/>
      <c r="M1210" s="134" t="s">
        <v>416</v>
      </c>
      <c r="N1210" s="150">
        <f>if(and(O1210=TRUE,P1210=TRUE), VLOOKUP($E1210,PESSOAL!$B$35:$S$45,MONTH($F1210)+6,false)*G1210*24,0)</f>
        <v>241.1751862</v>
      </c>
      <c r="O1210" s="117" t="b">
        <f t="shared" si="2"/>
        <v>1</v>
      </c>
      <c r="P1210" s="117" t="b">
        <v>1</v>
      </c>
      <c r="Q1210" s="117" t="s">
        <v>368</v>
      </c>
    </row>
    <row r="1211" hidden="1">
      <c r="A1211" s="108"/>
      <c r="B1211" s="220"/>
      <c r="C1211" s="220" t="s">
        <v>56</v>
      </c>
      <c r="D1211" s="220" t="str">
        <f>vlookup(M1211,'Página10'!A:B,2,false)</f>
        <v>INOV00021</v>
      </c>
      <c r="E1211" s="134" t="s">
        <v>110</v>
      </c>
      <c r="F1211" s="221">
        <v>45105.0</v>
      </c>
      <c r="G1211" s="222">
        <v>0.0625</v>
      </c>
      <c r="H1211" s="134" t="s">
        <v>411</v>
      </c>
      <c r="I1211" s="223" t="s">
        <v>411</v>
      </c>
      <c r="J1211" s="223" t="b">
        <f t="shared" si="1"/>
        <v>1</v>
      </c>
      <c r="K1211" s="145" t="s">
        <v>1261</v>
      </c>
      <c r="L1211" s="156"/>
      <c r="M1211" s="134" t="s">
        <v>436</v>
      </c>
      <c r="N1211" s="150">
        <f>if(and(O1211=TRUE,P1211=TRUE), VLOOKUP($E1211,PESSOAL!$B$35:$S$45,MONTH($F1211)+6,false)*G1211*24,0)</f>
        <v>96.47007448</v>
      </c>
      <c r="O1211" s="117" t="b">
        <f t="shared" si="2"/>
        <v>1</v>
      </c>
      <c r="P1211" s="117" t="b">
        <v>1</v>
      </c>
      <c r="Q1211" s="117" t="s">
        <v>368</v>
      </c>
    </row>
    <row r="1212" hidden="1">
      <c r="A1212" s="108"/>
      <c r="B1212" s="220"/>
      <c r="C1212" s="220" t="s">
        <v>435</v>
      </c>
      <c r="D1212" s="220" t="str">
        <f>vlookup(M1212,'Página10'!A:B,2,false)</f>
        <v>INOV00020</v>
      </c>
      <c r="E1212" s="134" t="s">
        <v>110</v>
      </c>
      <c r="F1212" s="221">
        <v>45105.0</v>
      </c>
      <c r="G1212" s="222">
        <v>0.041666666666666664</v>
      </c>
      <c r="H1212" s="134" t="s">
        <v>411</v>
      </c>
      <c r="I1212" s="223" t="s">
        <v>411</v>
      </c>
      <c r="J1212" s="223" t="b">
        <f t="shared" si="1"/>
        <v>1</v>
      </c>
      <c r="K1212" s="145" t="s">
        <v>1261</v>
      </c>
      <c r="L1212" s="156"/>
      <c r="M1212" s="134" t="s">
        <v>434</v>
      </c>
      <c r="N1212" s="150">
        <f>if(and(O1212=TRUE,P1212=TRUE), VLOOKUP($E1212,PESSOAL!$B$35:$S$45,MONTH($F1212)+6,false)*G1212*24,0)</f>
        <v>0</v>
      </c>
      <c r="O1212" s="117" t="b">
        <f t="shared" si="2"/>
        <v>1</v>
      </c>
      <c r="P1212" s="117" t="b">
        <v>0</v>
      </c>
      <c r="Q1212" s="117" t="s">
        <v>368</v>
      </c>
    </row>
    <row r="1213" hidden="1">
      <c r="A1213" s="108"/>
      <c r="B1213" s="220"/>
      <c r="C1213" s="220" t="s">
        <v>69</v>
      </c>
      <c r="D1213" s="220" t="str">
        <f>vlookup(M1213,'Página10'!A:B,2,false)</f>
        <v>INOV00041</v>
      </c>
      <c r="E1213" s="134" t="s">
        <v>110</v>
      </c>
      <c r="F1213" s="221">
        <v>45105.0</v>
      </c>
      <c r="G1213" s="222">
        <v>0.041666666666666664</v>
      </c>
      <c r="H1213" s="134" t="s">
        <v>411</v>
      </c>
      <c r="I1213" s="223" t="s">
        <v>411</v>
      </c>
      <c r="J1213" s="223" t="b">
        <f t="shared" si="1"/>
        <v>1</v>
      </c>
      <c r="K1213" s="145" t="s">
        <v>1261</v>
      </c>
      <c r="L1213" s="156"/>
      <c r="M1213" s="134" t="s">
        <v>463</v>
      </c>
      <c r="N1213" s="224">
        <v>0.0</v>
      </c>
      <c r="O1213" s="117" t="b">
        <f t="shared" si="2"/>
        <v>1</v>
      </c>
      <c r="P1213" s="117" t="b">
        <v>1</v>
      </c>
      <c r="Q1213" s="117" t="s">
        <v>368</v>
      </c>
    </row>
    <row r="1214" hidden="1">
      <c r="A1214" s="108"/>
      <c r="B1214" s="220"/>
      <c r="C1214" s="220" t="s">
        <v>52</v>
      </c>
      <c r="D1214" s="220" t="str">
        <f>vlookup(M1214,'Página10'!A:B,2,false)</f>
        <v>INOV00013</v>
      </c>
      <c r="E1214" s="134" t="s">
        <v>110</v>
      </c>
      <c r="F1214" s="221">
        <v>45105.0</v>
      </c>
      <c r="G1214" s="222">
        <v>0.0625</v>
      </c>
      <c r="H1214" s="134" t="s">
        <v>411</v>
      </c>
      <c r="I1214" s="223" t="s">
        <v>411</v>
      </c>
      <c r="J1214" s="223" t="b">
        <f t="shared" si="1"/>
        <v>1</v>
      </c>
      <c r="K1214" s="145" t="s">
        <v>1261</v>
      </c>
      <c r="L1214" s="156"/>
      <c r="M1214" s="134" t="s">
        <v>426</v>
      </c>
      <c r="N1214" s="150">
        <f>if(and(O1214=TRUE,P1214=TRUE), VLOOKUP($E1214,PESSOAL!$B$35:$S$45,MONTH($F1214)+6,false)*G1214*24,0)</f>
        <v>96.47007448</v>
      </c>
      <c r="O1214" s="117" t="b">
        <f t="shared" si="2"/>
        <v>1</v>
      </c>
      <c r="P1214" s="117" t="b">
        <v>1</v>
      </c>
      <c r="Q1214" s="117" t="s">
        <v>368</v>
      </c>
    </row>
    <row r="1215" hidden="1">
      <c r="A1215" s="108"/>
      <c r="B1215" s="220"/>
      <c r="C1215" s="220" t="s">
        <v>290</v>
      </c>
      <c r="D1215" s="220" t="str">
        <f>vlookup(M1215,'Página10'!A:B,2,false)</f>
        <v>INOV00001</v>
      </c>
      <c r="E1215" s="134" t="s">
        <v>110</v>
      </c>
      <c r="F1215" s="221">
        <v>45106.0</v>
      </c>
      <c r="G1215" s="222">
        <v>0.020833333333333332</v>
      </c>
      <c r="H1215" s="134" t="s">
        <v>479</v>
      </c>
      <c r="I1215" s="223" t="s">
        <v>479</v>
      </c>
      <c r="J1215" s="223" t="b">
        <f t="shared" si="1"/>
        <v>1</v>
      </c>
      <c r="K1215" s="145" t="s">
        <v>1262</v>
      </c>
      <c r="L1215" s="156"/>
      <c r="M1215" s="134" t="s">
        <v>416</v>
      </c>
      <c r="N1215" s="150">
        <f>if(and(O1215=TRUE,P1215=TRUE), VLOOKUP($E1215,PESSOAL!$B$35:$S$45,MONTH($F1215)+6,false)*G1215*24,0)</f>
        <v>0</v>
      </c>
      <c r="O1215" s="117" t="b">
        <f t="shared" si="2"/>
        <v>0</v>
      </c>
      <c r="P1215" s="117" t="b">
        <v>1</v>
      </c>
      <c r="Q1215" s="117" t="s">
        <v>368</v>
      </c>
    </row>
    <row r="1216" hidden="1">
      <c r="A1216" s="108"/>
      <c r="B1216" s="220"/>
      <c r="C1216" s="220" t="s">
        <v>290</v>
      </c>
      <c r="D1216" s="220" t="str">
        <f>vlookup(M1216,'Página10'!A:B,2,false)</f>
        <v>INOV00001</v>
      </c>
      <c r="E1216" s="134" t="s">
        <v>110</v>
      </c>
      <c r="F1216" s="221">
        <v>45106.0</v>
      </c>
      <c r="G1216" s="222">
        <v>0.08333333333333333</v>
      </c>
      <c r="H1216" s="134" t="s">
        <v>411</v>
      </c>
      <c r="I1216" s="223" t="s">
        <v>411</v>
      </c>
      <c r="J1216" s="223" t="b">
        <f t="shared" si="1"/>
        <v>1</v>
      </c>
      <c r="K1216" s="145" t="s">
        <v>1263</v>
      </c>
      <c r="L1216" s="156"/>
      <c r="M1216" s="134" t="s">
        <v>416</v>
      </c>
      <c r="N1216" s="150">
        <f>if(and(O1216=TRUE,P1216=TRUE), VLOOKUP($E1216,PESSOAL!$B$35:$S$45,MONTH($F1216)+6,false)*G1216*24,0)</f>
        <v>128.626766</v>
      </c>
      <c r="O1216" s="117" t="b">
        <f t="shared" si="2"/>
        <v>1</v>
      </c>
      <c r="P1216" s="117" t="b">
        <v>1</v>
      </c>
      <c r="Q1216" s="117" t="s">
        <v>368</v>
      </c>
    </row>
    <row r="1217" hidden="1">
      <c r="A1217" s="108"/>
      <c r="B1217" s="220"/>
      <c r="C1217" s="220" t="s">
        <v>56</v>
      </c>
      <c r="D1217" s="220" t="str">
        <f>vlookup(M1217,'Página10'!A:B,2,false)</f>
        <v>INOV00021</v>
      </c>
      <c r="E1217" s="134" t="s">
        <v>110</v>
      </c>
      <c r="F1217" s="221">
        <v>45106.0</v>
      </c>
      <c r="G1217" s="222">
        <v>0.08333333333333333</v>
      </c>
      <c r="H1217" s="134" t="s">
        <v>411</v>
      </c>
      <c r="I1217" s="223" t="s">
        <v>411</v>
      </c>
      <c r="J1217" s="223" t="b">
        <f t="shared" si="1"/>
        <v>1</v>
      </c>
      <c r="K1217" s="145" t="s">
        <v>1259</v>
      </c>
      <c r="L1217" s="156"/>
      <c r="M1217" s="134" t="s">
        <v>436</v>
      </c>
      <c r="N1217" s="150">
        <f>if(and(O1217=TRUE,P1217=TRUE), VLOOKUP($E1217,PESSOAL!$B$35:$S$45,MONTH($F1217)+6,false)*G1217*24,0)</f>
        <v>128.626766</v>
      </c>
      <c r="O1217" s="117" t="b">
        <f t="shared" si="2"/>
        <v>1</v>
      </c>
      <c r="P1217" s="117" t="b">
        <v>1</v>
      </c>
      <c r="Q1217" s="117" t="s">
        <v>368</v>
      </c>
    </row>
    <row r="1218" hidden="1">
      <c r="A1218" s="108"/>
      <c r="B1218" s="220"/>
      <c r="C1218" s="220" t="s">
        <v>290</v>
      </c>
      <c r="D1218" s="220" t="str">
        <f>vlookup(M1218,'Página10'!A:B,2,false)</f>
        <v>INOV00001</v>
      </c>
      <c r="E1218" s="134" t="s">
        <v>110</v>
      </c>
      <c r="F1218" s="221">
        <v>45106.0</v>
      </c>
      <c r="G1218" s="222">
        <v>0.0625</v>
      </c>
      <c r="H1218" s="134" t="s">
        <v>475</v>
      </c>
      <c r="I1218" s="223" t="s">
        <v>475</v>
      </c>
      <c r="J1218" s="223" t="b">
        <f t="shared" si="1"/>
        <v>1</v>
      </c>
      <c r="K1218" s="145" t="s">
        <v>1264</v>
      </c>
      <c r="L1218" s="156"/>
      <c r="M1218" s="134" t="s">
        <v>416</v>
      </c>
      <c r="N1218" s="150">
        <f>if(and(O1218=TRUE,P1218=TRUE), VLOOKUP($E1218,PESSOAL!$B$35:$S$45,MONTH($F1218)+6,false)*G1218*24,0)</f>
        <v>96.47007448</v>
      </c>
      <c r="O1218" s="117" t="b">
        <f t="shared" si="2"/>
        <v>1</v>
      </c>
      <c r="P1218" s="117" t="b">
        <v>1</v>
      </c>
      <c r="Q1218" s="117" t="s">
        <v>368</v>
      </c>
    </row>
    <row r="1219" hidden="1">
      <c r="A1219" s="108"/>
      <c r="B1219" s="220"/>
      <c r="C1219" s="220" t="s">
        <v>290</v>
      </c>
      <c r="D1219" s="220" t="str">
        <f>vlookup(M1219,'Página10'!A:B,2,false)</f>
        <v>INOV00001</v>
      </c>
      <c r="E1219" s="134" t="s">
        <v>110</v>
      </c>
      <c r="F1219" s="221">
        <v>45106.0</v>
      </c>
      <c r="G1219" s="222">
        <v>0.020833333333333332</v>
      </c>
      <c r="H1219" s="134" t="s">
        <v>479</v>
      </c>
      <c r="I1219" s="223" t="s">
        <v>479</v>
      </c>
      <c r="J1219" s="223" t="b">
        <f t="shared" si="1"/>
        <v>1</v>
      </c>
      <c r="K1219" s="145" t="s">
        <v>1262</v>
      </c>
      <c r="L1219" s="156"/>
      <c r="M1219" s="134" t="s">
        <v>416</v>
      </c>
      <c r="N1219" s="150">
        <f>if(and(O1219=TRUE,P1219=TRUE), VLOOKUP($E1219,PESSOAL!$B$35:$S$45,MONTH($F1219)+6,false)*G1219*24,0)</f>
        <v>0</v>
      </c>
      <c r="O1219" s="117" t="b">
        <f t="shared" si="2"/>
        <v>0</v>
      </c>
      <c r="P1219" s="117" t="b">
        <v>1</v>
      </c>
      <c r="Q1219" s="117" t="s">
        <v>368</v>
      </c>
    </row>
    <row r="1220" hidden="1">
      <c r="A1220" s="108"/>
      <c r="B1220" s="220"/>
      <c r="C1220" s="220" t="s">
        <v>56</v>
      </c>
      <c r="D1220" s="220" t="str">
        <f>vlookup(M1220,'Página10'!A:B,2,false)</f>
        <v>INOV00021</v>
      </c>
      <c r="E1220" s="134" t="s">
        <v>110</v>
      </c>
      <c r="F1220" s="221">
        <v>45107.0</v>
      </c>
      <c r="G1220" s="222">
        <v>0.03125</v>
      </c>
      <c r="H1220" s="134" t="s">
        <v>411</v>
      </c>
      <c r="I1220" s="223" t="s">
        <v>411</v>
      </c>
      <c r="J1220" s="223" t="b">
        <f t="shared" si="1"/>
        <v>1</v>
      </c>
      <c r="K1220" s="145" t="s">
        <v>1259</v>
      </c>
      <c r="L1220" s="156"/>
      <c r="M1220" s="134" t="s">
        <v>436</v>
      </c>
      <c r="N1220" s="150">
        <f>if(and(O1220=TRUE,P1220=TRUE), VLOOKUP($E1220,PESSOAL!$B$35:$S$45,MONTH($F1220)+6,false)*G1220*24,0)</f>
        <v>48.23503724</v>
      </c>
      <c r="O1220" s="117" t="b">
        <f t="shared" si="2"/>
        <v>1</v>
      </c>
      <c r="P1220" s="117" t="b">
        <v>1</v>
      </c>
      <c r="Q1220" s="117" t="s">
        <v>368</v>
      </c>
    </row>
    <row r="1221" hidden="1">
      <c r="A1221" s="108"/>
      <c r="B1221" s="220"/>
      <c r="C1221" s="220" t="s">
        <v>290</v>
      </c>
      <c r="D1221" s="220" t="str">
        <f>vlookup(M1221,'Página10'!A:B,2,false)</f>
        <v>INOV00001</v>
      </c>
      <c r="E1221" s="134" t="s">
        <v>110</v>
      </c>
      <c r="F1221" s="221">
        <v>45107.0</v>
      </c>
      <c r="G1221" s="222">
        <v>0.041666666666666664</v>
      </c>
      <c r="H1221" s="134" t="s">
        <v>411</v>
      </c>
      <c r="I1221" s="223" t="s">
        <v>411</v>
      </c>
      <c r="J1221" s="223" t="b">
        <f t="shared" si="1"/>
        <v>1</v>
      </c>
      <c r="K1221" s="145" t="s">
        <v>1198</v>
      </c>
      <c r="L1221" s="156"/>
      <c r="M1221" s="134" t="s">
        <v>416</v>
      </c>
      <c r="N1221" s="150">
        <f>if(and(O1221=TRUE,P1221=TRUE), VLOOKUP($E1221,PESSOAL!$B$35:$S$45,MONTH($F1221)+6,false)*G1221*24,0)</f>
        <v>64.31338299</v>
      </c>
      <c r="O1221" s="117" t="b">
        <f t="shared" si="2"/>
        <v>1</v>
      </c>
      <c r="P1221" s="117" t="b">
        <v>1</v>
      </c>
      <c r="Q1221" s="117" t="s">
        <v>368</v>
      </c>
    </row>
    <row r="1222" hidden="1">
      <c r="A1222" s="108"/>
      <c r="B1222" s="220"/>
      <c r="C1222" s="220" t="s">
        <v>56</v>
      </c>
      <c r="D1222" s="220" t="str">
        <f>vlookup(M1222,'Página10'!A:B,2,false)</f>
        <v>INOV00021</v>
      </c>
      <c r="E1222" s="134" t="s">
        <v>110</v>
      </c>
      <c r="F1222" s="221">
        <v>45107.0</v>
      </c>
      <c r="G1222" s="222">
        <v>0.0625</v>
      </c>
      <c r="H1222" s="134" t="s">
        <v>474</v>
      </c>
      <c r="I1222" s="223" t="s">
        <v>411</v>
      </c>
      <c r="J1222" s="223" t="b">
        <f t="shared" si="1"/>
        <v>0</v>
      </c>
      <c r="K1222" s="145" t="s">
        <v>1265</v>
      </c>
      <c r="L1222" s="156"/>
      <c r="M1222" s="134" t="s">
        <v>436</v>
      </c>
      <c r="N1222" s="150">
        <f>if(and(O1222=TRUE,P1222=TRUE), VLOOKUP($E1222,PESSOAL!$B$35:$S$45,MONTH($F1222)+6,false)*G1222*24,0)</f>
        <v>96.47007448</v>
      </c>
      <c r="O1222" s="117" t="b">
        <f t="shared" si="2"/>
        <v>1</v>
      </c>
      <c r="P1222" s="117" t="b">
        <v>1</v>
      </c>
      <c r="Q1222" s="117" t="s">
        <v>368</v>
      </c>
    </row>
    <row r="1223" hidden="1">
      <c r="A1223" s="108"/>
      <c r="B1223" s="220"/>
      <c r="C1223" s="220" t="s">
        <v>290</v>
      </c>
      <c r="D1223" s="220" t="str">
        <f>vlookup(M1223,'Página10'!A:B,2,false)</f>
        <v>INOV00001</v>
      </c>
      <c r="E1223" s="134" t="s">
        <v>110</v>
      </c>
      <c r="F1223" s="221">
        <v>45107.0</v>
      </c>
      <c r="G1223" s="222">
        <v>0.0625</v>
      </c>
      <c r="H1223" s="134" t="s">
        <v>411</v>
      </c>
      <c r="I1223" s="223" t="s">
        <v>411</v>
      </c>
      <c r="J1223" s="223" t="b">
        <f t="shared" si="1"/>
        <v>1</v>
      </c>
      <c r="K1223" s="145" t="s">
        <v>1266</v>
      </c>
      <c r="L1223" s="156"/>
      <c r="M1223" s="134" t="s">
        <v>416</v>
      </c>
      <c r="N1223" s="150">
        <f>if(and(O1223=TRUE,P1223=TRUE), VLOOKUP($E1223,PESSOAL!$B$35:$S$45,MONTH($F1223)+6,false)*G1223*24,0)</f>
        <v>96.47007448</v>
      </c>
      <c r="O1223" s="117" t="b">
        <f t="shared" si="2"/>
        <v>1</v>
      </c>
      <c r="P1223" s="117" t="b">
        <v>1</v>
      </c>
      <c r="Q1223" s="117" t="s">
        <v>368</v>
      </c>
    </row>
    <row r="1224" hidden="1">
      <c r="A1224" s="108"/>
      <c r="B1224" s="220"/>
      <c r="C1224" s="220" t="s">
        <v>435</v>
      </c>
      <c r="D1224" s="220" t="str">
        <f>vlookup(M1224,'Página10'!A:B,2,false)</f>
        <v>INOV00020</v>
      </c>
      <c r="E1224" s="134" t="s">
        <v>306</v>
      </c>
      <c r="F1224" s="221">
        <v>45019.0</v>
      </c>
      <c r="G1224" s="222">
        <v>0.10416666666666667</v>
      </c>
      <c r="H1224" s="134" t="s">
        <v>475</v>
      </c>
      <c r="I1224" s="223" t="s">
        <v>475</v>
      </c>
      <c r="J1224" s="223" t="b">
        <f t="shared" si="1"/>
        <v>1</v>
      </c>
      <c r="K1224" s="145" t="s">
        <v>1267</v>
      </c>
      <c r="L1224" s="156"/>
      <c r="M1224" s="134" t="s">
        <v>434</v>
      </c>
      <c r="N1224" s="150">
        <f>if(and(O1224=TRUE,P1224=TRUE), VLOOKUP($E1224,PESSOAL!$B$35:$S$45,MONTH($F1224)+6,false)*G1224*24,0)</f>
        <v>0</v>
      </c>
      <c r="O1224" s="117" t="b">
        <f t="shared" si="2"/>
        <v>1</v>
      </c>
      <c r="P1224" s="117" t="b">
        <v>0</v>
      </c>
      <c r="Q1224" s="117" t="s">
        <v>368</v>
      </c>
    </row>
    <row r="1225" hidden="1">
      <c r="A1225" s="108"/>
      <c r="B1225" s="220"/>
      <c r="C1225" s="220" t="s">
        <v>66</v>
      </c>
      <c r="D1225" s="220" t="str">
        <f>vlookup(M1225,'Página10'!A:B,2,false)</f>
        <v>INOV00038</v>
      </c>
      <c r="E1225" s="134" t="s">
        <v>306</v>
      </c>
      <c r="F1225" s="221">
        <v>45020.0</v>
      </c>
      <c r="G1225" s="222">
        <v>0.08333333333333333</v>
      </c>
      <c r="H1225" s="134" t="s">
        <v>475</v>
      </c>
      <c r="I1225" s="223" t="s">
        <v>475</v>
      </c>
      <c r="J1225" s="223" t="b">
        <f t="shared" si="1"/>
        <v>1</v>
      </c>
      <c r="K1225" s="145" t="s">
        <v>1268</v>
      </c>
      <c r="L1225" s="156"/>
      <c r="M1225" s="134" t="s">
        <v>460</v>
      </c>
      <c r="N1225" s="150">
        <f>if(and(O1225=TRUE,P1225=TRUE), VLOOKUP($E1225,PESSOAL!$B$35:$S$45,MONTH($F1225)+6,false)*G1225*24,0)</f>
        <v>94.19582488</v>
      </c>
      <c r="O1225" s="117" t="b">
        <f t="shared" si="2"/>
        <v>1</v>
      </c>
      <c r="P1225" s="117" t="b">
        <v>1</v>
      </c>
      <c r="Q1225" s="117" t="s">
        <v>368</v>
      </c>
    </row>
    <row r="1226" hidden="1">
      <c r="A1226" s="108"/>
      <c r="B1226" s="220"/>
      <c r="C1226" s="220" t="s">
        <v>66</v>
      </c>
      <c r="D1226" s="220" t="str">
        <f>vlookup(M1226,'Página10'!A:B,2,false)</f>
        <v>INOV00038</v>
      </c>
      <c r="E1226" s="134" t="s">
        <v>306</v>
      </c>
      <c r="F1226" s="221">
        <v>45021.0</v>
      </c>
      <c r="G1226" s="222">
        <v>0.08333333333333333</v>
      </c>
      <c r="H1226" s="134" t="s">
        <v>411</v>
      </c>
      <c r="I1226" s="223" t="s">
        <v>475</v>
      </c>
      <c r="J1226" s="223" t="b">
        <f t="shared" si="1"/>
        <v>0</v>
      </c>
      <c r="K1226" s="145" t="s">
        <v>1269</v>
      </c>
      <c r="L1226" s="156"/>
      <c r="M1226" s="134" t="s">
        <v>460</v>
      </c>
      <c r="N1226" s="150">
        <f>if(and(O1226=TRUE,P1226=TRUE), VLOOKUP($E1226,PESSOAL!$B$35:$S$45,MONTH($F1226)+6,false)*G1226*24,0)</f>
        <v>94.19582488</v>
      </c>
      <c r="O1226" s="117" t="b">
        <f t="shared" si="2"/>
        <v>1</v>
      </c>
      <c r="P1226" s="117" t="b">
        <v>1</v>
      </c>
      <c r="Q1226" s="117" t="s">
        <v>368</v>
      </c>
    </row>
    <row r="1227" hidden="1">
      <c r="A1227" s="108"/>
      <c r="B1227" s="220"/>
      <c r="C1227" s="220" t="s">
        <v>66</v>
      </c>
      <c r="D1227" s="220" t="str">
        <f>vlookup(M1227,'Página10'!A:B,2,false)</f>
        <v>INOV00038</v>
      </c>
      <c r="E1227" s="134" t="s">
        <v>306</v>
      </c>
      <c r="F1227" s="221">
        <v>45022.0</v>
      </c>
      <c r="G1227" s="222">
        <v>0.041666666666666664</v>
      </c>
      <c r="H1227" s="134" t="s">
        <v>411</v>
      </c>
      <c r="I1227" s="223" t="s">
        <v>475</v>
      </c>
      <c r="J1227" s="223" t="b">
        <f t="shared" si="1"/>
        <v>0</v>
      </c>
      <c r="K1227" s="145" t="s">
        <v>1269</v>
      </c>
      <c r="L1227" s="156"/>
      <c r="M1227" s="134" t="s">
        <v>460</v>
      </c>
      <c r="N1227" s="150">
        <f>if(and(O1227=TRUE,P1227=TRUE), VLOOKUP($E1227,PESSOAL!$B$35:$S$45,MONTH($F1227)+6,false)*G1227*24,0)</f>
        <v>47.09791244</v>
      </c>
      <c r="O1227" s="117" t="b">
        <f t="shared" si="2"/>
        <v>1</v>
      </c>
      <c r="P1227" s="117" t="b">
        <v>1</v>
      </c>
      <c r="Q1227" s="117" t="s">
        <v>368</v>
      </c>
    </row>
    <row r="1228" hidden="1">
      <c r="A1228" s="108"/>
      <c r="B1228" s="220"/>
      <c r="C1228" s="220" t="s">
        <v>435</v>
      </c>
      <c r="D1228" s="220" t="str">
        <f>vlookup(M1228,'Página10'!A:B,2,false)</f>
        <v>INOV00020</v>
      </c>
      <c r="E1228" s="134" t="s">
        <v>306</v>
      </c>
      <c r="F1228" s="221">
        <v>45027.0</v>
      </c>
      <c r="G1228" s="222">
        <v>0.08333333333333333</v>
      </c>
      <c r="H1228" s="134" t="s">
        <v>475</v>
      </c>
      <c r="I1228" s="223" t="s">
        <v>475</v>
      </c>
      <c r="J1228" s="223" t="b">
        <f t="shared" si="1"/>
        <v>1</v>
      </c>
      <c r="K1228" s="145" t="s">
        <v>1267</v>
      </c>
      <c r="L1228" s="156"/>
      <c r="M1228" s="134" t="s">
        <v>434</v>
      </c>
      <c r="N1228" s="150">
        <f>if(and(O1228=TRUE,P1228=TRUE), VLOOKUP($E1228,PESSOAL!$B$35:$S$45,MONTH($F1228)+6,false)*G1228*24,0)</f>
        <v>0</v>
      </c>
      <c r="O1228" s="117" t="b">
        <f t="shared" si="2"/>
        <v>1</v>
      </c>
      <c r="P1228" s="117" t="b">
        <v>0</v>
      </c>
      <c r="Q1228" s="117" t="s">
        <v>368</v>
      </c>
    </row>
    <row r="1229" hidden="1">
      <c r="A1229" s="108"/>
      <c r="B1229" s="220"/>
      <c r="C1229" s="220" t="s">
        <v>62</v>
      </c>
      <c r="D1229" s="220" t="str">
        <f>vlookup(M1229,'Página10'!A:B,2,false)</f>
        <v>INOV00034</v>
      </c>
      <c r="E1229" s="134" t="s">
        <v>306</v>
      </c>
      <c r="F1229" s="221">
        <v>45029.0</v>
      </c>
      <c r="G1229" s="222">
        <v>0.10416666666666667</v>
      </c>
      <c r="H1229" s="134" t="s">
        <v>475</v>
      </c>
      <c r="I1229" s="223" t="s">
        <v>475</v>
      </c>
      <c r="J1229" s="223" t="b">
        <f t="shared" si="1"/>
        <v>1</v>
      </c>
      <c r="K1229" s="145" t="s">
        <v>1270</v>
      </c>
      <c r="L1229" s="156"/>
      <c r="M1229" s="134" t="s">
        <v>456</v>
      </c>
      <c r="N1229" s="150">
        <f>if(and(O1229=TRUE,P1229=TRUE), VLOOKUP($E1229,PESSOAL!$B$35:$S$45,MONTH($F1229)+6,false)*G1229*24,0)</f>
        <v>117.7447811</v>
      </c>
      <c r="O1229" s="117" t="b">
        <f t="shared" si="2"/>
        <v>1</v>
      </c>
      <c r="P1229" s="117" t="b">
        <v>1</v>
      </c>
      <c r="Q1229" s="117" t="s">
        <v>368</v>
      </c>
    </row>
    <row r="1230" hidden="1">
      <c r="A1230" s="108"/>
      <c r="B1230" s="220"/>
      <c r="C1230" s="220" t="s">
        <v>62</v>
      </c>
      <c r="D1230" s="220" t="str">
        <f>vlookup(M1230,'Página10'!A:B,2,false)</f>
        <v>INOV00034</v>
      </c>
      <c r="E1230" s="134" t="s">
        <v>306</v>
      </c>
      <c r="F1230" s="221">
        <v>45030.0</v>
      </c>
      <c r="G1230" s="222">
        <v>0.041666666666666664</v>
      </c>
      <c r="H1230" s="134" t="s">
        <v>475</v>
      </c>
      <c r="I1230" s="223" t="s">
        <v>475</v>
      </c>
      <c r="J1230" s="223" t="b">
        <f t="shared" si="1"/>
        <v>1</v>
      </c>
      <c r="K1230" s="145" t="s">
        <v>1271</v>
      </c>
      <c r="L1230" s="156"/>
      <c r="M1230" s="134" t="s">
        <v>456</v>
      </c>
      <c r="N1230" s="150">
        <f>if(and(O1230=TRUE,P1230=TRUE), VLOOKUP($E1230,PESSOAL!$B$35:$S$45,MONTH($F1230)+6,false)*G1230*24,0)</f>
        <v>47.09791244</v>
      </c>
      <c r="O1230" s="117" t="b">
        <f t="shared" si="2"/>
        <v>1</v>
      </c>
      <c r="P1230" s="117" t="b">
        <v>1</v>
      </c>
      <c r="Q1230" s="117" t="s">
        <v>368</v>
      </c>
    </row>
    <row r="1231" hidden="1">
      <c r="A1231" s="108"/>
      <c r="B1231" s="220"/>
      <c r="C1231" s="220" t="s">
        <v>62</v>
      </c>
      <c r="D1231" s="220" t="str">
        <f>vlookup(M1231,'Página10'!A:B,2,false)</f>
        <v>INOV00034</v>
      </c>
      <c r="E1231" s="134" t="s">
        <v>306</v>
      </c>
      <c r="F1231" s="221">
        <v>45030.0</v>
      </c>
      <c r="G1231" s="222">
        <v>0.041666666666666664</v>
      </c>
      <c r="H1231" s="134" t="s">
        <v>411</v>
      </c>
      <c r="I1231" s="223" t="s">
        <v>475</v>
      </c>
      <c r="J1231" s="223" t="b">
        <f t="shared" si="1"/>
        <v>0</v>
      </c>
      <c r="K1231" s="145" t="s">
        <v>1272</v>
      </c>
      <c r="L1231" s="156"/>
      <c r="M1231" s="134" t="s">
        <v>456</v>
      </c>
      <c r="N1231" s="150">
        <f>if(and(O1231=TRUE,P1231=TRUE), VLOOKUP($E1231,PESSOAL!$B$35:$S$45,MONTH($F1231)+6,false)*G1231*24,0)</f>
        <v>47.09791244</v>
      </c>
      <c r="O1231" s="117" t="b">
        <f t="shared" si="2"/>
        <v>1</v>
      </c>
      <c r="P1231" s="117" t="b">
        <v>1</v>
      </c>
      <c r="Q1231" s="117" t="s">
        <v>368</v>
      </c>
    </row>
    <row r="1232" hidden="1">
      <c r="A1232" s="108"/>
      <c r="B1232" s="220"/>
      <c r="C1232" s="220" t="s">
        <v>62</v>
      </c>
      <c r="D1232" s="220" t="str">
        <f>vlookup(M1232,'Página10'!A:B,2,false)</f>
        <v>INOV00034</v>
      </c>
      <c r="E1232" s="134" t="s">
        <v>306</v>
      </c>
      <c r="F1232" s="221">
        <v>45034.0</v>
      </c>
      <c r="G1232" s="222">
        <v>0.125</v>
      </c>
      <c r="H1232" s="134" t="s">
        <v>475</v>
      </c>
      <c r="I1232" s="223" t="s">
        <v>475</v>
      </c>
      <c r="J1232" s="223" t="b">
        <f t="shared" si="1"/>
        <v>1</v>
      </c>
      <c r="K1232" s="145" t="s">
        <v>1273</v>
      </c>
      <c r="L1232" s="156"/>
      <c r="M1232" s="134" t="s">
        <v>456</v>
      </c>
      <c r="N1232" s="150">
        <f>if(and(O1232=TRUE,P1232=TRUE), VLOOKUP($E1232,PESSOAL!$B$35:$S$45,MONTH($F1232)+6,false)*G1232*24,0)</f>
        <v>141.2937373</v>
      </c>
      <c r="O1232" s="117" t="b">
        <f t="shared" si="2"/>
        <v>1</v>
      </c>
      <c r="P1232" s="117" t="b">
        <v>1</v>
      </c>
      <c r="Q1232" s="117" t="s">
        <v>368</v>
      </c>
    </row>
    <row r="1233" hidden="1">
      <c r="A1233" s="108"/>
      <c r="B1233" s="220"/>
      <c r="C1233" s="220" t="s">
        <v>62</v>
      </c>
      <c r="D1233" s="220" t="str">
        <f>vlookup(M1233,'Página10'!A:B,2,false)</f>
        <v>INOV00034</v>
      </c>
      <c r="E1233" s="134" t="s">
        <v>306</v>
      </c>
      <c r="F1233" s="221">
        <v>45035.0</v>
      </c>
      <c r="G1233" s="222">
        <v>0.08333333333333333</v>
      </c>
      <c r="H1233" s="134" t="s">
        <v>475</v>
      </c>
      <c r="I1233" s="223" t="s">
        <v>475</v>
      </c>
      <c r="J1233" s="223" t="b">
        <f t="shared" si="1"/>
        <v>1</v>
      </c>
      <c r="K1233" s="145" t="s">
        <v>1274</v>
      </c>
      <c r="L1233" s="156"/>
      <c r="M1233" s="134" t="s">
        <v>456</v>
      </c>
      <c r="N1233" s="150">
        <f>if(and(O1233=TRUE,P1233=TRUE), VLOOKUP($E1233,PESSOAL!$B$35:$S$45,MONTH($F1233)+6,false)*G1233*24,0)</f>
        <v>94.19582488</v>
      </c>
      <c r="O1233" s="117" t="b">
        <f t="shared" si="2"/>
        <v>1</v>
      </c>
      <c r="P1233" s="117" t="b">
        <v>1</v>
      </c>
      <c r="Q1233" s="117" t="s">
        <v>368</v>
      </c>
    </row>
    <row r="1234" hidden="1">
      <c r="A1234" s="108"/>
      <c r="B1234" s="220"/>
      <c r="C1234" s="220" t="s">
        <v>435</v>
      </c>
      <c r="D1234" s="220" t="str">
        <f>vlookup(M1234,'Página10'!A:B,2,false)</f>
        <v>INOV00020</v>
      </c>
      <c r="E1234" s="134" t="s">
        <v>306</v>
      </c>
      <c r="F1234" s="221">
        <v>45036.0</v>
      </c>
      <c r="G1234" s="222">
        <v>0.6458333333333334</v>
      </c>
      <c r="H1234" s="134" t="s">
        <v>475</v>
      </c>
      <c r="I1234" s="223" t="s">
        <v>475</v>
      </c>
      <c r="J1234" s="223" t="b">
        <f t="shared" si="1"/>
        <v>1</v>
      </c>
      <c r="K1234" s="145" t="s">
        <v>1275</v>
      </c>
      <c r="L1234" s="156"/>
      <c r="M1234" s="134" t="s">
        <v>434</v>
      </c>
      <c r="N1234" s="150">
        <f>if(and(O1234=TRUE,P1234=TRUE), VLOOKUP($E1234,PESSOAL!$B$35:$S$45,MONTH($F1234)+6,false)*G1234*24,0)</f>
        <v>0</v>
      </c>
      <c r="O1234" s="117" t="b">
        <f t="shared" si="2"/>
        <v>1</v>
      </c>
      <c r="P1234" s="117" t="b">
        <v>0</v>
      </c>
      <c r="Q1234" s="117" t="s">
        <v>368</v>
      </c>
    </row>
    <row r="1235" hidden="1">
      <c r="A1235" s="108"/>
      <c r="B1235" s="220"/>
      <c r="C1235" s="220" t="s">
        <v>62</v>
      </c>
      <c r="D1235" s="220" t="str">
        <f>vlookup(M1235,'Página10'!A:B,2,false)</f>
        <v>INOV00034</v>
      </c>
      <c r="E1235" s="134" t="s">
        <v>306</v>
      </c>
      <c r="F1235" s="221">
        <v>45040.0</v>
      </c>
      <c r="G1235" s="222">
        <v>0.14583333333333334</v>
      </c>
      <c r="H1235" s="134" t="s">
        <v>475</v>
      </c>
      <c r="I1235" s="223" t="s">
        <v>475</v>
      </c>
      <c r="J1235" s="223" t="b">
        <f t="shared" si="1"/>
        <v>1</v>
      </c>
      <c r="K1235" s="145" t="s">
        <v>1276</v>
      </c>
      <c r="L1235" s="156"/>
      <c r="M1235" s="134" t="s">
        <v>456</v>
      </c>
      <c r="N1235" s="150">
        <f>if(and(O1235=TRUE,P1235=TRUE), VLOOKUP($E1235,PESSOAL!$B$35:$S$45,MONTH($F1235)+6,false)*G1235*24,0)</f>
        <v>164.8426935</v>
      </c>
      <c r="O1235" s="117" t="b">
        <f t="shared" si="2"/>
        <v>1</v>
      </c>
      <c r="P1235" s="117" t="b">
        <v>1</v>
      </c>
      <c r="Q1235" s="117" t="s">
        <v>368</v>
      </c>
    </row>
    <row r="1236" hidden="1">
      <c r="A1236" s="108"/>
      <c r="B1236" s="220"/>
      <c r="C1236" s="220" t="s">
        <v>62</v>
      </c>
      <c r="D1236" s="220" t="str">
        <f>vlookup(M1236,'Página10'!A:B,2,false)</f>
        <v>INOV00034</v>
      </c>
      <c r="E1236" s="134" t="s">
        <v>306</v>
      </c>
      <c r="F1236" s="221">
        <v>45040.0</v>
      </c>
      <c r="G1236" s="222">
        <v>0.0625</v>
      </c>
      <c r="H1236" s="134" t="s">
        <v>475</v>
      </c>
      <c r="I1236" s="223" t="s">
        <v>475</v>
      </c>
      <c r="J1236" s="223" t="b">
        <f t="shared" si="1"/>
        <v>1</v>
      </c>
      <c r="K1236" s="145" t="s">
        <v>1277</v>
      </c>
      <c r="L1236" s="156"/>
      <c r="M1236" s="134" t="s">
        <v>456</v>
      </c>
      <c r="N1236" s="150">
        <f>if(and(O1236=TRUE,P1236=TRUE), VLOOKUP($E1236,PESSOAL!$B$35:$S$45,MONTH($F1236)+6,false)*G1236*24,0)</f>
        <v>70.64686866</v>
      </c>
      <c r="O1236" s="117" t="b">
        <f t="shared" si="2"/>
        <v>1</v>
      </c>
      <c r="P1236" s="117" t="b">
        <v>1</v>
      </c>
      <c r="Q1236" s="117" t="s">
        <v>368</v>
      </c>
    </row>
    <row r="1237" hidden="1">
      <c r="A1237" s="108"/>
      <c r="B1237" s="220"/>
      <c r="C1237" s="220" t="s">
        <v>62</v>
      </c>
      <c r="D1237" s="220" t="str">
        <f>vlookup(M1237,'Página10'!A:B,2,false)</f>
        <v>INOV00034</v>
      </c>
      <c r="E1237" s="134" t="s">
        <v>306</v>
      </c>
      <c r="F1237" s="221">
        <v>45041.0</v>
      </c>
      <c r="G1237" s="222">
        <v>0.10416666666666667</v>
      </c>
      <c r="H1237" s="134" t="s">
        <v>475</v>
      </c>
      <c r="I1237" s="223" t="s">
        <v>475</v>
      </c>
      <c r="J1237" s="223" t="b">
        <f t="shared" si="1"/>
        <v>1</v>
      </c>
      <c r="K1237" s="145" t="s">
        <v>1278</v>
      </c>
      <c r="L1237" s="156"/>
      <c r="M1237" s="134" t="s">
        <v>456</v>
      </c>
      <c r="N1237" s="150">
        <f>if(and(O1237=TRUE,P1237=TRUE), VLOOKUP($E1237,PESSOAL!$B$35:$S$45,MONTH($F1237)+6,false)*G1237*24,0)</f>
        <v>117.7447811</v>
      </c>
      <c r="O1237" s="117" t="b">
        <f t="shared" si="2"/>
        <v>1</v>
      </c>
      <c r="P1237" s="117" t="b">
        <v>1</v>
      </c>
      <c r="Q1237" s="117" t="s">
        <v>368</v>
      </c>
    </row>
    <row r="1238" hidden="1">
      <c r="A1238" s="108"/>
      <c r="B1238" s="220"/>
      <c r="C1238" s="220" t="s">
        <v>62</v>
      </c>
      <c r="D1238" s="220" t="str">
        <f>vlookup(M1238,'Página10'!A:B,2,false)</f>
        <v>INOV00034</v>
      </c>
      <c r="E1238" s="134" t="s">
        <v>306</v>
      </c>
      <c r="F1238" s="221">
        <v>45048.0</v>
      </c>
      <c r="G1238" s="222">
        <v>0.10416666666666667</v>
      </c>
      <c r="H1238" s="134" t="s">
        <v>475</v>
      </c>
      <c r="I1238" s="223" t="s">
        <v>475</v>
      </c>
      <c r="J1238" s="223" t="b">
        <f t="shared" si="1"/>
        <v>1</v>
      </c>
      <c r="K1238" s="145" t="s">
        <v>1279</v>
      </c>
      <c r="L1238" s="156"/>
      <c r="M1238" s="134" t="s">
        <v>456</v>
      </c>
      <c r="N1238" s="150">
        <f>if(and(O1238=TRUE,P1238=TRUE), VLOOKUP($E1238,PESSOAL!$B$35:$S$45,MONTH($F1238)+6,false)*G1238*24,0)</f>
        <v>100.6717242</v>
      </c>
      <c r="O1238" s="117" t="b">
        <f t="shared" si="2"/>
        <v>1</v>
      </c>
      <c r="P1238" s="117" t="b">
        <v>1</v>
      </c>
      <c r="Q1238" s="117" t="s">
        <v>368</v>
      </c>
    </row>
    <row r="1239" hidden="1">
      <c r="A1239" s="108"/>
      <c r="B1239" s="220"/>
      <c r="C1239" s="220" t="s">
        <v>62</v>
      </c>
      <c r="D1239" s="220" t="str">
        <f>vlookup(M1239,'Página10'!A:B,2,false)</f>
        <v>INOV00034</v>
      </c>
      <c r="E1239" s="134" t="s">
        <v>306</v>
      </c>
      <c r="F1239" s="221">
        <v>45049.0</v>
      </c>
      <c r="G1239" s="222">
        <v>0.08333333333333333</v>
      </c>
      <c r="H1239" s="134" t="s">
        <v>475</v>
      </c>
      <c r="I1239" s="223" t="s">
        <v>475</v>
      </c>
      <c r="J1239" s="223" t="b">
        <f t="shared" si="1"/>
        <v>1</v>
      </c>
      <c r="K1239" s="145" t="s">
        <v>1279</v>
      </c>
      <c r="L1239" s="156"/>
      <c r="M1239" s="134" t="s">
        <v>456</v>
      </c>
      <c r="N1239" s="150">
        <f>if(and(O1239=TRUE,P1239=TRUE), VLOOKUP($E1239,PESSOAL!$B$35:$S$45,MONTH($F1239)+6,false)*G1239*24,0)</f>
        <v>80.53737936</v>
      </c>
      <c r="O1239" s="117" t="b">
        <f t="shared" si="2"/>
        <v>1</v>
      </c>
      <c r="P1239" s="117" t="b">
        <v>1</v>
      </c>
      <c r="Q1239" s="117" t="s">
        <v>368</v>
      </c>
    </row>
    <row r="1240" hidden="1">
      <c r="A1240" s="108"/>
      <c r="B1240" s="220"/>
      <c r="C1240" s="220" t="s">
        <v>62</v>
      </c>
      <c r="D1240" s="220" t="str">
        <f>vlookup(M1240,'Página10'!A:B,2,false)</f>
        <v>INOV00034</v>
      </c>
      <c r="E1240" s="134" t="s">
        <v>306</v>
      </c>
      <c r="F1240" s="221">
        <v>45051.0</v>
      </c>
      <c r="G1240" s="222">
        <v>0.08333333333333333</v>
      </c>
      <c r="H1240" s="134" t="s">
        <v>475</v>
      </c>
      <c r="I1240" s="223" t="s">
        <v>475</v>
      </c>
      <c r="J1240" s="223" t="b">
        <f t="shared" si="1"/>
        <v>1</v>
      </c>
      <c r="K1240" s="145" t="s">
        <v>1279</v>
      </c>
      <c r="L1240" s="156"/>
      <c r="M1240" s="134" t="s">
        <v>456</v>
      </c>
      <c r="N1240" s="150">
        <f>if(and(O1240=TRUE,P1240=TRUE), VLOOKUP($E1240,PESSOAL!$B$35:$S$45,MONTH($F1240)+6,false)*G1240*24,0)</f>
        <v>80.53737936</v>
      </c>
      <c r="O1240" s="117" t="b">
        <f t="shared" si="2"/>
        <v>1</v>
      </c>
      <c r="P1240" s="117" t="b">
        <v>1</v>
      </c>
      <c r="Q1240" s="117" t="s">
        <v>368</v>
      </c>
    </row>
    <row r="1241" hidden="1">
      <c r="A1241" s="108"/>
      <c r="B1241" s="220"/>
      <c r="C1241" s="220" t="s">
        <v>435</v>
      </c>
      <c r="D1241" s="220" t="str">
        <f>vlookup(M1241,'Página10'!A:B,2,false)</f>
        <v>INOV00020</v>
      </c>
      <c r="E1241" s="134" t="s">
        <v>306</v>
      </c>
      <c r="F1241" s="221">
        <v>45056.0</v>
      </c>
      <c r="G1241" s="222">
        <v>0.08333333333333333</v>
      </c>
      <c r="H1241" s="134" t="s">
        <v>411</v>
      </c>
      <c r="I1241" s="223" t="s">
        <v>475</v>
      </c>
      <c r="J1241" s="223" t="b">
        <f t="shared" si="1"/>
        <v>0</v>
      </c>
      <c r="K1241" s="145" t="s">
        <v>1280</v>
      </c>
      <c r="L1241" s="156"/>
      <c r="M1241" s="134" t="s">
        <v>434</v>
      </c>
      <c r="N1241" s="150">
        <f>if(and(O1241=TRUE,P1241=TRUE), VLOOKUP($E1241,PESSOAL!$B$35:$S$45,MONTH($F1241)+6,false)*G1241*24,0)</f>
        <v>0</v>
      </c>
      <c r="O1241" s="117" t="b">
        <f t="shared" si="2"/>
        <v>1</v>
      </c>
      <c r="P1241" s="117" t="b">
        <v>0</v>
      </c>
      <c r="Q1241" s="117" t="s">
        <v>368</v>
      </c>
    </row>
    <row r="1242">
      <c r="A1242" s="108"/>
      <c r="B1242" s="220"/>
      <c r="C1242" s="220" t="s">
        <v>60</v>
      </c>
      <c r="D1242" s="220" t="str">
        <f>vlookup(M1242,'Página10'!A:B,2,false)</f>
        <v>INOV00027</v>
      </c>
      <c r="E1242" s="134" t="s">
        <v>306</v>
      </c>
      <c r="F1242" s="221">
        <v>45058.0</v>
      </c>
      <c r="G1242" s="222">
        <v>0.0625</v>
      </c>
      <c r="H1242" s="134" t="s">
        <v>411</v>
      </c>
      <c r="I1242" s="223" t="s">
        <v>475</v>
      </c>
      <c r="J1242" s="223" t="b">
        <f t="shared" si="1"/>
        <v>0</v>
      </c>
      <c r="K1242" s="145" t="s">
        <v>1281</v>
      </c>
      <c r="L1242" s="156"/>
      <c r="M1242" s="134" t="s">
        <v>444</v>
      </c>
      <c r="N1242" s="150">
        <f>if(and(O1242=TRUE,P1242=TRUE), VLOOKUP($E1242,PESSOAL!$B$35:$S$45,MONTH($F1242)+6,false)*G1242*24,0)</f>
        <v>60.40303452</v>
      </c>
      <c r="O1242" s="117" t="b">
        <f t="shared" si="2"/>
        <v>1</v>
      </c>
      <c r="P1242" s="117" t="b">
        <v>1</v>
      </c>
      <c r="Q1242" s="117" t="s">
        <v>368</v>
      </c>
    </row>
    <row r="1243" hidden="1">
      <c r="A1243" s="108"/>
      <c r="B1243" s="220"/>
      <c r="C1243" s="134" t="s">
        <v>49</v>
      </c>
      <c r="D1243" s="134" t="s">
        <v>49</v>
      </c>
      <c r="E1243" s="134" t="s">
        <v>306</v>
      </c>
      <c r="F1243" s="221">
        <v>45058.0</v>
      </c>
      <c r="G1243" s="222">
        <v>0.125</v>
      </c>
      <c r="H1243" s="134" t="s">
        <v>475</v>
      </c>
      <c r="I1243" s="223" t="s">
        <v>475</v>
      </c>
      <c r="J1243" s="223" t="b">
        <f t="shared" si="1"/>
        <v>1</v>
      </c>
      <c r="K1243" s="145" t="s">
        <v>1282</v>
      </c>
      <c r="L1243" s="156"/>
      <c r="M1243" s="134" t="s">
        <v>457</v>
      </c>
      <c r="N1243" s="150">
        <f>if(and(O1243=TRUE,P1243=TRUE), VLOOKUP($E1243,PESSOAL!$B$35:$S$45,MONTH($F1243)+6,false)*G1243*24,0)</f>
        <v>120.806069</v>
      </c>
      <c r="O1243" s="117" t="b">
        <f t="shared" si="2"/>
        <v>1</v>
      </c>
      <c r="P1243" s="117" t="b">
        <v>1</v>
      </c>
      <c r="Q1243" s="117" t="s">
        <v>368</v>
      </c>
    </row>
    <row r="1244" hidden="1">
      <c r="A1244" s="108"/>
      <c r="B1244" s="220"/>
      <c r="C1244" s="220" t="s">
        <v>51</v>
      </c>
      <c r="D1244" s="220" t="str">
        <f>vlookup(M1244,'Página10'!A:B,2,false)</f>
        <v>INOV00010</v>
      </c>
      <c r="E1244" s="134" t="s">
        <v>146</v>
      </c>
      <c r="F1244" s="221">
        <v>45071.0</v>
      </c>
      <c r="G1244" s="222">
        <v>0.08333333333333333</v>
      </c>
      <c r="H1244" s="134" t="s">
        <v>411</v>
      </c>
      <c r="I1244" s="223" t="s">
        <v>411</v>
      </c>
      <c r="J1244" s="223" t="b">
        <f t="shared" si="1"/>
        <v>1</v>
      </c>
      <c r="K1244" s="145" t="s">
        <v>1283</v>
      </c>
      <c r="L1244" s="156"/>
      <c r="M1244" s="134" t="s">
        <v>423</v>
      </c>
      <c r="N1244" s="150">
        <f>if(and(O1244=TRUE,P1244=TRUE), VLOOKUP($E1244,PESSOAL!$B$35:$S$45,MONTH($F1244)+6,false)*G1244*24,0)</f>
        <v>172.4299145</v>
      </c>
      <c r="O1244" s="117" t="b">
        <f t="shared" si="2"/>
        <v>1</v>
      </c>
      <c r="P1244" s="117" t="b">
        <v>1</v>
      </c>
      <c r="Q1244" s="117" t="s">
        <v>368</v>
      </c>
    </row>
    <row r="1245" hidden="1">
      <c r="A1245" s="108"/>
      <c r="B1245" s="220"/>
      <c r="C1245" s="220" t="s">
        <v>59</v>
      </c>
      <c r="D1245" s="220" t="str">
        <f>vlookup(M1245,'Página10'!A:B,2,false)</f>
        <v>INOV00024</v>
      </c>
      <c r="E1245" s="134" t="s">
        <v>306</v>
      </c>
      <c r="F1245" s="221">
        <v>45063.0</v>
      </c>
      <c r="G1245" s="222">
        <v>0.08333333333333333</v>
      </c>
      <c r="H1245" s="134" t="s">
        <v>475</v>
      </c>
      <c r="I1245" s="223" t="s">
        <v>475</v>
      </c>
      <c r="J1245" s="223" t="b">
        <f t="shared" si="1"/>
        <v>1</v>
      </c>
      <c r="K1245" s="145" t="s">
        <v>1284</v>
      </c>
      <c r="L1245" s="156"/>
      <c r="M1245" s="134" t="s">
        <v>439</v>
      </c>
      <c r="N1245" s="150">
        <f>if(and(O1245=TRUE,P1245=TRUE), VLOOKUP($E1245,PESSOAL!$B$35:$S$45,MONTH($F1245)+6,false)*G1245*24,0)</f>
        <v>80.53737936</v>
      </c>
      <c r="O1245" s="117" t="b">
        <f t="shared" si="2"/>
        <v>1</v>
      </c>
      <c r="P1245" s="117" t="b">
        <v>1</v>
      </c>
      <c r="Q1245" s="117" t="s">
        <v>368</v>
      </c>
    </row>
    <row r="1246" hidden="1">
      <c r="A1246" s="108"/>
      <c r="B1246" s="220"/>
      <c r="C1246" s="220" t="s">
        <v>435</v>
      </c>
      <c r="D1246" s="220" t="str">
        <f>vlookup(M1246,'Página10'!A:B,2,false)</f>
        <v>INOV00020</v>
      </c>
      <c r="E1246" s="134" t="s">
        <v>306</v>
      </c>
      <c r="F1246" s="221">
        <v>45064.0</v>
      </c>
      <c r="G1246" s="222">
        <v>0.041666666666666664</v>
      </c>
      <c r="H1246" s="134" t="s">
        <v>411</v>
      </c>
      <c r="I1246" s="223" t="s">
        <v>475</v>
      </c>
      <c r="J1246" s="223" t="b">
        <f t="shared" si="1"/>
        <v>0</v>
      </c>
      <c r="K1246" s="145" t="s">
        <v>1285</v>
      </c>
      <c r="L1246" s="156"/>
      <c r="M1246" s="134" t="s">
        <v>434</v>
      </c>
      <c r="N1246" s="150">
        <f>if(and(O1246=TRUE,P1246=TRUE), VLOOKUP($E1246,PESSOAL!$B$35:$S$45,MONTH($F1246)+6,false)*G1246*24,0)</f>
        <v>0</v>
      </c>
      <c r="O1246" s="117" t="b">
        <f t="shared" si="2"/>
        <v>1</v>
      </c>
      <c r="P1246" s="117" t="b">
        <v>0</v>
      </c>
      <c r="Q1246" s="117" t="s">
        <v>368</v>
      </c>
    </row>
    <row r="1247" hidden="1">
      <c r="A1247" s="108"/>
      <c r="B1247" s="220"/>
      <c r="C1247" s="220" t="s">
        <v>59</v>
      </c>
      <c r="D1247" s="220" t="str">
        <f>vlookup(M1247,'Página10'!A:B,2,false)</f>
        <v>INOV00024</v>
      </c>
      <c r="E1247" s="134" t="s">
        <v>306</v>
      </c>
      <c r="F1247" s="221">
        <v>45065.0</v>
      </c>
      <c r="G1247" s="222">
        <v>0.0625</v>
      </c>
      <c r="H1247" s="134" t="s">
        <v>475</v>
      </c>
      <c r="I1247" s="223" t="s">
        <v>475</v>
      </c>
      <c r="J1247" s="223" t="b">
        <f t="shared" si="1"/>
        <v>1</v>
      </c>
      <c r="K1247" s="145" t="s">
        <v>1286</v>
      </c>
      <c r="L1247" s="156"/>
      <c r="M1247" s="134" t="s">
        <v>439</v>
      </c>
      <c r="N1247" s="150">
        <f>if(and(O1247=TRUE,P1247=TRUE), VLOOKUP($E1247,PESSOAL!$B$35:$S$45,MONTH($F1247)+6,false)*G1247*24,0)</f>
        <v>60.40303452</v>
      </c>
      <c r="O1247" s="117" t="b">
        <f t="shared" si="2"/>
        <v>1</v>
      </c>
      <c r="P1247" s="117" t="b">
        <v>1</v>
      </c>
      <c r="Q1247" s="117" t="s">
        <v>368</v>
      </c>
    </row>
    <row r="1248" hidden="1">
      <c r="A1248" s="108"/>
      <c r="B1248" s="220"/>
      <c r="C1248" s="220" t="s">
        <v>59</v>
      </c>
      <c r="D1248" s="220" t="str">
        <f>vlookup(M1248,'Página10'!A:B,2,false)</f>
        <v>INOV00024</v>
      </c>
      <c r="E1248" s="134" t="s">
        <v>306</v>
      </c>
      <c r="F1248" s="221">
        <v>45075.0</v>
      </c>
      <c r="G1248" s="222">
        <v>0.041666666666666664</v>
      </c>
      <c r="H1248" s="134" t="s">
        <v>475</v>
      </c>
      <c r="I1248" s="223" t="s">
        <v>475</v>
      </c>
      <c r="J1248" s="223" t="b">
        <f t="shared" si="1"/>
        <v>1</v>
      </c>
      <c r="K1248" s="145" t="s">
        <v>1287</v>
      </c>
      <c r="L1248" s="156"/>
      <c r="M1248" s="134" t="s">
        <v>439</v>
      </c>
      <c r="N1248" s="150">
        <f>if(and(O1248=TRUE,P1248=TRUE), VLOOKUP($E1248,PESSOAL!$B$35:$S$45,MONTH($F1248)+6,false)*G1248*24,0)</f>
        <v>40.26868968</v>
      </c>
      <c r="O1248" s="117" t="b">
        <f t="shared" si="2"/>
        <v>1</v>
      </c>
      <c r="P1248" s="117" t="b">
        <v>1</v>
      </c>
      <c r="Q1248" s="117" t="s">
        <v>368</v>
      </c>
    </row>
    <row r="1249" hidden="1">
      <c r="A1249" s="108"/>
      <c r="B1249" s="220"/>
      <c r="C1249" s="220" t="s">
        <v>59</v>
      </c>
      <c r="D1249" s="220" t="str">
        <f>vlookup(M1249,'Página10'!A:B,2,false)</f>
        <v>INOV00024</v>
      </c>
      <c r="E1249" s="134" t="s">
        <v>306</v>
      </c>
      <c r="F1249" s="221">
        <v>45076.0</v>
      </c>
      <c r="G1249" s="222">
        <v>0.052083333333333336</v>
      </c>
      <c r="H1249" s="134" t="s">
        <v>475</v>
      </c>
      <c r="I1249" s="223" t="s">
        <v>475</v>
      </c>
      <c r="J1249" s="223" t="b">
        <f t="shared" si="1"/>
        <v>1</v>
      </c>
      <c r="K1249" s="145" t="s">
        <v>1287</v>
      </c>
      <c r="L1249" s="156"/>
      <c r="M1249" s="134" t="s">
        <v>439</v>
      </c>
      <c r="N1249" s="150">
        <f>if(and(O1249=TRUE,P1249=TRUE), VLOOKUP($E1249,PESSOAL!$B$35:$S$45,MONTH($F1249)+6,false)*G1249*24,0)</f>
        <v>50.3358621</v>
      </c>
      <c r="O1249" s="117" t="b">
        <f t="shared" si="2"/>
        <v>1</v>
      </c>
      <c r="P1249" s="117" t="b">
        <v>1</v>
      </c>
      <c r="Q1249" s="117" t="s">
        <v>368</v>
      </c>
    </row>
    <row r="1250" hidden="1">
      <c r="A1250" s="108"/>
      <c r="B1250" s="220"/>
      <c r="C1250" s="220" t="s">
        <v>433</v>
      </c>
      <c r="D1250" s="220" t="str">
        <f>vlookup(M1250,'Página10'!A:B,2,false)</f>
        <v>INOV00019</v>
      </c>
      <c r="E1250" s="134" t="s">
        <v>307</v>
      </c>
      <c r="F1250" s="221">
        <v>45072.0</v>
      </c>
      <c r="G1250" s="222">
        <v>0.25</v>
      </c>
      <c r="H1250" s="134" t="s">
        <v>411</v>
      </c>
      <c r="I1250" s="223" t="s">
        <v>411</v>
      </c>
      <c r="J1250" s="223" t="b">
        <f t="shared" si="1"/>
        <v>1</v>
      </c>
      <c r="K1250" s="145" t="s">
        <v>1288</v>
      </c>
      <c r="L1250" s="156"/>
      <c r="M1250" s="134" t="s">
        <v>432</v>
      </c>
      <c r="N1250" s="150">
        <f>if(and(O1250=TRUE,P1250=TRUE), VLOOKUP($E1250,PESSOAL!$B$35:$S$45,MONTH($F1250)+6,false)*G1250*24,0)</f>
        <v>0</v>
      </c>
      <c r="O1250" s="117" t="b">
        <f t="shared" si="2"/>
        <v>1</v>
      </c>
      <c r="P1250" s="117" t="b">
        <v>0</v>
      </c>
      <c r="Q1250" s="117" t="s">
        <v>368</v>
      </c>
    </row>
    <row r="1251" hidden="1">
      <c r="A1251" s="108"/>
      <c r="B1251" s="220"/>
      <c r="C1251" s="220" t="s">
        <v>54</v>
      </c>
      <c r="D1251" s="220" t="str">
        <f>vlookup(M1251,'Página10'!A:B,2,false)</f>
        <v>INOV00016</v>
      </c>
      <c r="E1251" s="134" t="s">
        <v>307</v>
      </c>
      <c r="F1251" s="221">
        <v>45079.0</v>
      </c>
      <c r="G1251" s="222">
        <v>0.010416666666666666</v>
      </c>
      <c r="H1251" s="134" t="s">
        <v>479</v>
      </c>
      <c r="I1251" s="223" t="s">
        <v>479</v>
      </c>
      <c r="J1251" s="223" t="b">
        <f t="shared" si="1"/>
        <v>1</v>
      </c>
      <c r="K1251" s="145" t="s">
        <v>1289</v>
      </c>
      <c r="L1251" s="156"/>
      <c r="M1251" s="134" t="s">
        <v>428</v>
      </c>
      <c r="N1251" s="150">
        <f>if(and(O1251=TRUE,P1251=TRUE), VLOOKUP($E1251,PESSOAL!$B$35:$S$45,MONTH($F1251)+6,false)*G1251*24,0)</f>
        <v>0</v>
      </c>
      <c r="O1251" s="117" t="b">
        <f t="shared" si="2"/>
        <v>0</v>
      </c>
      <c r="P1251" s="117" t="b">
        <v>1</v>
      </c>
      <c r="Q1251" s="117" t="s">
        <v>368</v>
      </c>
    </row>
    <row r="1252" hidden="1">
      <c r="A1252" s="108"/>
      <c r="B1252" s="220"/>
      <c r="C1252" s="220" t="s">
        <v>433</v>
      </c>
      <c r="D1252" s="220" t="str">
        <f>vlookup(M1252,'Página10'!A:B,2,false)</f>
        <v>INOV00019</v>
      </c>
      <c r="E1252" s="134" t="s">
        <v>307</v>
      </c>
      <c r="F1252" s="221">
        <v>45083.0</v>
      </c>
      <c r="G1252" s="222">
        <v>0.09027777777777778</v>
      </c>
      <c r="H1252" s="134" t="s">
        <v>411</v>
      </c>
      <c r="I1252" s="223" t="s">
        <v>411</v>
      </c>
      <c r="J1252" s="223" t="b">
        <f t="shared" si="1"/>
        <v>1</v>
      </c>
      <c r="K1252" s="145" t="s">
        <v>1290</v>
      </c>
      <c r="L1252" s="156"/>
      <c r="M1252" s="134" t="s">
        <v>432</v>
      </c>
      <c r="N1252" s="150">
        <f>if(and(O1252=TRUE,P1252=TRUE), VLOOKUP($E1252,PESSOAL!$B$35:$S$45,MONTH($F1252)+6,false)*G1252*24,0)</f>
        <v>0</v>
      </c>
      <c r="O1252" s="117" t="b">
        <f t="shared" si="2"/>
        <v>1</v>
      </c>
      <c r="P1252" s="117" t="b">
        <v>0</v>
      </c>
      <c r="Q1252" s="117" t="s">
        <v>368</v>
      </c>
    </row>
    <row r="1253" hidden="1">
      <c r="A1253" s="108"/>
      <c r="B1253" s="220"/>
      <c r="C1253" s="220" t="s">
        <v>433</v>
      </c>
      <c r="D1253" s="220" t="str">
        <f>vlookup(M1253,'Página10'!A:B,2,false)</f>
        <v>INOV00019</v>
      </c>
      <c r="E1253" s="134" t="s">
        <v>307</v>
      </c>
      <c r="F1253" s="221">
        <v>45084.0</v>
      </c>
      <c r="G1253" s="222">
        <v>0.020833333333333332</v>
      </c>
      <c r="H1253" s="134" t="s">
        <v>411</v>
      </c>
      <c r="I1253" s="223" t="s">
        <v>411</v>
      </c>
      <c r="J1253" s="223" t="b">
        <f t="shared" si="1"/>
        <v>1</v>
      </c>
      <c r="K1253" s="145" t="s">
        <v>1291</v>
      </c>
      <c r="L1253" s="156"/>
      <c r="M1253" s="134" t="s">
        <v>432</v>
      </c>
      <c r="N1253" s="150">
        <f>if(and(O1253=TRUE,P1253=TRUE), VLOOKUP($E1253,PESSOAL!$B$35:$S$45,MONTH($F1253)+6,false)*G1253*24,0)</f>
        <v>0</v>
      </c>
      <c r="O1253" s="117" t="b">
        <f t="shared" si="2"/>
        <v>1</v>
      </c>
      <c r="P1253" s="117" t="b">
        <v>0</v>
      </c>
      <c r="Q1253" s="117" t="s">
        <v>368</v>
      </c>
    </row>
    <row r="1254" hidden="1">
      <c r="A1254" s="108"/>
      <c r="B1254" s="220"/>
      <c r="C1254" s="220" t="s">
        <v>51</v>
      </c>
      <c r="D1254" s="220" t="str">
        <f>vlookup(M1254,'Página10'!A:B,2,false)</f>
        <v>INOV00010</v>
      </c>
      <c r="E1254" s="134" t="s">
        <v>307</v>
      </c>
      <c r="F1254" s="221">
        <v>45089.0</v>
      </c>
      <c r="G1254" s="222">
        <v>0.0625</v>
      </c>
      <c r="H1254" s="134" t="s">
        <v>411</v>
      </c>
      <c r="I1254" s="223" t="s">
        <v>411</v>
      </c>
      <c r="J1254" s="223" t="b">
        <f t="shared" si="1"/>
        <v>1</v>
      </c>
      <c r="K1254" s="145" t="s">
        <v>1292</v>
      </c>
      <c r="L1254" s="156"/>
      <c r="M1254" s="134" t="s">
        <v>423</v>
      </c>
      <c r="N1254" s="150">
        <f>if(and(O1254=TRUE,P1254=TRUE), VLOOKUP($E1254,PESSOAL!$B$35:$S$45,MONTH($F1254)+6,false)*G1254*24,0)</f>
        <v>60.2661349</v>
      </c>
      <c r="O1254" s="117" t="b">
        <f t="shared" si="2"/>
        <v>1</v>
      </c>
      <c r="P1254" s="117" t="b">
        <v>1</v>
      </c>
      <c r="Q1254" s="117" t="s">
        <v>368</v>
      </c>
    </row>
    <row r="1255" hidden="1">
      <c r="A1255" s="108"/>
      <c r="B1255" s="220"/>
      <c r="C1255" s="220" t="s">
        <v>54</v>
      </c>
      <c r="D1255" s="220" t="str">
        <f>vlookup(M1255,'Página10'!A:B,2,false)</f>
        <v>INOV00016</v>
      </c>
      <c r="E1255" s="134" t="s">
        <v>307</v>
      </c>
      <c r="F1255" s="221">
        <v>45090.0</v>
      </c>
      <c r="G1255" s="222">
        <v>0.013888888888888888</v>
      </c>
      <c r="H1255" s="134" t="s">
        <v>479</v>
      </c>
      <c r="I1255" s="223" t="s">
        <v>479</v>
      </c>
      <c r="J1255" s="223" t="b">
        <f t="shared" si="1"/>
        <v>1</v>
      </c>
      <c r="K1255" s="145" t="s">
        <v>1289</v>
      </c>
      <c r="L1255" s="156"/>
      <c r="M1255" s="134" t="s">
        <v>428</v>
      </c>
      <c r="N1255" s="150">
        <f>if(and(O1255=TRUE,P1255=TRUE), VLOOKUP($E1255,PESSOAL!$B$35:$S$45,MONTH($F1255)+6,false)*G1255*24,0)</f>
        <v>0</v>
      </c>
      <c r="O1255" s="117" t="b">
        <f t="shared" si="2"/>
        <v>0</v>
      </c>
      <c r="P1255" s="117" t="b">
        <v>1</v>
      </c>
      <c r="Q1255" s="117" t="s">
        <v>368</v>
      </c>
    </row>
    <row r="1256" hidden="1">
      <c r="A1256" s="108"/>
      <c r="B1256" s="220"/>
      <c r="C1256" s="220" t="s">
        <v>433</v>
      </c>
      <c r="D1256" s="220" t="str">
        <f>vlookup(M1256,'Página10'!A:B,2,false)</f>
        <v>INOV00019</v>
      </c>
      <c r="E1256" s="134" t="s">
        <v>307</v>
      </c>
      <c r="F1256" s="221">
        <v>45097.0</v>
      </c>
      <c r="G1256" s="222">
        <v>0.020833333333333332</v>
      </c>
      <c r="H1256" s="134" t="s">
        <v>479</v>
      </c>
      <c r="I1256" s="223" t="s">
        <v>479</v>
      </c>
      <c r="J1256" s="223" t="b">
        <f t="shared" si="1"/>
        <v>1</v>
      </c>
      <c r="K1256" s="145" t="s">
        <v>1289</v>
      </c>
      <c r="L1256" s="156"/>
      <c r="M1256" s="134" t="s">
        <v>432</v>
      </c>
      <c r="N1256" s="150">
        <f>if(and(O1256=TRUE,P1256=TRUE), VLOOKUP($E1256,PESSOAL!$B$35:$S$45,MONTH($F1256)+6,false)*G1256*24,0)</f>
        <v>0</v>
      </c>
      <c r="O1256" s="117" t="b">
        <f t="shared" si="2"/>
        <v>0</v>
      </c>
      <c r="P1256" s="117" t="b">
        <v>0</v>
      </c>
      <c r="Q1256" s="117" t="s">
        <v>368</v>
      </c>
    </row>
    <row r="1257" hidden="1">
      <c r="A1257" s="108"/>
      <c r="B1257" s="220"/>
      <c r="C1257" s="220" t="s">
        <v>290</v>
      </c>
      <c r="D1257" s="220" t="str">
        <f>vlookup(M1257,'Página10'!A:B,2,false)</f>
        <v>INOV00001</v>
      </c>
      <c r="E1257" s="134" t="s">
        <v>307</v>
      </c>
      <c r="F1257" s="221">
        <v>45100.0</v>
      </c>
      <c r="G1257" s="222">
        <v>0.08333333333333333</v>
      </c>
      <c r="H1257" s="134" t="s">
        <v>411</v>
      </c>
      <c r="I1257" s="223" t="s">
        <v>411</v>
      </c>
      <c r="J1257" s="223" t="b">
        <f t="shared" si="1"/>
        <v>1</v>
      </c>
      <c r="K1257" s="145" t="s">
        <v>1293</v>
      </c>
      <c r="L1257" s="156"/>
      <c r="M1257" s="134" t="s">
        <v>416</v>
      </c>
      <c r="N1257" s="150">
        <f>if(and(O1257=TRUE,P1257=TRUE), VLOOKUP($E1257,PESSOAL!$B$35:$S$45,MONTH($F1257)+6,false)*G1257*24,0)</f>
        <v>80.35484653</v>
      </c>
      <c r="O1257" s="117" t="b">
        <f t="shared" si="2"/>
        <v>1</v>
      </c>
      <c r="P1257" s="117" t="b">
        <v>1</v>
      </c>
      <c r="Q1257" s="117" t="s">
        <v>368</v>
      </c>
    </row>
    <row r="1258" hidden="1">
      <c r="A1258" s="108"/>
      <c r="B1258" s="220"/>
      <c r="C1258" s="220" t="s">
        <v>290</v>
      </c>
      <c r="D1258" s="220" t="str">
        <f>vlookup(M1258,'Página10'!A:B,2,false)</f>
        <v>INOV00001</v>
      </c>
      <c r="E1258" s="134" t="s">
        <v>307</v>
      </c>
      <c r="F1258" s="221">
        <v>45103.0</v>
      </c>
      <c r="G1258" s="222">
        <v>0.02638888888888889</v>
      </c>
      <c r="H1258" s="134" t="s">
        <v>411</v>
      </c>
      <c r="I1258" s="223" t="s">
        <v>411</v>
      </c>
      <c r="J1258" s="223" t="b">
        <f t="shared" si="1"/>
        <v>1</v>
      </c>
      <c r="K1258" s="145" t="s">
        <v>1294</v>
      </c>
      <c r="L1258" s="156"/>
      <c r="M1258" s="134" t="s">
        <v>416</v>
      </c>
      <c r="N1258" s="150">
        <f>if(and(O1258=TRUE,P1258=TRUE), VLOOKUP($E1258,PESSOAL!$B$35:$S$45,MONTH($F1258)+6,false)*G1258*24,0)</f>
        <v>25.4457014</v>
      </c>
      <c r="O1258" s="117" t="b">
        <f t="shared" si="2"/>
        <v>1</v>
      </c>
      <c r="P1258" s="117" t="b">
        <v>1</v>
      </c>
      <c r="Q1258" s="117" t="s">
        <v>368</v>
      </c>
    </row>
    <row r="1259" hidden="1">
      <c r="A1259" s="108"/>
      <c r="B1259" s="220"/>
      <c r="C1259" s="220" t="s">
        <v>290</v>
      </c>
      <c r="D1259" s="220" t="str">
        <f>vlookup(M1259,'Página10'!A:B,2,false)</f>
        <v>INOV00001</v>
      </c>
      <c r="E1259" s="134" t="s">
        <v>307</v>
      </c>
      <c r="F1259" s="221">
        <v>45103.0</v>
      </c>
      <c r="G1259" s="222">
        <v>0.07291666666666667</v>
      </c>
      <c r="H1259" s="134" t="s">
        <v>411</v>
      </c>
      <c r="I1259" s="223" t="s">
        <v>411</v>
      </c>
      <c r="J1259" s="223" t="b">
        <f t="shared" si="1"/>
        <v>1</v>
      </c>
      <c r="K1259" s="145" t="s">
        <v>1295</v>
      </c>
      <c r="L1259" s="156"/>
      <c r="M1259" s="134" t="s">
        <v>416</v>
      </c>
      <c r="N1259" s="150">
        <f>if(and(O1259=TRUE,P1259=TRUE), VLOOKUP($E1259,PESSOAL!$B$35:$S$45,MONTH($F1259)+6,false)*G1259*24,0)</f>
        <v>70.31049071</v>
      </c>
      <c r="O1259" s="117" t="b">
        <f t="shared" si="2"/>
        <v>1</v>
      </c>
      <c r="P1259" s="117" t="b">
        <v>1</v>
      </c>
      <c r="Q1259" s="117" t="s">
        <v>368</v>
      </c>
    </row>
    <row r="1260" hidden="1">
      <c r="A1260" s="108"/>
      <c r="B1260" s="220"/>
      <c r="C1260" s="220" t="s">
        <v>290</v>
      </c>
      <c r="D1260" s="220" t="str">
        <f>vlookup(M1260,'Página10'!A:B,2,false)</f>
        <v>INOV00001</v>
      </c>
      <c r="E1260" s="134" t="s">
        <v>307</v>
      </c>
      <c r="F1260" s="221">
        <v>45104.0</v>
      </c>
      <c r="G1260" s="222">
        <v>0.041666666666666664</v>
      </c>
      <c r="H1260" s="134" t="s">
        <v>411</v>
      </c>
      <c r="I1260" s="223" t="s">
        <v>411</v>
      </c>
      <c r="J1260" s="223" t="b">
        <f t="shared" si="1"/>
        <v>1</v>
      </c>
      <c r="K1260" s="145" t="s">
        <v>1295</v>
      </c>
      <c r="L1260" s="156"/>
      <c r="M1260" s="134" t="s">
        <v>416</v>
      </c>
      <c r="N1260" s="150">
        <f>if(and(O1260=TRUE,P1260=TRUE), VLOOKUP($E1260,PESSOAL!$B$35:$S$45,MONTH($F1260)+6,false)*G1260*24,0)</f>
        <v>40.17742326</v>
      </c>
      <c r="O1260" s="117" t="b">
        <f t="shared" si="2"/>
        <v>1</v>
      </c>
      <c r="P1260" s="117" t="b">
        <v>1</v>
      </c>
      <c r="Q1260" s="117" t="s">
        <v>368</v>
      </c>
    </row>
    <row r="1261" hidden="1">
      <c r="A1261" s="108"/>
      <c r="B1261" s="220"/>
      <c r="C1261" s="220" t="s">
        <v>433</v>
      </c>
      <c r="D1261" s="220" t="str">
        <f>vlookup(M1261,'Página10'!A:B,2,false)</f>
        <v>INOV00019</v>
      </c>
      <c r="E1261" s="134" t="s">
        <v>307</v>
      </c>
      <c r="F1261" s="221">
        <v>45106.0</v>
      </c>
      <c r="G1261" s="222">
        <v>0.017361111111111112</v>
      </c>
      <c r="H1261" s="134" t="s">
        <v>411</v>
      </c>
      <c r="I1261" s="223" t="s">
        <v>411</v>
      </c>
      <c r="J1261" s="223" t="b">
        <f t="shared" si="1"/>
        <v>1</v>
      </c>
      <c r="K1261" s="145" t="s">
        <v>1296</v>
      </c>
      <c r="L1261" s="156"/>
      <c r="M1261" s="134" t="s">
        <v>432</v>
      </c>
      <c r="N1261" s="150">
        <f>if(and(O1261=TRUE,P1261=TRUE), VLOOKUP($E1261,PESSOAL!$B$35:$S$45,MONTH($F1261)+6,false)*G1261*24,0)</f>
        <v>0</v>
      </c>
      <c r="O1261" s="117" t="b">
        <f t="shared" si="2"/>
        <v>1</v>
      </c>
      <c r="P1261" s="117" t="b">
        <v>0</v>
      </c>
      <c r="Q1261" s="117" t="s">
        <v>368</v>
      </c>
    </row>
    <row r="1262" hidden="1">
      <c r="A1262" s="108"/>
      <c r="B1262" s="220"/>
      <c r="C1262" s="220" t="s">
        <v>68</v>
      </c>
      <c r="D1262" s="220" t="str">
        <f>vlookup(M1262,'Página10'!A:B,2,false)</f>
        <v>INOV00040</v>
      </c>
      <c r="E1262" s="134" t="s">
        <v>307</v>
      </c>
      <c r="F1262" s="221">
        <v>45106.0</v>
      </c>
      <c r="G1262" s="222">
        <v>0.041666666666666664</v>
      </c>
      <c r="H1262" s="134" t="s">
        <v>411</v>
      </c>
      <c r="I1262" s="223" t="s">
        <v>411</v>
      </c>
      <c r="J1262" s="223" t="b">
        <f t="shared" si="1"/>
        <v>1</v>
      </c>
      <c r="K1262" s="145" t="s">
        <v>1297</v>
      </c>
      <c r="L1262" s="156"/>
      <c r="M1262" s="134" t="s">
        <v>462</v>
      </c>
      <c r="N1262" s="150">
        <f>if(and(O1262=TRUE,P1262=TRUE), VLOOKUP($E1262,PESSOAL!$B$35:$S$45,MONTH($F1262)+6,false)*G1262*24,0)</f>
        <v>0</v>
      </c>
      <c r="O1262" s="117" t="b">
        <f t="shared" si="2"/>
        <v>1</v>
      </c>
      <c r="P1262" s="117" t="b">
        <v>0</v>
      </c>
      <c r="Q1262" s="117" t="s">
        <v>368</v>
      </c>
    </row>
    <row r="1263" hidden="1">
      <c r="A1263" s="108"/>
      <c r="B1263" s="220"/>
      <c r="C1263" s="220" t="str">
        <f t="shared" ref="C1263:C1355" si="3">D1263</f>
        <v>INOV00040</v>
      </c>
      <c r="D1263" s="220" t="str">
        <f>vlookup(M1263,'Página10'!A:B,2,false)</f>
        <v>INOV00040</v>
      </c>
      <c r="E1263" s="134" t="s">
        <v>307</v>
      </c>
      <c r="F1263" s="221">
        <v>45110.0</v>
      </c>
      <c r="G1263" s="222">
        <v>0.0625</v>
      </c>
      <c r="H1263" s="134" t="s">
        <v>411</v>
      </c>
      <c r="I1263" s="223" t="s">
        <v>411</v>
      </c>
      <c r="J1263" s="223" t="b">
        <f t="shared" si="1"/>
        <v>1</v>
      </c>
      <c r="K1263" s="145" t="s">
        <v>1298</v>
      </c>
      <c r="L1263" s="156"/>
      <c r="M1263" s="134" t="s">
        <v>462</v>
      </c>
      <c r="N1263" s="150">
        <f>if(and(O1263=TRUE,P1263=TRUE), VLOOKUP($E1263,PESSOAL!$B$35:$S$45,MONTH($F1263)+6,false)*G1263*24,0)</f>
        <v>0</v>
      </c>
      <c r="O1263" s="117" t="b">
        <f t="shared" si="2"/>
        <v>1</v>
      </c>
      <c r="P1263" s="117" t="b">
        <v>0</v>
      </c>
      <c r="Q1263" s="117" t="s">
        <v>368</v>
      </c>
    </row>
    <row r="1264" hidden="1">
      <c r="A1264" s="108"/>
      <c r="B1264" s="220"/>
      <c r="C1264" s="220" t="str">
        <f t="shared" si="3"/>
        <v>INOV00040</v>
      </c>
      <c r="D1264" s="220" t="str">
        <f>vlookup(M1264,'Página10'!A:B,2,false)</f>
        <v>INOV00040</v>
      </c>
      <c r="E1264" s="134" t="s">
        <v>307</v>
      </c>
      <c r="F1264" s="221">
        <v>45110.0</v>
      </c>
      <c r="G1264" s="222">
        <v>0.041666666666666664</v>
      </c>
      <c r="H1264" s="134" t="s">
        <v>411</v>
      </c>
      <c r="I1264" s="223" t="s">
        <v>411</v>
      </c>
      <c r="J1264" s="223" t="b">
        <f t="shared" si="1"/>
        <v>1</v>
      </c>
      <c r="K1264" s="145" t="s">
        <v>1291</v>
      </c>
      <c r="L1264" s="156"/>
      <c r="M1264" s="134" t="s">
        <v>462</v>
      </c>
      <c r="N1264" s="150">
        <f>if(and(O1264=TRUE,P1264=TRUE), VLOOKUP($E1264,PESSOAL!$B$35:$S$45,MONTH($F1264)+6,false)*G1264*24,0)</f>
        <v>0</v>
      </c>
      <c r="O1264" s="117" t="b">
        <f t="shared" si="2"/>
        <v>1</v>
      </c>
      <c r="P1264" s="117" t="b">
        <v>0</v>
      </c>
      <c r="Q1264" s="117" t="s">
        <v>368</v>
      </c>
    </row>
    <row r="1265" hidden="1">
      <c r="A1265" s="108"/>
      <c r="B1265" s="220"/>
      <c r="C1265" s="220" t="str">
        <f t="shared" si="3"/>
        <v>INOV00016</v>
      </c>
      <c r="D1265" s="220" t="str">
        <f>vlookup(M1265,'Página10'!A:B,2,false)</f>
        <v>INOV00016</v>
      </c>
      <c r="E1265" s="134" t="s">
        <v>307</v>
      </c>
      <c r="F1265" s="221">
        <v>45110.0</v>
      </c>
      <c r="G1265" s="222">
        <v>0.041666666666666664</v>
      </c>
      <c r="H1265" s="134" t="s">
        <v>411</v>
      </c>
      <c r="I1265" s="223" t="s">
        <v>411</v>
      </c>
      <c r="J1265" s="223" t="b">
        <f t="shared" si="1"/>
        <v>1</v>
      </c>
      <c r="K1265" s="145" t="s">
        <v>1299</v>
      </c>
      <c r="L1265" s="156"/>
      <c r="M1265" s="134" t="s">
        <v>428</v>
      </c>
      <c r="N1265" s="150">
        <f>if(and(O1265=TRUE,P1265=TRUE), VLOOKUP($E1265,PESSOAL!$B$35:$S$45,MONTH($F1265)+6,false)*G1265*24,0)</f>
        <v>40.17742326</v>
      </c>
      <c r="O1265" s="117" t="b">
        <f t="shared" si="2"/>
        <v>1</v>
      </c>
      <c r="P1265" s="117" t="b">
        <v>1</v>
      </c>
      <c r="Q1265" s="117" t="s">
        <v>368</v>
      </c>
    </row>
    <row r="1266" hidden="1">
      <c r="A1266" s="108"/>
      <c r="B1266" s="220"/>
      <c r="C1266" s="220" t="str">
        <f t="shared" si="3"/>
        <v>INOV00016</v>
      </c>
      <c r="D1266" s="220" t="str">
        <f>vlookup(M1266,'Página10'!A:B,2,false)</f>
        <v>INOV00016</v>
      </c>
      <c r="E1266" s="134" t="s">
        <v>307</v>
      </c>
      <c r="F1266" s="221">
        <v>45110.0</v>
      </c>
      <c r="G1266" s="222">
        <v>0.041666666666666664</v>
      </c>
      <c r="H1266" s="134" t="s">
        <v>411</v>
      </c>
      <c r="I1266" s="223" t="s">
        <v>411</v>
      </c>
      <c r="J1266" s="223" t="b">
        <f t="shared" si="1"/>
        <v>1</v>
      </c>
      <c r="K1266" s="145" t="s">
        <v>1291</v>
      </c>
      <c r="L1266" s="156"/>
      <c r="M1266" s="134" t="s">
        <v>428</v>
      </c>
      <c r="N1266" s="150">
        <f>if(and(O1266=TRUE,P1266=TRUE), VLOOKUP($E1266,PESSOAL!$B$35:$S$45,MONTH($F1266)+6,false)*G1266*24,0)</f>
        <v>40.17742326</v>
      </c>
      <c r="O1266" s="117" t="b">
        <f t="shared" si="2"/>
        <v>1</v>
      </c>
      <c r="P1266" s="117" t="b">
        <v>1</v>
      </c>
      <c r="Q1266" s="117" t="s">
        <v>368</v>
      </c>
    </row>
    <row r="1267" hidden="1">
      <c r="A1267" s="108"/>
      <c r="B1267" s="220"/>
      <c r="C1267" s="220" t="str">
        <f t="shared" si="3"/>
        <v>INOV00019</v>
      </c>
      <c r="D1267" s="220" t="str">
        <f>vlookup(M1267,'Página10'!A:B,2,false)</f>
        <v>INOV00019</v>
      </c>
      <c r="E1267" s="134" t="s">
        <v>307</v>
      </c>
      <c r="F1267" s="221">
        <v>45110.0</v>
      </c>
      <c r="G1267" s="222">
        <v>0.041666666666666664</v>
      </c>
      <c r="H1267" s="134" t="s">
        <v>479</v>
      </c>
      <c r="I1267" s="223" t="s">
        <v>479</v>
      </c>
      <c r="J1267" s="223" t="b">
        <f t="shared" si="1"/>
        <v>1</v>
      </c>
      <c r="K1267" s="145" t="s">
        <v>1289</v>
      </c>
      <c r="L1267" s="156"/>
      <c r="M1267" s="134" t="s">
        <v>432</v>
      </c>
      <c r="N1267" s="150">
        <f>if(and(O1267=TRUE,P1267=TRUE), VLOOKUP($E1267,PESSOAL!$B$35:$S$45,MONTH($F1267)+6,false)*G1267*24,0)</f>
        <v>0</v>
      </c>
      <c r="O1267" s="117" t="b">
        <f t="shared" si="2"/>
        <v>0</v>
      </c>
      <c r="P1267" s="117" t="b">
        <v>0</v>
      </c>
      <c r="Q1267" s="117" t="s">
        <v>368</v>
      </c>
    </row>
    <row r="1268" hidden="1">
      <c r="A1268" s="108"/>
      <c r="B1268" s="220"/>
      <c r="C1268" s="220" t="str">
        <f t="shared" si="3"/>
        <v>INOV00010</v>
      </c>
      <c r="D1268" s="220" t="str">
        <f>vlookup(M1268,'Página10'!A:B,2,false)</f>
        <v>INOV00010</v>
      </c>
      <c r="E1268" s="134" t="s">
        <v>307</v>
      </c>
      <c r="F1268" s="221">
        <v>45110.0</v>
      </c>
      <c r="G1268" s="222">
        <v>0.010416666666666666</v>
      </c>
      <c r="H1268" s="134" t="s">
        <v>479</v>
      </c>
      <c r="I1268" s="223" t="s">
        <v>479</v>
      </c>
      <c r="J1268" s="223" t="b">
        <f t="shared" si="1"/>
        <v>1</v>
      </c>
      <c r="K1268" s="145" t="s">
        <v>1289</v>
      </c>
      <c r="L1268" s="156"/>
      <c r="M1268" s="134" t="s">
        <v>423</v>
      </c>
      <c r="N1268" s="150">
        <f>if(and(O1268=TRUE,P1268=TRUE), VLOOKUP($E1268,PESSOAL!$B$35:$S$45,MONTH($F1268)+6,false)*G1268*24,0)</f>
        <v>0</v>
      </c>
      <c r="O1268" s="117" t="b">
        <f t="shared" si="2"/>
        <v>0</v>
      </c>
      <c r="P1268" s="117" t="b">
        <v>1</v>
      </c>
      <c r="Q1268" s="117" t="s">
        <v>368</v>
      </c>
    </row>
    <row r="1269" hidden="1">
      <c r="A1269" s="108"/>
      <c r="B1269" s="220"/>
      <c r="C1269" s="220" t="str">
        <f t="shared" si="3"/>
        <v>INOV00001</v>
      </c>
      <c r="D1269" s="220" t="str">
        <f>vlookup(M1269,'Página10'!A:B,2,false)</f>
        <v>INOV00001</v>
      </c>
      <c r="E1269" s="134" t="s">
        <v>307</v>
      </c>
      <c r="F1269" s="221">
        <v>45112.0</v>
      </c>
      <c r="G1269" s="222">
        <v>0.010416666666666666</v>
      </c>
      <c r="H1269" s="134" t="s">
        <v>479</v>
      </c>
      <c r="I1269" s="223" t="s">
        <v>479</v>
      </c>
      <c r="J1269" s="223" t="b">
        <f t="shared" si="1"/>
        <v>1</v>
      </c>
      <c r="K1269" s="145" t="s">
        <v>1289</v>
      </c>
      <c r="L1269" s="156"/>
      <c r="M1269" s="134" t="s">
        <v>416</v>
      </c>
      <c r="N1269" s="150">
        <f>if(and(O1269=TRUE,P1269=TRUE), VLOOKUP($E1269,PESSOAL!$B$35:$S$45,MONTH($F1269)+6,false)*G1269*24,0)</f>
        <v>0</v>
      </c>
      <c r="O1269" s="117" t="b">
        <f t="shared" si="2"/>
        <v>0</v>
      </c>
      <c r="P1269" s="117" t="b">
        <v>1</v>
      </c>
      <c r="Q1269" s="117" t="s">
        <v>368</v>
      </c>
    </row>
    <row r="1270" hidden="1">
      <c r="A1270" s="108"/>
      <c r="B1270" s="220"/>
      <c r="C1270" s="220" t="str">
        <f t="shared" si="3"/>
        <v>INOV00019</v>
      </c>
      <c r="D1270" s="220" t="str">
        <f>vlookup(M1270,'Página10'!A:B,2,false)</f>
        <v>INOV00019</v>
      </c>
      <c r="E1270" s="134" t="s">
        <v>307</v>
      </c>
      <c r="F1270" s="221">
        <v>45112.0</v>
      </c>
      <c r="G1270" s="222">
        <v>0.03125</v>
      </c>
      <c r="H1270" s="134" t="s">
        <v>411</v>
      </c>
      <c r="I1270" s="223" t="s">
        <v>411</v>
      </c>
      <c r="J1270" s="223" t="b">
        <f t="shared" si="1"/>
        <v>1</v>
      </c>
      <c r="K1270" s="145" t="s">
        <v>1296</v>
      </c>
      <c r="L1270" s="156"/>
      <c r="M1270" s="134" t="s">
        <v>432</v>
      </c>
      <c r="N1270" s="150">
        <f>if(and(O1270=TRUE,P1270=TRUE), VLOOKUP($E1270,PESSOAL!$B$35:$S$45,MONTH($F1270)+6,false)*G1270*24,0)</f>
        <v>0</v>
      </c>
      <c r="O1270" s="117" t="b">
        <f t="shared" si="2"/>
        <v>1</v>
      </c>
      <c r="P1270" s="117" t="b">
        <v>0</v>
      </c>
      <c r="Q1270" s="117" t="s">
        <v>368</v>
      </c>
    </row>
    <row r="1271" hidden="1">
      <c r="A1271" s="108"/>
      <c r="B1271" s="220"/>
      <c r="C1271" s="220" t="str">
        <f t="shared" si="3"/>
        <v>INOV00019</v>
      </c>
      <c r="D1271" s="220" t="str">
        <f>vlookup(M1271,'Página10'!A:B,2,false)</f>
        <v>INOV00019</v>
      </c>
      <c r="E1271" s="134" t="s">
        <v>307</v>
      </c>
      <c r="F1271" s="221">
        <v>45113.0</v>
      </c>
      <c r="G1271" s="222">
        <v>0.041666666666666664</v>
      </c>
      <c r="H1271" s="134" t="s">
        <v>411</v>
      </c>
      <c r="I1271" s="223" t="s">
        <v>411</v>
      </c>
      <c r="J1271" s="223" t="b">
        <f t="shared" si="1"/>
        <v>1</v>
      </c>
      <c r="K1271" s="145" t="s">
        <v>1300</v>
      </c>
      <c r="L1271" s="156"/>
      <c r="M1271" s="134" t="s">
        <v>432</v>
      </c>
      <c r="N1271" s="150">
        <f>if(and(O1271=TRUE,P1271=TRUE), VLOOKUP($E1271,PESSOAL!$B$35:$S$45,MONTH($F1271)+6,false)*G1271*24,0)</f>
        <v>0</v>
      </c>
      <c r="O1271" s="117" t="b">
        <f t="shared" si="2"/>
        <v>1</v>
      </c>
      <c r="P1271" s="117" t="b">
        <v>0</v>
      </c>
      <c r="Q1271" s="117" t="s">
        <v>368</v>
      </c>
    </row>
    <row r="1272" hidden="1">
      <c r="A1272" s="108"/>
      <c r="B1272" s="220"/>
      <c r="C1272" s="220" t="str">
        <f t="shared" si="3"/>
        <v>INOV00016</v>
      </c>
      <c r="D1272" s="220" t="str">
        <f>vlookup(M1272,'Página10'!A:B,2,false)</f>
        <v>INOV00016</v>
      </c>
      <c r="E1272" s="134" t="s">
        <v>307</v>
      </c>
      <c r="F1272" s="221">
        <v>45114.0</v>
      </c>
      <c r="G1272" s="222">
        <v>0.041666666666666664</v>
      </c>
      <c r="H1272" s="134" t="s">
        <v>479</v>
      </c>
      <c r="I1272" s="223" t="s">
        <v>479</v>
      </c>
      <c r="J1272" s="223" t="b">
        <f t="shared" si="1"/>
        <v>1</v>
      </c>
      <c r="K1272" s="145" t="s">
        <v>1289</v>
      </c>
      <c r="L1272" s="156"/>
      <c r="M1272" s="134" t="s">
        <v>428</v>
      </c>
      <c r="N1272" s="150">
        <f>if(and(O1272=TRUE,P1272=TRUE), VLOOKUP($E1272,PESSOAL!$B$35:$S$45,MONTH($F1272)+6,false)*G1272*24,0)</f>
        <v>0</v>
      </c>
      <c r="O1272" s="117" t="b">
        <f t="shared" si="2"/>
        <v>0</v>
      </c>
      <c r="P1272" s="117" t="b">
        <v>1</v>
      </c>
      <c r="Q1272" s="117" t="s">
        <v>368</v>
      </c>
    </row>
    <row r="1273" hidden="1">
      <c r="A1273" s="108"/>
      <c r="B1273" s="220"/>
      <c r="C1273" s="220" t="str">
        <f t="shared" si="3"/>
        <v>INOV00016</v>
      </c>
      <c r="D1273" s="220" t="str">
        <f>vlookup(M1273,'Página10'!A:B,2,false)</f>
        <v>INOV00016</v>
      </c>
      <c r="E1273" s="134" t="s">
        <v>307</v>
      </c>
      <c r="F1273" s="221">
        <v>45119.0</v>
      </c>
      <c r="G1273" s="222">
        <v>0.020833333333333332</v>
      </c>
      <c r="H1273" s="134" t="s">
        <v>411</v>
      </c>
      <c r="I1273" s="223" t="s">
        <v>411</v>
      </c>
      <c r="J1273" s="223" t="b">
        <f t="shared" si="1"/>
        <v>1</v>
      </c>
      <c r="K1273" s="145" t="s">
        <v>1291</v>
      </c>
      <c r="L1273" s="156"/>
      <c r="M1273" s="134" t="s">
        <v>428</v>
      </c>
      <c r="N1273" s="150">
        <f>if(and(O1273=TRUE,P1273=TRUE), VLOOKUP($E1273,PESSOAL!$B$35:$S$45,MONTH($F1273)+6,false)*G1273*24,0)</f>
        <v>20.08871163</v>
      </c>
      <c r="O1273" s="117" t="b">
        <f t="shared" si="2"/>
        <v>1</v>
      </c>
      <c r="P1273" s="117" t="b">
        <v>1</v>
      </c>
      <c r="Q1273" s="117" t="s">
        <v>368</v>
      </c>
    </row>
    <row r="1274" hidden="1">
      <c r="A1274" s="108"/>
      <c r="B1274" s="220"/>
      <c r="C1274" s="220" t="str">
        <f t="shared" si="3"/>
        <v>INOV00019</v>
      </c>
      <c r="D1274" s="220" t="str">
        <f>vlookup(M1274,'Página10'!A:B,2,false)</f>
        <v>INOV00019</v>
      </c>
      <c r="E1274" s="134" t="s">
        <v>307</v>
      </c>
      <c r="F1274" s="221">
        <v>45119.0</v>
      </c>
      <c r="G1274" s="222">
        <v>0.02638888888888889</v>
      </c>
      <c r="H1274" s="134" t="s">
        <v>479</v>
      </c>
      <c r="I1274" s="223" t="s">
        <v>479</v>
      </c>
      <c r="J1274" s="223" t="b">
        <f t="shared" si="1"/>
        <v>1</v>
      </c>
      <c r="K1274" s="145" t="s">
        <v>1289</v>
      </c>
      <c r="L1274" s="156"/>
      <c r="M1274" s="134" t="s">
        <v>432</v>
      </c>
      <c r="N1274" s="150">
        <f>if(and(O1274=TRUE,P1274=TRUE), VLOOKUP($E1274,PESSOAL!$B$35:$S$45,MONTH($F1274)+6,false)*G1274*24,0)</f>
        <v>0</v>
      </c>
      <c r="O1274" s="117" t="b">
        <f t="shared" si="2"/>
        <v>0</v>
      </c>
      <c r="P1274" s="117" t="b">
        <v>0</v>
      </c>
      <c r="Q1274" s="117" t="s">
        <v>368</v>
      </c>
    </row>
    <row r="1275" hidden="1">
      <c r="A1275" s="108"/>
      <c r="B1275" s="220"/>
      <c r="C1275" s="220" t="str">
        <f t="shared" si="3"/>
        <v>INOV00016</v>
      </c>
      <c r="D1275" s="220" t="str">
        <f>vlookup(M1275,'Página10'!A:B,2,false)</f>
        <v>INOV00016</v>
      </c>
      <c r="E1275" s="134" t="s">
        <v>307</v>
      </c>
      <c r="F1275" s="221">
        <v>45126.0</v>
      </c>
      <c r="G1275" s="222">
        <v>0.006944444444444444</v>
      </c>
      <c r="H1275" s="134" t="s">
        <v>479</v>
      </c>
      <c r="I1275" s="223" t="s">
        <v>479</v>
      </c>
      <c r="J1275" s="223" t="b">
        <f t="shared" si="1"/>
        <v>1</v>
      </c>
      <c r="K1275" s="145" t="s">
        <v>1289</v>
      </c>
      <c r="L1275" s="156"/>
      <c r="M1275" s="134" t="s">
        <v>428</v>
      </c>
      <c r="N1275" s="150">
        <f>if(and(O1275=TRUE,P1275=TRUE), VLOOKUP($E1275,PESSOAL!$B$35:$S$45,MONTH($F1275)+6,false)*G1275*24,0)</f>
        <v>0</v>
      </c>
      <c r="O1275" s="117" t="b">
        <f t="shared" si="2"/>
        <v>0</v>
      </c>
      <c r="P1275" s="117" t="b">
        <v>1</v>
      </c>
      <c r="Q1275" s="117" t="s">
        <v>368</v>
      </c>
    </row>
    <row r="1276" hidden="1">
      <c r="A1276" s="108"/>
      <c r="B1276" s="220"/>
      <c r="C1276" s="220" t="str">
        <f t="shared" si="3"/>
        <v>INOV00016</v>
      </c>
      <c r="D1276" s="220" t="str">
        <f>vlookup(M1276,'Página10'!A:B,2,false)</f>
        <v>INOV00016</v>
      </c>
      <c r="E1276" s="134" t="s">
        <v>307</v>
      </c>
      <c r="F1276" s="221">
        <v>45126.0</v>
      </c>
      <c r="G1276" s="222">
        <v>0.006944444444444444</v>
      </c>
      <c r="H1276" s="134" t="s">
        <v>479</v>
      </c>
      <c r="I1276" s="223" t="s">
        <v>479</v>
      </c>
      <c r="J1276" s="223" t="b">
        <f t="shared" si="1"/>
        <v>1</v>
      </c>
      <c r="K1276" s="145" t="s">
        <v>1289</v>
      </c>
      <c r="L1276" s="156"/>
      <c r="M1276" s="134" t="s">
        <v>428</v>
      </c>
      <c r="N1276" s="150">
        <f>if(and(O1276=TRUE,P1276=TRUE), VLOOKUP($E1276,PESSOAL!$B$35:$S$45,MONTH($F1276)+6,false)*G1276*24,0)</f>
        <v>0</v>
      </c>
      <c r="O1276" s="117" t="b">
        <f t="shared" si="2"/>
        <v>0</v>
      </c>
      <c r="P1276" s="117" t="b">
        <v>1</v>
      </c>
      <c r="Q1276" s="117" t="s">
        <v>368</v>
      </c>
    </row>
    <row r="1277" hidden="1">
      <c r="A1277" s="108"/>
      <c r="B1277" s="220"/>
      <c r="C1277" s="220" t="str">
        <f t="shared" si="3"/>
        <v>INOV00040</v>
      </c>
      <c r="D1277" s="220" t="str">
        <f>vlookup(M1277,'Página10'!A:B,2,false)</f>
        <v>INOV00040</v>
      </c>
      <c r="E1277" s="134" t="s">
        <v>307</v>
      </c>
      <c r="F1277" s="221">
        <v>45126.0</v>
      </c>
      <c r="G1277" s="222">
        <v>0.006944444444444444</v>
      </c>
      <c r="H1277" s="134" t="s">
        <v>479</v>
      </c>
      <c r="I1277" s="223" t="s">
        <v>479</v>
      </c>
      <c r="J1277" s="223" t="b">
        <f t="shared" si="1"/>
        <v>1</v>
      </c>
      <c r="K1277" s="145" t="s">
        <v>1289</v>
      </c>
      <c r="L1277" s="156"/>
      <c r="M1277" s="134" t="s">
        <v>462</v>
      </c>
      <c r="N1277" s="150">
        <f>if(and(O1277=TRUE,P1277=TRUE), VLOOKUP($E1277,PESSOAL!$B$35:$S$45,MONTH($F1277)+6,false)*G1277*24,0)</f>
        <v>0</v>
      </c>
      <c r="O1277" s="117" t="b">
        <f t="shared" si="2"/>
        <v>0</v>
      </c>
      <c r="P1277" s="117" t="b">
        <v>0</v>
      </c>
      <c r="Q1277" s="117" t="s">
        <v>368</v>
      </c>
    </row>
    <row r="1278" hidden="1">
      <c r="A1278" s="108"/>
      <c r="B1278" s="220"/>
      <c r="C1278" s="220" t="str">
        <f t="shared" si="3"/>
        <v>INOV00017</v>
      </c>
      <c r="D1278" s="220" t="str">
        <f>vlookup(M1278,'Página10'!A:B,2,false)</f>
        <v>INOV00017</v>
      </c>
      <c r="E1278" s="134" t="s">
        <v>307</v>
      </c>
      <c r="F1278" s="221">
        <v>45127.0</v>
      </c>
      <c r="G1278" s="222">
        <v>0.034722222222222224</v>
      </c>
      <c r="H1278" s="134" t="s">
        <v>411</v>
      </c>
      <c r="I1278" s="223" t="s">
        <v>411</v>
      </c>
      <c r="J1278" s="223" t="b">
        <f t="shared" si="1"/>
        <v>1</v>
      </c>
      <c r="K1278" s="145" t="s">
        <v>1301</v>
      </c>
      <c r="L1278" s="156"/>
      <c r="M1278" s="134" t="s">
        <v>429</v>
      </c>
      <c r="N1278" s="150">
        <f>if(and(O1278=TRUE,P1278=TRUE), VLOOKUP($E1278,PESSOAL!$B$35:$S$45,MONTH($F1278)+6,false)*G1278*24,0)</f>
        <v>33.48118605</v>
      </c>
      <c r="O1278" s="117" t="b">
        <f t="shared" si="2"/>
        <v>1</v>
      </c>
      <c r="P1278" s="117" t="b">
        <v>1</v>
      </c>
      <c r="Q1278" s="117" t="s">
        <v>368</v>
      </c>
    </row>
    <row r="1279" hidden="1">
      <c r="A1279" s="108"/>
      <c r="B1279" s="220"/>
      <c r="C1279" s="220" t="str">
        <f t="shared" si="3"/>
        <v>INOV00016</v>
      </c>
      <c r="D1279" s="220" t="str">
        <f>vlookup(M1279,'Página10'!A:B,2,false)</f>
        <v>INOV00016</v>
      </c>
      <c r="E1279" s="134" t="s">
        <v>307</v>
      </c>
      <c r="F1279" s="221">
        <v>45131.0</v>
      </c>
      <c r="G1279" s="222">
        <v>0.08333333333333333</v>
      </c>
      <c r="H1279" s="134" t="s">
        <v>475</v>
      </c>
      <c r="I1279" s="223" t="s">
        <v>475</v>
      </c>
      <c r="J1279" s="223" t="b">
        <f t="shared" si="1"/>
        <v>1</v>
      </c>
      <c r="K1279" s="145" t="s">
        <v>1302</v>
      </c>
      <c r="L1279" s="156"/>
      <c r="M1279" s="134" t="s">
        <v>428</v>
      </c>
      <c r="N1279" s="150">
        <f>if(and(O1279=TRUE,P1279=TRUE), VLOOKUP($E1279,PESSOAL!$B$35:$S$45,MONTH($F1279)+6,false)*G1279*24,0)</f>
        <v>80.35484653</v>
      </c>
      <c r="O1279" s="117" t="b">
        <f t="shared" si="2"/>
        <v>1</v>
      </c>
      <c r="P1279" s="117" t="b">
        <v>1</v>
      </c>
      <c r="Q1279" s="117" t="s">
        <v>368</v>
      </c>
    </row>
    <row r="1280" hidden="1">
      <c r="A1280" s="108"/>
      <c r="B1280" s="220"/>
      <c r="C1280" s="220" t="str">
        <f t="shared" si="3"/>
        <v>INOV00001</v>
      </c>
      <c r="D1280" s="220" t="str">
        <f>vlookup(M1280,'Página10'!A:B,2,false)</f>
        <v>INOV00001</v>
      </c>
      <c r="E1280" s="134" t="s">
        <v>307</v>
      </c>
      <c r="F1280" s="221">
        <v>45132.0</v>
      </c>
      <c r="G1280" s="222">
        <v>0.041666666666666664</v>
      </c>
      <c r="H1280" s="134" t="s">
        <v>411</v>
      </c>
      <c r="I1280" s="223" t="s">
        <v>411</v>
      </c>
      <c r="J1280" s="223" t="b">
        <f t="shared" si="1"/>
        <v>1</v>
      </c>
      <c r="K1280" s="145" t="s">
        <v>1303</v>
      </c>
      <c r="L1280" s="156"/>
      <c r="M1280" s="134" t="s">
        <v>416</v>
      </c>
      <c r="N1280" s="150">
        <f>if(and(O1280=TRUE,P1280=TRUE), VLOOKUP($E1280,PESSOAL!$B$35:$S$45,MONTH($F1280)+6,false)*G1280*24,0)</f>
        <v>40.17742326</v>
      </c>
      <c r="O1280" s="117" t="b">
        <f t="shared" si="2"/>
        <v>1</v>
      </c>
      <c r="P1280" s="117" t="b">
        <v>1</v>
      </c>
      <c r="Q1280" s="117" t="s">
        <v>368</v>
      </c>
    </row>
    <row r="1281" hidden="1">
      <c r="A1281" s="108"/>
      <c r="B1281" s="220"/>
      <c r="C1281" s="220" t="str">
        <f t="shared" si="3"/>
        <v>INOV00016</v>
      </c>
      <c r="D1281" s="220" t="str">
        <f>vlookup(M1281,'Página10'!A:B,2,false)</f>
        <v>INOV00016</v>
      </c>
      <c r="E1281" s="134" t="s">
        <v>307</v>
      </c>
      <c r="F1281" s="221">
        <v>45133.0</v>
      </c>
      <c r="G1281" s="222">
        <v>0.125</v>
      </c>
      <c r="H1281" s="134" t="s">
        <v>475</v>
      </c>
      <c r="I1281" s="223" t="s">
        <v>475</v>
      </c>
      <c r="J1281" s="223" t="b">
        <f t="shared" si="1"/>
        <v>1</v>
      </c>
      <c r="K1281" s="145" t="s">
        <v>1302</v>
      </c>
      <c r="L1281" s="156"/>
      <c r="M1281" s="134" t="s">
        <v>428</v>
      </c>
      <c r="N1281" s="150">
        <f>if(and(O1281=TRUE,P1281=TRUE), VLOOKUP($E1281,PESSOAL!$B$35:$S$45,MONTH($F1281)+6,false)*G1281*24,0)</f>
        <v>120.5322698</v>
      </c>
      <c r="O1281" s="117" t="b">
        <f t="shared" si="2"/>
        <v>1</v>
      </c>
      <c r="P1281" s="117" t="b">
        <v>1</v>
      </c>
      <c r="Q1281" s="117" t="s">
        <v>368</v>
      </c>
    </row>
    <row r="1282" hidden="1">
      <c r="A1282" s="108"/>
      <c r="B1282" s="220"/>
      <c r="C1282" s="220" t="str">
        <f t="shared" si="3"/>
        <v>INOV00016</v>
      </c>
      <c r="D1282" s="220" t="str">
        <f>vlookup(M1282,'Página10'!A:B,2,false)</f>
        <v>INOV00016</v>
      </c>
      <c r="E1282" s="134" t="s">
        <v>307</v>
      </c>
      <c r="F1282" s="221">
        <v>45133.0</v>
      </c>
      <c r="G1282" s="222">
        <v>0.024305555555555556</v>
      </c>
      <c r="H1282" s="134" t="s">
        <v>475</v>
      </c>
      <c r="I1282" s="223" t="s">
        <v>475</v>
      </c>
      <c r="J1282" s="223" t="b">
        <f t="shared" si="1"/>
        <v>1</v>
      </c>
      <c r="K1282" s="145" t="s">
        <v>1302</v>
      </c>
      <c r="L1282" s="156"/>
      <c r="M1282" s="134" t="s">
        <v>428</v>
      </c>
      <c r="N1282" s="150">
        <f>if(and(O1282=TRUE,P1282=TRUE), VLOOKUP($E1282,PESSOAL!$B$35:$S$45,MONTH($F1282)+6,false)*G1282*24,0)</f>
        <v>23.43683024</v>
      </c>
      <c r="O1282" s="117" t="b">
        <f t="shared" si="2"/>
        <v>1</v>
      </c>
      <c r="P1282" s="117" t="b">
        <v>1</v>
      </c>
      <c r="Q1282" s="117" t="s">
        <v>368</v>
      </c>
    </row>
    <row r="1283" hidden="1">
      <c r="A1283" s="108"/>
      <c r="B1283" s="220"/>
      <c r="C1283" s="220" t="str">
        <f t="shared" si="3"/>
        <v>INOV00016</v>
      </c>
      <c r="D1283" s="220" t="str">
        <f>vlookup(M1283,'Página10'!A:B,2,false)</f>
        <v>INOV00016</v>
      </c>
      <c r="E1283" s="134" t="s">
        <v>307</v>
      </c>
      <c r="F1283" s="221">
        <v>45134.0</v>
      </c>
      <c r="G1283" s="222">
        <v>0.08333333333333333</v>
      </c>
      <c r="H1283" s="134" t="s">
        <v>475</v>
      </c>
      <c r="I1283" s="223" t="s">
        <v>475</v>
      </c>
      <c r="J1283" s="223" t="b">
        <f t="shared" si="1"/>
        <v>1</v>
      </c>
      <c r="K1283" s="145" t="s">
        <v>1302</v>
      </c>
      <c r="L1283" s="156"/>
      <c r="M1283" s="134" t="s">
        <v>428</v>
      </c>
      <c r="N1283" s="150">
        <f>if(and(O1283=TRUE,P1283=TRUE), VLOOKUP($E1283,PESSOAL!$B$35:$S$45,MONTH($F1283)+6,false)*G1283*24,0)</f>
        <v>80.35484653</v>
      </c>
      <c r="O1283" s="117" t="b">
        <f t="shared" si="2"/>
        <v>1</v>
      </c>
      <c r="P1283" s="117" t="b">
        <v>1</v>
      </c>
      <c r="Q1283" s="117" t="s">
        <v>368</v>
      </c>
    </row>
    <row r="1284" hidden="1">
      <c r="A1284" s="108"/>
      <c r="B1284" s="220"/>
      <c r="C1284" s="220" t="str">
        <f t="shared" si="3"/>
        <v>INOV00016</v>
      </c>
      <c r="D1284" s="220" t="str">
        <f>vlookup(M1284,'Página10'!A:B,2,false)</f>
        <v>INOV00016</v>
      </c>
      <c r="E1284" s="134" t="s">
        <v>307</v>
      </c>
      <c r="F1284" s="221">
        <v>45134.0</v>
      </c>
      <c r="G1284" s="222">
        <v>0.041666666666666664</v>
      </c>
      <c r="H1284" s="134" t="s">
        <v>475</v>
      </c>
      <c r="I1284" s="223" t="s">
        <v>475</v>
      </c>
      <c r="J1284" s="223" t="b">
        <f t="shared" si="1"/>
        <v>1</v>
      </c>
      <c r="K1284" s="145" t="s">
        <v>1302</v>
      </c>
      <c r="L1284" s="156"/>
      <c r="M1284" s="134" t="s">
        <v>428</v>
      </c>
      <c r="N1284" s="150">
        <f>if(and(O1284=TRUE,P1284=TRUE), VLOOKUP($E1284,PESSOAL!$B$35:$S$45,MONTH($F1284)+6,false)*G1284*24,0)</f>
        <v>40.17742326</v>
      </c>
      <c r="O1284" s="117" t="b">
        <f t="shared" si="2"/>
        <v>1</v>
      </c>
      <c r="P1284" s="117" t="b">
        <v>1</v>
      </c>
      <c r="Q1284" s="117" t="s">
        <v>368</v>
      </c>
    </row>
    <row r="1285" hidden="1">
      <c r="A1285" s="108"/>
      <c r="B1285" s="220"/>
      <c r="C1285" s="220" t="str">
        <f t="shared" si="3"/>
        <v>INOV00016</v>
      </c>
      <c r="D1285" s="220" t="str">
        <f>vlookup(M1285,'Página10'!A:B,2,false)</f>
        <v>INOV00016</v>
      </c>
      <c r="E1285" s="134" t="s">
        <v>307</v>
      </c>
      <c r="F1285" s="221">
        <v>45135.0</v>
      </c>
      <c r="G1285" s="222">
        <v>0.013888888888888888</v>
      </c>
      <c r="H1285" s="134" t="s">
        <v>411</v>
      </c>
      <c r="I1285" s="223" t="s">
        <v>411</v>
      </c>
      <c r="J1285" s="223" t="b">
        <f t="shared" si="1"/>
        <v>1</v>
      </c>
      <c r="K1285" s="145" t="s">
        <v>1304</v>
      </c>
      <c r="L1285" s="156"/>
      <c r="M1285" s="134" t="s">
        <v>428</v>
      </c>
      <c r="N1285" s="150">
        <f>if(and(O1285=TRUE,P1285=TRUE), VLOOKUP($E1285,PESSOAL!$B$35:$S$45,MONTH($F1285)+6,false)*G1285*24,0)</f>
        <v>13.39247442</v>
      </c>
      <c r="O1285" s="117" t="b">
        <f t="shared" si="2"/>
        <v>1</v>
      </c>
      <c r="P1285" s="117" t="b">
        <v>1</v>
      </c>
      <c r="Q1285" s="117" t="s">
        <v>368</v>
      </c>
    </row>
    <row r="1286" hidden="1">
      <c r="A1286" s="108"/>
      <c r="B1286" s="220"/>
      <c r="C1286" s="220" t="str">
        <f t="shared" si="3"/>
        <v>INOV00001</v>
      </c>
      <c r="D1286" s="220" t="str">
        <f>vlookup(M1286,'Página10'!A:B,2,false)</f>
        <v>INOV00001</v>
      </c>
      <c r="E1286" s="134" t="s">
        <v>307</v>
      </c>
      <c r="F1286" s="221">
        <v>45135.0</v>
      </c>
      <c r="G1286" s="222">
        <v>0.0625</v>
      </c>
      <c r="H1286" s="134" t="s">
        <v>479</v>
      </c>
      <c r="I1286" s="223" t="s">
        <v>479</v>
      </c>
      <c r="J1286" s="223" t="b">
        <f t="shared" si="1"/>
        <v>1</v>
      </c>
      <c r="K1286" s="145" t="s">
        <v>1305</v>
      </c>
      <c r="L1286" s="156"/>
      <c r="M1286" s="134" t="s">
        <v>416</v>
      </c>
      <c r="N1286" s="150">
        <f>if(and(O1286=TRUE,P1286=TRUE), VLOOKUP($E1286,PESSOAL!$B$35:$S$45,MONTH($F1286)+6,false)*G1286*24,0)</f>
        <v>0</v>
      </c>
      <c r="O1286" s="117" t="b">
        <f t="shared" si="2"/>
        <v>0</v>
      </c>
      <c r="P1286" s="117" t="b">
        <v>1</v>
      </c>
      <c r="Q1286" s="117" t="s">
        <v>368</v>
      </c>
    </row>
    <row r="1287" hidden="1">
      <c r="A1287" s="108"/>
      <c r="B1287" s="220"/>
      <c r="C1287" s="220" t="str">
        <f t="shared" si="3"/>
        <v>INOV00016</v>
      </c>
      <c r="D1287" s="220" t="str">
        <f>vlookup(M1287,'Página10'!A:B,2,false)</f>
        <v>INOV00016</v>
      </c>
      <c r="E1287" s="134" t="s">
        <v>307</v>
      </c>
      <c r="F1287" s="221">
        <v>45138.0</v>
      </c>
      <c r="G1287" s="222">
        <v>0.0625</v>
      </c>
      <c r="H1287" s="134" t="s">
        <v>475</v>
      </c>
      <c r="I1287" s="223" t="s">
        <v>475</v>
      </c>
      <c r="J1287" s="223" t="b">
        <f t="shared" si="1"/>
        <v>1</v>
      </c>
      <c r="K1287" s="145" t="s">
        <v>1302</v>
      </c>
      <c r="L1287" s="156"/>
      <c r="M1287" s="134" t="s">
        <v>428</v>
      </c>
      <c r="N1287" s="150">
        <f>if(and(O1287=TRUE,P1287=TRUE), VLOOKUP($E1287,PESSOAL!$B$35:$S$45,MONTH($F1287)+6,false)*G1287*24,0)</f>
        <v>60.2661349</v>
      </c>
      <c r="O1287" s="117" t="b">
        <f t="shared" si="2"/>
        <v>1</v>
      </c>
      <c r="P1287" s="117" t="b">
        <v>1</v>
      </c>
      <c r="Q1287" s="117" t="s">
        <v>368</v>
      </c>
    </row>
    <row r="1288" hidden="1">
      <c r="A1288" s="108"/>
      <c r="B1288" s="220"/>
      <c r="C1288" s="220" t="str">
        <f t="shared" si="3"/>
        <v>INOV00016</v>
      </c>
      <c r="D1288" s="220" t="str">
        <f>vlookup(M1288,'Página10'!A:B,2,false)</f>
        <v>INOV00016</v>
      </c>
      <c r="E1288" s="134" t="s">
        <v>307</v>
      </c>
      <c r="F1288" s="221">
        <v>45138.0</v>
      </c>
      <c r="G1288" s="222">
        <v>0.020833333333333332</v>
      </c>
      <c r="H1288" s="134" t="s">
        <v>411</v>
      </c>
      <c r="I1288" s="223" t="s">
        <v>411</v>
      </c>
      <c r="J1288" s="223" t="b">
        <f t="shared" si="1"/>
        <v>1</v>
      </c>
      <c r="K1288" s="145" t="s">
        <v>1306</v>
      </c>
      <c r="L1288" s="156"/>
      <c r="M1288" s="134" t="s">
        <v>428</v>
      </c>
      <c r="N1288" s="150">
        <f>if(and(O1288=TRUE,P1288=TRUE), VLOOKUP($E1288,PESSOAL!$B$35:$S$45,MONTH($F1288)+6,false)*G1288*24,0)</f>
        <v>20.08871163</v>
      </c>
      <c r="O1288" s="117" t="b">
        <f t="shared" si="2"/>
        <v>1</v>
      </c>
      <c r="P1288" s="117" t="b">
        <v>1</v>
      </c>
      <c r="Q1288" s="117" t="s">
        <v>368</v>
      </c>
    </row>
    <row r="1289" hidden="1">
      <c r="A1289" s="108"/>
      <c r="B1289" s="220"/>
      <c r="C1289" s="220" t="str">
        <f t="shared" si="3"/>
        <v>INOV00040</v>
      </c>
      <c r="D1289" s="220" t="str">
        <f>vlookup(M1289,'Página10'!A:B,2,false)</f>
        <v>INOV00040</v>
      </c>
      <c r="E1289" s="134" t="s">
        <v>307</v>
      </c>
      <c r="F1289" s="221">
        <v>45140.0</v>
      </c>
      <c r="G1289" s="222">
        <v>0.024305555555555556</v>
      </c>
      <c r="H1289" s="134" t="s">
        <v>479</v>
      </c>
      <c r="I1289" s="223" t="s">
        <v>479</v>
      </c>
      <c r="J1289" s="223" t="b">
        <f t="shared" si="1"/>
        <v>1</v>
      </c>
      <c r="K1289" s="145" t="s">
        <v>1289</v>
      </c>
      <c r="L1289" s="156"/>
      <c r="M1289" s="134" t="s">
        <v>462</v>
      </c>
      <c r="N1289" s="150">
        <f>if(and(O1289=TRUE,P1289=TRUE), VLOOKUP($E1289,PESSOAL!$B$35:$S$45,MONTH($F1289)+6,false)*G1289*24,0)</f>
        <v>0</v>
      </c>
      <c r="O1289" s="117" t="b">
        <f t="shared" si="2"/>
        <v>0</v>
      </c>
      <c r="P1289" s="117" t="b">
        <v>0</v>
      </c>
      <c r="Q1289" s="117" t="s">
        <v>368</v>
      </c>
    </row>
    <row r="1290" hidden="1">
      <c r="A1290" s="108"/>
      <c r="B1290" s="220"/>
      <c r="C1290" s="220" t="str">
        <f t="shared" si="3"/>
        <v>INOV00016</v>
      </c>
      <c r="D1290" s="220" t="str">
        <f>vlookup(M1290,'Página10'!A:B,2,false)</f>
        <v>INOV00016</v>
      </c>
      <c r="E1290" s="134" t="s">
        <v>307</v>
      </c>
      <c r="F1290" s="221">
        <v>45142.0</v>
      </c>
      <c r="G1290" s="222">
        <v>0.041666666666666664</v>
      </c>
      <c r="H1290" s="134" t="s">
        <v>411</v>
      </c>
      <c r="I1290" s="223" t="s">
        <v>411</v>
      </c>
      <c r="J1290" s="223" t="b">
        <f t="shared" si="1"/>
        <v>1</v>
      </c>
      <c r="K1290" s="145" t="s">
        <v>1307</v>
      </c>
      <c r="L1290" s="156"/>
      <c r="M1290" s="134" t="s">
        <v>428</v>
      </c>
      <c r="N1290" s="150">
        <f>if(and(O1290=TRUE,P1290=TRUE), VLOOKUP($E1290,PESSOAL!$B$35:$S$45,MONTH($F1290)+6,false)*G1290*24,0)</f>
        <v>36.68373428</v>
      </c>
      <c r="O1290" s="117" t="b">
        <f t="shared" si="2"/>
        <v>1</v>
      </c>
      <c r="P1290" s="117" t="b">
        <v>1</v>
      </c>
      <c r="Q1290" s="117" t="s">
        <v>368</v>
      </c>
    </row>
    <row r="1291" hidden="1">
      <c r="A1291" s="108"/>
      <c r="B1291" s="220"/>
      <c r="C1291" s="220" t="str">
        <f t="shared" si="3"/>
        <v>INOV00019</v>
      </c>
      <c r="D1291" s="220" t="str">
        <f>vlookup(M1291,'Página10'!A:B,2,false)</f>
        <v>INOV00019</v>
      </c>
      <c r="E1291" s="134" t="s">
        <v>307</v>
      </c>
      <c r="F1291" s="221">
        <v>45145.0</v>
      </c>
      <c r="G1291" s="222">
        <v>0.020833333333333332</v>
      </c>
      <c r="H1291" s="134" t="s">
        <v>479</v>
      </c>
      <c r="I1291" s="223" t="s">
        <v>479</v>
      </c>
      <c r="J1291" s="223" t="b">
        <f t="shared" si="1"/>
        <v>1</v>
      </c>
      <c r="K1291" s="145" t="s">
        <v>1289</v>
      </c>
      <c r="L1291" s="156"/>
      <c r="M1291" s="134" t="s">
        <v>432</v>
      </c>
      <c r="N1291" s="150">
        <f>if(and(O1291=TRUE,P1291=TRUE), VLOOKUP($E1291,PESSOAL!$B$35:$S$45,MONTH($F1291)+6,false)*G1291*24,0)</f>
        <v>0</v>
      </c>
      <c r="O1291" s="117" t="b">
        <f t="shared" si="2"/>
        <v>0</v>
      </c>
      <c r="P1291" s="117" t="b">
        <v>0</v>
      </c>
      <c r="Q1291" s="117" t="s">
        <v>368</v>
      </c>
    </row>
    <row r="1292" hidden="1">
      <c r="A1292" s="108"/>
      <c r="B1292" s="220"/>
      <c r="C1292" s="220" t="str">
        <f t="shared" si="3"/>
        <v>INOV00040</v>
      </c>
      <c r="D1292" s="220" t="str">
        <f>vlookup(M1292,'Página10'!A:B,2,false)</f>
        <v>INOV00040</v>
      </c>
      <c r="E1292" s="134" t="s">
        <v>307</v>
      </c>
      <c r="F1292" s="221">
        <v>45145.0</v>
      </c>
      <c r="G1292" s="222">
        <v>0.010416666666666666</v>
      </c>
      <c r="H1292" s="134" t="s">
        <v>479</v>
      </c>
      <c r="I1292" s="223" t="s">
        <v>479</v>
      </c>
      <c r="J1292" s="223" t="b">
        <f t="shared" si="1"/>
        <v>1</v>
      </c>
      <c r="K1292" s="145" t="s">
        <v>1289</v>
      </c>
      <c r="L1292" s="156"/>
      <c r="M1292" s="134" t="s">
        <v>462</v>
      </c>
      <c r="N1292" s="150">
        <f>if(and(O1292=TRUE,P1292=TRUE), VLOOKUP($E1292,PESSOAL!$B$35:$S$45,MONTH($F1292)+6,false)*G1292*24,0)</f>
        <v>0</v>
      </c>
      <c r="O1292" s="117" t="b">
        <f t="shared" si="2"/>
        <v>0</v>
      </c>
      <c r="P1292" s="117" t="b">
        <v>0</v>
      </c>
      <c r="Q1292" s="117" t="s">
        <v>368</v>
      </c>
    </row>
    <row r="1293" hidden="1">
      <c r="A1293" s="108"/>
      <c r="B1293" s="220"/>
      <c r="C1293" s="220" t="str">
        <f t="shared" si="3"/>
        <v>INOV00040</v>
      </c>
      <c r="D1293" s="220" t="str">
        <f>vlookup(M1293,'Página10'!A:B,2,false)</f>
        <v>INOV00040</v>
      </c>
      <c r="E1293" s="134" t="s">
        <v>307</v>
      </c>
      <c r="F1293" s="221">
        <v>45145.0</v>
      </c>
      <c r="G1293" s="222">
        <v>0.006944444444444444</v>
      </c>
      <c r="H1293" s="134" t="s">
        <v>479</v>
      </c>
      <c r="I1293" s="223" t="s">
        <v>479</v>
      </c>
      <c r="J1293" s="223" t="b">
        <f t="shared" si="1"/>
        <v>1</v>
      </c>
      <c r="K1293" s="145" t="s">
        <v>1289</v>
      </c>
      <c r="L1293" s="156"/>
      <c r="M1293" s="134" t="s">
        <v>462</v>
      </c>
      <c r="N1293" s="150">
        <f>if(and(O1293=TRUE,P1293=TRUE), VLOOKUP($E1293,PESSOAL!$B$35:$S$45,MONTH($F1293)+6,false)*G1293*24,0)</f>
        <v>0</v>
      </c>
      <c r="O1293" s="117" t="b">
        <f t="shared" si="2"/>
        <v>0</v>
      </c>
      <c r="P1293" s="117" t="b">
        <v>0</v>
      </c>
      <c r="Q1293" s="117" t="s">
        <v>368</v>
      </c>
    </row>
    <row r="1294" hidden="1">
      <c r="A1294" s="108"/>
      <c r="B1294" s="220"/>
      <c r="C1294" s="220" t="str">
        <f t="shared" si="3"/>
        <v>INOV00019</v>
      </c>
      <c r="D1294" s="220" t="str">
        <f>vlookup(M1294,'Página10'!A:B,2,false)</f>
        <v>INOV00019</v>
      </c>
      <c r="E1294" s="134" t="s">
        <v>307</v>
      </c>
      <c r="F1294" s="221">
        <v>45145.0</v>
      </c>
      <c r="G1294" s="222">
        <v>0.08333333333333333</v>
      </c>
      <c r="H1294" s="134" t="s">
        <v>411</v>
      </c>
      <c r="I1294" s="223" t="s">
        <v>411</v>
      </c>
      <c r="J1294" s="223" t="b">
        <f t="shared" si="1"/>
        <v>1</v>
      </c>
      <c r="K1294" s="145" t="s">
        <v>1308</v>
      </c>
      <c r="L1294" s="156"/>
      <c r="M1294" s="134" t="s">
        <v>432</v>
      </c>
      <c r="N1294" s="150">
        <f>if(and(O1294=TRUE,P1294=TRUE), VLOOKUP($E1294,PESSOAL!$B$35:$S$45,MONTH($F1294)+6,false)*G1294*24,0)</f>
        <v>0</v>
      </c>
      <c r="O1294" s="117" t="b">
        <f t="shared" si="2"/>
        <v>1</v>
      </c>
      <c r="P1294" s="117" t="b">
        <v>0</v>
      </c>
      <c r="Q1294" s="117" t="s">
        <v>368</v>
      </c>
    </row>
    <row r="1295" hidden="1">
      <c r="A1295" s="108"/>
      <c r="B1295" s="220"/>
      <c r="C1295" s="220" t="str">
        <f t="shared" si="3"/>
        <v>INOV00001</v>
      </c>
      <c r="D1295" s="220" t="str">
        <f>vlookup(M1295,'Página10'!A:B,2,false)</f>
        <v>INOV00001</v>
      </c>
      <c r="E1295" s="134" t="s">
        <v>307</v>
      </c>
      <c r="F1295" s="221">
        <v>45145.0</v>
      </c>
      <c r="G1295" s="222">
        <v>0.034722222222222224</v>
      </c>
      <c r="H1295" s="134" t="s">
        <v>411</v>
      </c>
      <c r="I1295" s="223" t="s">
        <v>411</v>
      </c>
      <c r="J1295" s="223" t="b">
        <f t="shared" si="1"/>
        <v>1</v>
      </c>
      <c r="K1295" s="145" t="s">
        <v>1309</v>
      </c>
      <c r="L1295" s="156"/>
      <c r="M1295" s="134" t="s">
        <v>416</v>
      </c>
      <c r="N1295" s="150">
        <f>if(and(O1295=TRUE,P1295=TRUE), VLOOKUP($E1295,PESSOAL!$B$35:$S$45,MONTH($F1295)+6,false)*G1295*24,0)</f>
        <v>30.56977857</v>
      </c>
      <c r="O1295" s="117" t="b">
        <f t="shared" si="2"/>
        <v>1</v>
      </c>
      <c r="P1295" s="117" t="b">
        <v>1</v>
      </c>
      <c r="Q1295" s="117" t="s">
        <v>368</v>
      </c>
    </row>
    <row r="1296" hidden="1">
      <c r="A1296" s="108"/>
      <c r="B1296" s="220"/>
      <c r="C1296" s="220" t="str">
        <f t="shared" si="3"/>
        <v>INOV00001</v>
      </c>
      <c r="D1296" s="220" t="str">
        <f>vlookup(M1296,'Página10'!A:B,2,false)</f>
        <v>INOV00001</v>
      </c>
      <c r="E1296" s="134" t="s">
        <v>307</v>
      </c>
      <c r="F1296" s="221">
        <v>45146.0</v>
      </c>
      <c r="G1296" s="222">
        <v>0.0125</v>
      </c>
      <c r="H1296" s="134" t="s">
        <v>411</v>
      </c>
      <c r="I1296" s="223" t="s">
        <v>411</v>
      </c>
      <c r="J1296" s="223" t="b">
        <f t="shared" si="1"/>
        <v>1</v>
      </c>
      <c r="K1296" s="145" t="s">
        <v>1310</v>
      </c>
      <c r="L1296" s="156"/>
      <c r="M1296" s="134" t="s">
        <v>416</v>
      </c>
      <c r="N1296" s="150">
        <f>if(and(O1296=TRUE,P1296=TRUE), VLOOKUP($E1296,PESSOAL!$B$35:$S$45,MONTH($F1296)+6,false)*G1296*24,0)</f>
        <v>11.00512029</v>
      </c>
      <c r="O1296" s="117" t="b">
        <f t="shared" si="2"/>
        <v>1</v>
      </c>
      <c r="P1296" s="117" t="b">
        <v>1</v>
      </c>
      <c r="Q1296" s="117" t="s">
        <v>368</v>
      </c>
    </row>
    <row r="1297" hidden="1">
      <c r="A1297" s="108"/>
      <c r="B1297" s="220"/>
      <c r="C1297" s="220" t="str">
        <f t="shared" si="3"/>
        <v>INOV00016</v>
      </c>
      <c r="D1297" s="220" t="str">
        <f>vlookup(M1297,'Página10'!A:B,2,false)</f>
        <v>INOV00016</v>
      </c>
      <c r="E1297" s="134" t="s">
        <v>307</v>
      </c>
      <c r="F1297" s="221">
        <v>45146.0</v>
      </c>
      <c r="G1297" s="222">
        <v>0.020833333333333332</v>
      </c>
      <c r="H1297" s="134" t="s">
        <v>411</v>
      </c>
      <c r="I1297" s="223" t="s">
        <v>411</v>
      </c>
      <c r="J1297" s="223" t="b">
        <f t="shared" si="1"/>
        <v>1</v>
      </c>
      <c r="K1297" s="145" t="s">
        <v>1311</v>
      </c>
      <c r="L1297" s="156"/>
      <c r="M1297" s="134" t="s">
        <v>428</v>
      </c>
      <c r="N1297" s="150">
        <f>if(and(O1297=TRUE,P1297=TRUE), VLOOKUP($E1297,PESSOAL!$B$35:$S$45,MONTH($F1297)+6,false)*G1297*24,0)</f>
        <v>18.34186714</v>
      </c>
      <c r="O1297" s="117" t="b">
        <f t="shared" si="2"/>
        <v>1</v>
      </c>
      <c r="P1297" s="117" t="b">
        <v>1</v>
      </c>
      <c r="Q1297" s="117" t="s">
        <v>368</v>
      </c>
    </row>
    <row r="1298" hidden="1">
      <c r="A1298" s="108"/>
      <c r="B1298" s="220"/>
      <c r="C1298" s="220" t="str">
        <f t="shared" si="3"/>
        <v>INOV00001</v>
      </c>
      <c r="D1298" s="220" t="str">
        <f>vlookup(M1298,'Página10'!A:B,2,false)</f>
        <v>INOV00001</v>
      </c>
      <c r="E1298" s="134" t="s">
        <v>307</v>
      </c>
      <c r="F1298" s="221">
        <v>45146.0</v>
      </c>
      <c r="G1298" s="222">
        <v>0.017361111111111112</v>
      </c>
      <c r="H1298" s="134" t="s">
        <v>411</v>
      </c>
      <c r="I1298" s="223" t="s">
        <v>411</v>
      </c>
      <c r="J1298" s="223" t="b">
        <f t="shared" si="1"/>
        <v>1</v>
      </c>
      <c r="K1298" s="145" t="s">
        <v>1309</v>
      </c>
      <c r="L1298" s="156"/>
      <c r="M1298" s="134" t="s">
        <v>416</v>
      </c>
      <c r="N1298" s="150">
        <f>if(and(O1298=TRUE,P1298=TRUE), VLOOKUP($E1298,PESSOAL!$B$35:$S$45,MONTH($F1298)+6,false)*G1298*24,0)</f>
        <v>15.28488929</v>
      </c>
      <c r="O1298" s="117" t="b">
        <f t="shared" si="2"/>
        <v>1</v>
      </c>
      <c r="P1298" s="117" t="b">
        <v>1</v>
      </c>
      <c r="Q1298" s="117" t="s">
        <v>368</v>
      </c>
    </row>
    <row r="1299" hidden="1">
      <c r="A1299" s="108"/>
      <c r="B1299" s="220"/>
      <c r="C1299" s="220" t="str">
        <f t="shared" si="3"/>
        <v>INOV00016</v>
      </c>
      <c r="D1299" s="220" t="str">
        <f>vlookup(M1299,'Página10'!A:B,2,false)</f>
        <v>INOV00016</v>
      </c>
      <c r="E1299" s="134" t="s">
        <v>307</v>
      </c>
      <c r="F1299" s="221">
        <v>45147.0</v>
      </c>
      <c r="G1299" s="222">
        <v>0.034722222222222224</v>
      </c>
      <c r="H1299" s="134" t="s">
        <v>411</v>
      </c>
      <c r="I1299" s="223" t="s">
        <v>411</v>
      </c>
      <c r="J1299" s="223" t="b">
        <f t="shared" si="1"/>
        <v>1</v>
      </c>
      <c r="K1299" s="145" t="s">
        <v>1312</v>
      </c>
      <c r="L1299" s="156"/>
      <c r="M1299" s="134" t="s">
        <v>428</v>
      </c>
      <c r="N1299" s="150">
        <f>if(and(O1299=TRUE,P1299=TRUE), VLOOKUP($E1299,PESSOAL!$B$35:$S$45,MONTH($F1299)+6,false)*G1299*24,0)</f>
        <v>30.56977857</v>
      </c>
      <c r="O1299" s="117" t="b">
        <f t="shared" si="2"/>
        <v>1</v>
      </c>
      <c r="P1299" s="117" t="b">
        <v>1</v>
      </c>
      <c r="Q1299" s="117" t="s">
        <v>368</v>
      </c>
    </row>
    <row r="1300" hidden="1">
      <c r="A1300" s="108"/>
      <c r="B1300" s="220"/>
      <c r="C1300" s="220" t="str">
        <f t="shared" si="3"/>
        <v>INOV00016</v>
      </c>
      <c r="D1300" s="220" t="str">
        <f>vlookup(M1300,'Página10'!A:B,2,false)</f>
        <v>INOV00016</v>
      </c>
      <c r="E1300" s="134" t="s">
        <v>307</v>
      </c>
      <c r="F1300" s="221">
        <v>45147.0</v>
      </c>
      <c r="G1300" s="222">
        <v>0.034027777777777775</v>
      </c>
      <c r="H1300" s="134" t="s">
        <v>411</v>
      </c>
      <c r="I1300" s="223" t="s">
        <v>411</v>
      </c>
      <c r="J1300" s="223" t="b">
        <f t="shared" si="1"/>
        <v>1</v>
      </c>
      <c r="K1300" s="145" t="s">
        <v>1312</v>
      </c>
      <c r="L1300" s="156"/>
      <c r="M1300" s="134" t="s">
        <v>428</v>
      </c>
      <c r="N1300" s="150">
        <f>if(and(O1300=TRUE,P1300=TRUE), VLOOKUP($E1300,PESSOAL!$B$35:$S$45,MONTH($F1300)+6,false)*G1300*24,0)</f>
        <v>29.958383</v>
      </c>
      <c r="O1300" s="117" t="b">
        <f t="shared" si="2"/>
        <v>1</v>
      </c>
      <c r="P1300" s="117" t="b">
        <v>1</v>
      </c>
      <c r="Q1300" s="117" t="s">
        <v>368</v>
      </c>
    </row>
    <row r="1301" hidden="1">
      <c r="A1301" s="108"/>
      <c r="B1301" s="220"/>
      <c r="C1301" s="220" t="str">
        <f t="shared" si="3"/>
        <v>INOV00001</v>
      </c>
      <c r="D1301" s="220" t="str">
        <f>vlookup(M1301,'Página10'!A:B,2,false)</f>
        <v>INOV00001</v>
      </c>
      <c r="E1301" s="134" t="s">
        <v>307</v>
      </c>
      <c r="F1301" s="221">
        <v>45148.0</v>
      </c>
      <c r="G1301" s="222">
        <v>0.125</v>
      </c>
      <c r="H1301" s="134" t="s">
        <v>411</v>
      </c>
      <c r="I1301" s="223" t="s">
        <v>411</v>
      </c>
      <c r="J1301" s="223" t="b">
        <f t="shared" si="1"/>
        <v>1</v>
      </c>
      <c r="K1301" s="145" t="s">
        <v>1313</v>
      </c>
      <c r="L1301" s="156"/>
      <c r="M1301" s="134" t="s">
        <v>416</v>
      </c>
      <c r="N1301" s="150">
        <f>if(and(O1301=TRUE,P1301=TRUE), VLOOKUP($E1301,PESSOAL!$B$35:$S$45,MONTH($F1301)+6,false)*G1301*24,0)</f>
        <v>110.0512029</v>
      </c>
      <c r="O1301" s="117" t="b">
        <f t="shared" si="2"/>
        <v>1</v>
      </c>
      <c r="P1301" s="117" t="b">
        <v>1</v>
      </c>
      <c r="Q1301" s="117" t="s">
        <v>368</v>
      </c>
    </row>
    <row r="1302" hidden="1">
      <c r="A1302" s="108"/>
      <c r="B1302" s="220"/>
      <c r="C1302" s="220" t="str">
        <f t="shared" si="3"/>
        <v>INOV00001</v>
      </c>
      <c r="D1302" s="220" t="str">
        <f>vlookup(M1302,'Página10'!A:B,2,false)</f>
        <v>INOV00001</v>
      </c>
      <c r="E1302" s="134" t="s">
        <v>307</v>
      </c>
      <c r="F1302" s="221">
        <v>45149.0</v>
      </c>
      <c r="G1302" s="222">
        <v>0.041666666666666664</v>
      </c>
      <c r="H1302" s="134" t="s">
        <v>479</v>
      </c>
      <c r="I1302" s="223" t="s">
        <v>479</v>
      </c>
      <c r="J1302" s="223" t="b">
        <f t="shared" si="1"/>
        <v>1</v>
      </c>
      <c r="K1302" s="145" t="s">
        <v>1289</v>
      </c>
      <c r="L1302" s="156"/>
      <c r="M1302" s="134" t="s">
        <v>416</v>
      </c>
      <c r="N1302" s="150">
        <f>if(and(O1302=TRUE,P1302=TRUE), VLOOKUP($E1302,PESSOAL!$B$35:$S$45,MONTH($F1302)+6,false)*G1302*24,0)</f>
        <v>0</v>
      </c>
      <c r="O1302" s="117" t="b">
        <f t="shared" si="2"/>
        <v>0</v>
      </c>
      <c r="P1302" s="117" t="b">
        <v>1</v>
      </c>
      <c r="Q1302" s="117" t="s">
        <v>368</v>
      </c>
    </row>
    <row r="1303" hidden="1">
      <c r="A1303" s="108"/>
      <c r="B1303" s="220"/>
      <c r="C1303" s="220" t="str">
        <f t="shared" si="3"/>
        <v>INOV00001</v>
      </c>
      <c r="D1303" s="220" t="str">
        <f>vlookup(M1303,'Página10'!A:B,2,false)</f>
        <v>INOV00001</v>
      </c>
      <c r="E1303" s="134" t="s">
        <v>307</v>
      </c>
      <c r="F1303" s="221">
        <v>45149.0</v>
      </c>
      <c r="G1303" s="222">
        <v>0.041666666666666664</v>
      </c>
      <c r="H1303" s="134" t="s">
        <v>479</v>
      </c>
      <c r="I1303" s="223" t="s">
        <v>479</v>
      </c>
      <c r="J1303" s="223" t="b">
        <f t="shared" si="1"/>
        <v>1</v>
      </c>
      <c r="K1303" s="145" t="s">
        <v>1289</v>
      </c>
      <c r="L1303" s="156"/>
      <c r="M1303" s="134" t="s">
        <v>416</v>
      </c>
      <c r="N1303" s="150">
        <f>if(and(O1303=TRUE,P1303=TRUE), VLOOKUP($E1303,PESSOAL!$B$35:$S$45,MONTH($F1303)+6,false)*G1303*24,0)</f>
        <v>0</v>
      </c>
      <c r="O1303" s="117" t="b">
        <f t="shared" si="2"/>
        <v>0</v>
      </c>
      <c r="P1303" s="117" t="b">
        <v>1</v>
      </c>
      <c r="Q1303" s="117" t="s">
        <v>368</v>
      </c>
    </row>
    <row r="1304" hidden="1">
      <c r="A1304" s="108"/>
      <c r="B1304" s="220"/>
      <c r="C1304" s="220" t="str">
        <f t="shared" si="3"/>
        <v>INOV00001</v>
      </c>
      <c r="D1304" s="220" t="str">
        <f>vlookup(M1304,'Página10'!A:B,2,false)</f>
        <v>INOV00001</v>
      </c>
      <c r="E1304" s="134" t="s">
        <v>307</v>
      </c>
      <c r="F1304" s="221">
        <v>45149.0</v>
      </c>
      <c r="G1304" s="222">
        <v>0.041666666666666664</v>
      </c>
      <c r="H1304" s="134" t="s">
        <v>475</v>
      </c>
      <c r="I1304" s="223" t="s">
        <v>475</v>
      </c>
      <c r="J1304" s="223" t="b">
        <f t="shared" si="1"/>
        <v>1</v>
      </c>
      <c r="K1304" s="145" t="s">
        <v>1302</v>
      </c>
      <c r="L1304" s="156"/>
      <c r="M1304" s="134" t="s">
        <v>416</v>
      </c>
      <c r="N1304" s="150">
        <f>if(and(O1304=TRUE,P1304=TRUE), VLOOKUP($E1304,PESSOAL!$B$35:$S$45,MONTH($F1304)+6,false)*G1304*24,0)</f>
        <v>36.68373428</v>
      </c>
      <c r="O1304" s="117" t="b">
        <f t="shared" si="2"/>
        <v>1</v>
      </c>
      <c r="P1304" s="117" t="b">
        <v>1</v>
      </c>
      <c r="Q1304" s="117" t="s">
        <v>368</v>
      </c>
    </row>
    <row r="1305" hidden="1">
      <c r="A1305" s="108"/>
      <c r="B1305" s="220"/>
      <c r="C1305" s="220" t="str">
        <f t="shared" si="3"/>
        <v>INOV00001</v>
      </c>
      <c r="D1305" s="220" t="str">
        <f>vlookup(M1305,'Página10'!A:B,2,false)</f>
        <v>INOV00001</v>
      </c>
      <c r="E1305" s="134" t="s">
        <v>307</v>
      </c>
      <c r="F1305" s="221">
        <v>45149.0</v>
      </c>
      <c r="G1305" s="222">
        <v>0.03819444444444445</v>
      </c>
      <c r="H1305" s="134" t="s">
        <v>411</v>
      </c>
      <c r="I1305" s="223" t="s">
        <v>411</v>
      </c>
      <c r="J1305" s="223" t="b">
        <f t="shared" si="1"/>
        <v>1</v>
      </c>
      <c r="K1305" s="145" t="s">
        <v>1314</v>
      </c>
      <c r="L1305" s="156"/>
      <c r="M1305" s="134" t="s">
        <v>416</v>
      </c>
      <c r="N1305" s="150">
        <f>if(and(O1305=TRUE,P1305=TRUE), VLOOKUP($E1305,PESSOAL!$B$35:$S$45,MONTH($F1305)+6,false)*G1305*24,0)</f>
        <v>33.62675643</v>
      </c>
      <c r="O1305" s="117" t="b">
        <f t="shared" si="2"/>
        <v>1</v>
      </c>
      <c r="P1305" s="117" t="b">
        <v>1</v>
      </c>
      <c r="Q1305" s="117" t="s">
        <v>368</v>
      </c>
    </row>
    <row r="1306" hidden="1">
      <c r="A1306" s="108"/>
      <c r="B1306" s="220"/>
      <c r="C1306" s="220" t="str">
        <f t="shared" si="3"/>
        <v>INOV00017</v>
      </c>
      <c r="D1306" s="220" t="str">
        <f>vlookup(M1306,'Página10'!A:B,2,false)</f>
        <v>INOV00017</v>
      </c>
      <c r="E1306" s="134" t="s">
        <v>307</v>
      </c>
      <c r="F1306" s="221">
        <v>45154.0</v>
      </c>
      <c r="G1306" s="222">
        <v>0.020833333333333332</v>
      </c>
      <c r="H1306" s="134" t="s">
        <v>479</v>
      </c>
      <c r="I1306" s="223" t="s">
        <v>479</v>
      </c>
      <c r="J1306" s="223" t="b">
        <f t="shared" si="1"/>
        <v>1</v>
      </c>
      <c r="K1306" s="145" t="s">
        <v>1315</v>
      </c>
      <c r="L1306" s="156"/>
      <c r="M1306" s="134" t="s">
        <v>429</v>
      </c>
      <c r="N1306" s="150">
        <f>if(and(O1306=TRUE,P1306=TRUE), VLOOKUP($E1306,PESSOAL!$B$35:$S$45,MONTH($F1306)+6,false)*G1306*24,0)</f>
        <v>0</v>
      </c>
      <c r="O1306" s="117" t="b">
        <f t="shared" si="2"/>
        <v>0</v>
      </c>
      <c r="P1306" s="117" t="b">
        <v>1</v>
      </c>
      <c r="Q1306" s="117" t="s">
        <v>368</v>
      </c>
    </row>
    <row r="1307" hidden="1">
      <c r="A1307" s="108"/>
      <c r="B1307" s="220"/>
      <c r="C1307" s="220" t="str">
        <f t="shared" si="3"/>
        <v>INOV00001</v>
      </c>
      <c r="D1307" s="220" t="str">
        <f>vlookup(M1307,'Página10'!A:B,2,false)</f>
        <v>INOV00001</v>
      </c>
      <c r="E1307" s="134" t="s">
        <v>307</v>
      </c>
      <c r="F1307" s="221">
        <v>45155.0</v>
      </c>
      <c r="G1307" s="222">
        <v>0.024305555555555556</v>
      </c>
      <c r="H1307" s="134" t="s">
        <v>411</v>
      </c>
      <c r="I1307" s="223" t="s">
        <v>411</v>
      </c>
      <c r="J1307" s="223" t="b">
        <f t="shared" si="1"/>
        <v>1</v>
      </c>
      <c r="K1307" s="145" t="s">
        <v>1316</v>
      </c>
      <c r="L1307" s="156"/>
      <c r="M1307" s="134" t="s">
        <v>416</v>
      </c>
      <c r="N1307" s="150">
        <f>if(and(O1307=TRUE,P1307=TRUE), VLOOKUP($E1307,PESSOAL!$B$35:$S$45,MONTH($F1307)+6,false)*G1307*24,0)</f>
        <v>21.398845</v>
      </c>
      <c r="O1307" s="117" t="b">
        <f t="shared" si="2"/>
        <v>1</v>
      </c>
      <c r="P1307" s="117" t="b">
        <v>1</v>
      </c>
      <c r="Q1307" s="117" t="s">
        <v>368</v>
      </c>
    </row>
    <row r="1308" hidden="1">
      <c r="A1308" s="108"/>
      <c r="B1308" s="220"/>
      <c r="C1308" s="220" t="str">
        <f t="shared" si="3"/>
        <v>INOV00017</v>
      </c>
      <c r="D1308" s="220" t="str">
        <f>vlookup(M1308,'Página10'!A:B,2,false)</f>
        <v>INOV00017</v>
      </c>
      <c r="E1308" s="134" t="s">
        <v>307</v>
      </c>
      <c r="F1308" s="221">
        <v>45155.0</v>
      </c>
      <c r="G1308" s="222">
        <v>0.041666666666666664</v>
      </c>
      <c r="H1308" s="134" t="s">
        <v>411</v>
      </c>
      <c r="I1308" s="223" t="s">
        <v>411</v>
      </c>
      <c r="J1308" s="223" t="b">
        <f t="shared" si="1"/>
        <v>1</v>
      </c>
      <c r="K1308" s="145" t="s">
        <v>1316</v>
      </c>
      <c r="L1308" s="156"/>
      <c r="M1308" s="134" t="s">
        <v>429</v>
      </c>
      <c r="N1308" s="150">
        <f>if(and(O1308=TRUE,P1308=TRUE), VLOOKUP($E1308,PESSOAL!$B$35:$S$45,MONTH($F1308)+6,false)*G1308*24,0)</f>
        <v>36.68373428</v>
      </c>
      <c r="O1308" s="117" t="b">
        <f t="shared" si="2"/>
        <v>1</v>
      </c>
      <c r="P1308" s="117" t="b">
        <v>1</v>
      </c>
      <c r="Q1308" s="117" t="s">
        <v>368</v>
      </c>
    </row>
    <row r="1309" hidden="1">
      <c r="A1309" s="108"/>
      <c r="B1309" s="220"/>
      <c r="C1309" s="220" t="str">
        <f t="shared" si="3"/>
        <v>INOV00040</v>
      </c>
      <c r="D1309" s="220" t="str">
        <f>vlookup(M1309,'Página10'!A:B,2,false)</f>
        <v>INOV00040</v>
      </c>
      <c r="E1309" s="134" t="s">
        <v>307</v>
      </c>
      <c r="F1309" s="221">
        <v>45155.0</v>
      </c>
      <c r="G1309" s="222">
        <v>0.034722222222222224</v>
      </c>
      <c r="H1309" s="134" t="s">
        <v>411</v>
      </c>
      <c r="I1309" s="223" t="s">
        <v>411</v>
      </c>
      <c r="J1309" s="223" t="b">
        <f t="shared" si="1"/>
        <v>1</v>
      </c>
      <c r="K1309" s="145" t="s">
        <v>1316</v>
      </c>
      <c r="L1309" s="156"/>
      <c r="M1309" s="134" t="s">
        <v>462</v>
      </c>
      <c r="N1309" s="150">
        <f>if(and(O1309=TRUE,P1309=TRUE), VLOOKUP($E1309,PESSOAL!$B$35:$S$45,MONTH($F1309)+6,false)*G1309*24,0)</f>
        <v>0</v>
      </c>
      <c r="O1309" s="117" t="b">
        <f t="shared" si="2"/>
        <v>1</v>
      </c>
      <c r="P1309" s="117" t="b">
        <v>0</v>
      </c>
      <c r="Q1309" s="117" t="s">
        <v>368</v>
      </c>
    </row>
    <row r="1310" hidden="1">
      <c r="A1310" s="108"/>
      <c r="B1310" s="220"/>
      <c r="C1310" s="220" t="str">
        <f t="shared" si="3"/>
        <v>INOV00001</v>
      </c>
      <c r="D1310" s="220" t="str">
        <f>vlookup(M1310,'Página10'!A:B,2,false)</f>
        <v>INOV00001</v>
      </c>
      <c r="E1310" s="134" t="s">
        <v>307</v>
      </c>
      <c r="F1310" s="221">
        <v>45156.0</v>
      </c>
      <c r="G1310" s="222">
        <v>0.018055555555555554</v>
      </c>
      <c r="H1310" s="134" t="s">
        <v>479</v>
      </c>
      <c r="I1310" s="223" t="s">
        <v>479</v>
      </c>
      <c r="J1310" s="223" t="b">
        <f t="shared" si="1"/>
        <v>1</v>
      </c>
      <c r="K1310" s="145" t="s">
        <v>1289</v>
      </c>
      <c r="L1310" s="156"/>
      <c r="M1310" s="134" t="s">
        <v>416</v>
      </c>
      <c r="N1310" s="150">
        <f>if(and(O1310=TRUE,P1310=TRUE), VLOOKUP($E1310,PESSOAL!$B$35:$S$45,MONTH($F1310)+6,false)*G1310*24,0)</f>
        <v>0</v>
      </c>
      <c r="O1310" s="117" t="b">
        <f t="shared" si="2"/>
        <v>0</v>
      </c>
      <c r="P1310" s="117" t="b">
        <v>1</v>
      </c>
      <c r="Q1310" s="117" t="s">
        <v>368</v>
      </c>
    </row>
    <row r="1311" hidden="1">
      <c r="A1311" s="108"/>
      <c r="B1311" s="220"/>
      <c r="C1311" s="220" t="str">
        <f t="shared" si="3"/>
        <v>INOV00001</v>
      </c>
      <c r="D1311" s="220" t="str">
        <f>vlookup(M1311,'Página10'!A:B,2,false)</f>
        <v>INOV00001</v>
      </c>
      <c r="E1311" s="134" t="s">
        <v>307</v>
      </c>
      <c r="F1311" s="221">
        <v>45163.0</v>
      </c>
      <c r="G1311" s="222">
        <v>0.041666666666666664</v>
      </c>
      <c r="H1311" s="134" t="s">
        <v>411</v>
      </c>
      <c r="I1311" s="223" t="s">
        <v>411</v>
      </c>
      <c r="J1311" s="223" t="b">
        <f t="shared" si="1"/>
        <v>1</v>
      </c>
      <c r="K1311" s="145" t="s">
        <v>1317</v>
      </c>
      <c r="L1311" s="156"/>
      <c r="M1311" s="134" t="s">
        <v>416</v>
      </c>
      <c r="N1311" s="150">
        <f>if(and(O1311=TRUE,P1311=TRUE), VLOOKUP($E1311,PESSOAL!$B$35:$S$45,MONTH($F1311)+6,false)*G1311*24,0)</f>
        <v>36.68373428</v>
      </c>
      <c r="O1311" s="117" t="b">
        <f t="shared" si="2"/>
        <v>1</v>
      </c>
      <c r="P1311" s="117" t="b">
        <v>1</v>
      </c>
      <c r="Q1311" s="117" t="s">
        <v>368</v>
      </c>
    </row>
    <row r="1312" hidden="1">
      <c r="A1312" s="108"/>
      <c r="B1312" s="220"/>
      <c r="C1312" s="220" t="str">
        <f t="shared" si="3"/>
        <v>INOV00001</v>
      </c>
      <c r="D1312" s="220" t="str">
        <f>vlookup(M1312,'Página10'!A:B,2,false)</f>
        <v>INOV00001</v>
      </c>
      <c r="E1312" s="134" t="s">
        <v>307</v>
      </c>
      <c r="F1312" s="221">
        <v>45166.0</v>
      </c>
      <c r="G1312" s="222">
        <v>0.020833333333333332</v>
      </c>
      <c r="H1312" s="134" t="s">
        <v>411</v>
      </c>
      <c r="I1312" s="223" t="s">
        <v>411</v>
      </c>
      <c r="J1312" s="223" t="b">
        <f t="shared" si="1"/>
        <v>1</v>
      </c>
      <c r="K1312" s="145" t="s">
        <v>1318</v>
      </c>
      <c r="L1312" s="156"/>
      <c r="M1312" s="134" t="s">
        <v>416</v>
      </c>
      <c r="N1312" s="150">
        <f>if(and(O1312=TRUE,P1312=TRUE), VLOOKUP($E1312,PESSOAL!$B$35:$S$45,MONTH($F1312)+6,false)*G1312*24,0)</f>
        <v>18.34186714</v>
      </c>
      <c r="O1312" s="117" t="b">
        <f t="shared" si="2"/>
        <v>1</v>
      </c>
      <c r="P1312" s="117" t="b">
        <v>1</v>
      </c>
      <c r="Q1312" s="117" t="s">
        <v>368</v>
      </c>
    </row>
    <row r="1313" hidden="1">
      <c r="A1313" s="108"/>
      <c r="B1313" s="220"/>
      <c r="C1313" s="220" t="str">
        <f t="shared" si="3"/>
        <v>INOV00001</v>
      </c>
      <c r="D1313" s="220" t="str">
        <f>vlookup(M1313,'Página10'!A:B,2,false)</f>
        <v>INOV00001</v>
      </c>
      <c r="E1313" s="134" t="s">
        <v>307</v>
      </c>
      <c r="F1313" s="221">
        <v>45167.0</v>
      </c>
      <c r="G1313" s="222">
        <v>0.10416666666666667</v>
      </c>
      <c r="H1313" s="134" t="s">
        <v>411</v>
      </c>
      <c r="I1313" s="223" t="s">
        <v>411</v>
      </c>
      <c r="J1313" s="223" t="b">
        <f t="shared" si="1"/>
        <v>1</v>
      </c>
      <c r="K1313" s="145" t="s">
        <v>1319</v>
      </c>
      <c r="L1313" s="156"/>
      <c r="M1313" s="134" t="s">
        <v>416</v>
      </c>
      <c r="N1313" s="150">
        <f>if(and(O1313=TRUE,P1313=TRUE), VLOOKUP($E1313,PESSOAL!$B$35:$S$45,MONTH($F1313)+6,false)*G1313*24,0)</f>
        <v>91.70933571</v>
      </c>
      <c r="O1313" s="117" t="b">
        <f t="shared" si="2"/>
        <v>1</v>
      </c>
      <c r="P1313" s="117" t="b">
        <v>1</v>
      </c>
      <c r="Q1313" s="117" t="s">
        <v>368</v>
      </c>
    </row>
    <row r="1314" hidden="1">
      <c r="A1314" s="108"/>
      <c r="B1314" s="220"/>
      <c r="C1314" s="220" t="str">
        <f t="shared" si="3"/>
        <v>INOV00001</v>
      </c>
      <c r="D1314" s="220" t="str">
        <f>vlookup(M1314,'Página10'!A:B,2,false)</f>
        <v>INOV00001</v>
      </c>
      <c r="E1314" s="134" t="s">
        <v>307</v>
      </c>
      <c r="F1314" s="221">
        <v>45168.0</v>
      </c>
      <c r="G1314" s="222">
        <v>0.10416666666666667</v>
      </c>
      <c r="H1314" s="134" t="s">
        <v>479</v>
      </c>
      <c r="I1314" s="223" t="s">
        <v>479</v>
      </c>
      <c r="J1314" s="223" t="b">
        <f t="shared" si="1"/>
        <v>1</v>
      </c>
      <c r="K1314" s="145" t="s">
        <v>1320</v>
      </c>
      <c r="L1314" s="156"/>
      <c r="M1314" s="134" t="s">
        <v>416</v>
      </c>
      <c r="N1314" s="150">
        <f>if(and(O1314=TRUE,P1314=TRUE), VLOOKUP($E1314,PESSOAL!$B$35:$S$45,MONTH($F1314)+6,false)*G1314*24,0)</f>
        <v>0</v>
      </c>
      <c r="O1314" s="117" t="b">
        <f t="shared" si="2"/>
        <v>0</v>
      </c>
      <c r="P1314" s="117" t="b">
        <v>1</v>
      </c>
      <c r="Q1314" s="117" t="s">
        <v>368</v>
      </c>
    </row>
    <row r="1315" hidden="1">
      <c r="A1315" s="108"/>
      <c r="B1315" s="220"/>
      <c r="C1315" s="220" t="str">
        <f t="shared" si="3"/>
        <v>INOV00001</v>
      </c>
      <c r="D1315" s="220" t="str">
        <f>vlookup(M1315,'Página10'!A:B,2,false)</f>
        <v>INOV00001</v>
      </c>
      <c r="E1315" s="134" t="s">
        <v>307</v>
      </c>
      <c r="F1315" s="221">
        <v>45168.0</v>
      </c>
      <c r="G1315" s="222">
        <v>0.013888888888888888</v>
      </c>
      <c r="H1315" s="134" t="s">
        <v>411</v>
      </c>
      <c r="I1315" s="223" t="s">
        <v>411</v>
      </c>
      <c r="J1315" s="223" t="b">
        <f t="shared" si="1"/>
        <v>1</v>
      </c>
      <c r="K1315" s="145" t="s">
        <v>1319</v>
      </c>
      <c r="L1315" s="156"/>
      <c r="M1315" s="134" t="s">
        <v>416</v>
      </c>
      <c r="N1315" s="150">
        <f>if(and(O1315=TRUE,P1315=TRUE), VLOOKUP($E1315,PESSOAL!$B$35:$S$45,MONTH($F1315)+6,false)*G1315*24,0)</f>
        <v>12.22791143</v>
      </c>
      <c r="O1315" s="117" t="b">
        <f t="shared" si="2"/>
        <v>1</v>
      </c>
      <c r="P1315" s="117" t="b">
        <v>1</v>
      </c>
      <c r="Q1315" s="117" t="s">
        <v>368</v>
      </c>
    </row>
    <row r="1316" hidden="1">
      <c r="A1316" s="108"/>
      <c r="B1316" s="220"/>
      <c r="C1316" s="220" t="str">
        <f t="shared" si="3"/>
        <v>INOV00001</v>
      </c>
      <c r="D1316" s="220" t="str">
        <f>vlookup(M1316,'Página10'!A:B,2,false)</f>
        <v>INOV00001</v>
      </c>
      <c r="E1316" s="134" t="s">
        <v>307</v>
      </c>
      <c r="F1316" s="221">
        <v>45169.0</v>
      </c>
      <c r="G1316" s="222">
        <v>0.041666666666666664</v>
      </c>
      <c r="H1316" s="134" t="s">
        <v>411</v>
      </c>
      <c r="I1316" s="223" t="s">
        <v>411</v>
      </c>
      <c r="J1316" s="223" t="b">
        <f t="shared" si="1"/>
        <v>1</v>
      </c>
      <c r="K1316" s="145" t="s">
        <v>1319</v>
      </c>
      <c r="L1316" s="156"/>
      <c r="M1316" s="134" t="s">
        <v>416</v>
      </c>
      <c r="N1316" s="150">
        <f>if(and(O1316=TRUE,P1316=TRUE), VLOOKUP($E1316,PESSOAL!$B$35:$S$45,MONTH($F1316)+6,false)*G1316*24,0)</f>
        <v>36.68373428</v>
      </c>
      <c r="O1316" s="117" t="b">
        <f t="shared" si="2"/>
        <v>1</v>
      </c>
      <c r="P1316" s="117" t="b">
        <v>1</v>
      </c>
      <c r="Q1316" s="117" t="s">
        <v>368</v>
      </c>
    </row>
    <row r="1317" hidden="1">
      <c r="A1317" s="108"/>
      <c r="B1317" s="220"/>
      <c r="C1317" s="220" t="str">
        <f t="shared" si="3"/>
        <v>INOV00001</v>
      </c>
      <c r="D1317" s="220" t="str">
        <f>vlookup(M1317,'Página10'!A:B,2,false)</f>
        <v>INOV00001</v>
      </c>
      <c r="E1317" s="134" t="s">
        <v>307</v>
      </c>
      <c r="F1317" s="221">
        <v>45169.0</v>
      </c>
      <c r="G1317" s="222">
        <v>0.03125</v>
      </c>
      <c r="H1317" s="134" t="s">
        <v>411</v>
      </c>
      <c r="I1317" s="223" t="s">
        <v>411</v>
      </c>
      <c r="J1317" s="223" t="b">
        <f t="shared" si="1"/>
        <v>1</v>
      </c>
      <c r="K1317" s="145" t="s">
        <v>1321</v>
      </c>
      <c r="L1317" s="156"/>
      <c r="M1317" s="134" t="s">
        <v>416</v>
      </c>
      <c r="N1317" s="150">
        <f>if(and(O1317=TRUE,P1317=TRUE), VLOOKUP($E1317,PESSOAL!$B$35:$S$45,MONTH($F1317)+6,false)*G1317*24,0)</f>
        <v>27.51280071</v>
      </c>
      <c r="O1317" s="117" t="b">
        <f t="shared" si="2"/>
        <v>1</v>
      </c>
      <c r="P1317" s="117" t="b">
        <v>1</v>
      </c>
      <c r="Q1317" s="117" t="s">
        <v>368</v>
      </c>
    </row>
    <row r="1318" hidden="1">
      <c r="A1318" s="108"/>
      <c r="B1318" s="220"/>
      <c r="C1318" s="220" t="str">
        <f t="shared" si="3"/>
        <v>INOV00001</v>
      </c>
      <c r="D1318" s="220" t="str">
        <f>vlookup(M1318,'Página10'!A:B,2,false)</f>
        <v>INOV00001</v>
      </c>
      <c r="E1318" s="134" t="s">
        <v>307</v>
      </c>
      <c r="F1318" s="221">
        <v>45169.0</v>
      </c>
      <c r="G1318" s="222">
        <v>0.020833333333333332</v>
      </c>
      <c r="H1318" s="134" t="s">
        <v>411</v>
      </c>
      <c r="I1318" s="223" t="s">
        <v>411</v>
      </c>
      <c r="J1318" s="223" t="b">
        <f t="shared" si="1"/>
        <v>1</v>
      </c>
      <c r="K1318" s="145" t="s">
        <v>1321</v>
      </c>
      <c r="L1318" s="156"/>
      <c r="M1318" s="134" t="s">
        <v>416</v>
      </c>
      <c r="N1318" s="150">
        <f>if(and(O1318=TRUE,P1318=TRUE), VLOOKUP($E1318,PESSOAL!$B$35:$S$45,MONTH($F1318)+6,false)*G1318*24,0)</f>
        <v>18.34186714</v>
      </c>
      <c r="O1318" s="117" t="b">
        <f t="shared" si="2"/>
        <v>1</v>
      </c>
      <c r="P1318" s="117" t="b">
        <v>1</v>
      </c>
      <c r="Q1318" s="117" t="s">
        <v>368</v>
      </c>
    </row>
    <row r="1319" hidden="1">
      <c r="A1319" s="108"/>
      <c r="B1319" s="220"/>
      <c r="C1319" s="220" t="str">
        <f t="shared" si="3"/>
        <v>INOV00040</v>
      </c>
      <c r="D1319" s="220" t="str">
        <f>vlookup(M1319,'Página10'!A:B,2,false)</f>
        <v>INOV00040</v>
      </c>
      <c r="E1319" s="134" t="s">
        <v>307</v>
      </c>
      <c r="F1319" s="221">
        <v>45173.0</v>
      </c>
      <c r="G1319" s="222">
        <v>0.020833333333333332</v>
      </c>
      <c r="H1319" s="134" t="s">
        <v>479</v>
      </c>
      <c r="I1319" s="223" t="s">
        <v>479</v>
      </c>
      <c r="J1319" s="223" t="b">
        <f t="shared" si="1"/>
        <v>1</v>
      </c>
      <c r="K1319" s="145" t="s">
        <v>1289</v>
      </c>
      <c r="L1319" s="156"/>
      <c r="M1319" s="134" t="s">
        <v>462</v>
      </c>
      <c r="N1319" s="150">
        <f>if(and(O1319=TRUE,P1319=TRUE), VLOOKUP($E1319,PESSOAL!$B$35:$S$45,MONTH($F1319)+6,false)*G1319*24,0)</f>
        <v>0</v>
      </c>
      <c r="O1319" s="117" t="b">
        <f t="shared" si="2"/>
        <v>0</v>
      </c>
      <c r="P1319" s="117" t="b">
        <v>0</v>
      </c>
      <c r="Q1319" s="117" t="s">
        <v>368</v>
      </c>
    </row>
    <row r="1320" hidden="1">
      <c r="A1320" s="108"/>
      <c r="B1320" s="220"/>
      <c r="C1320" s="220" t="str">
        <f t="shared" si="3"/>
        <v>INOV00017</v>
      </c>
      <c r="D1320" s="220" t="str">
        <f>vlookup(M1320,'Página10'!A:B,2,false)</f>
        <v>INOV00017</v>
      </c>
      <c r="E1320" s="134" t="s">
        <v>307</v>
      </c>
      <c r="F1320" s="221">
        <v>45173.0</v>
      </c>
      <c r="G1320" s="222">
        <v>0.010416666666666666</v>
      </c>
      <c r="H1320" s="134" t="s">
        <v>479</v>
      </c>
      <c r="I1320" s="223" t="s">
        <v>479</v>
      </c>
      <c r="J1320" s="223" t="b">
        <f t="shared" si="1"/>
        <v>1</v>
      </c>
      <c r="K1320" s="145" t="s">
        <v>1289</v>
      </c>
      <c r="L1320" s="156"/>
      <c r="M1320" s="134" t="s">
        <v>429</v>
      </c>
      <c r="N1320" s="150">
        <f>if(and(O1320=TRUE,P1320=TRUE), VLOOKUP($E1320,PESSOAL!$B$35:$S$45,MONTH($F1320)+6,false)*G1320*24,0)</f>
        <v>0</v>
      </c>
      <c r="O1320" s="117" t="b">
        <f t="shared" si="2"/>
        <v>0</v>
      </c>
      <c r="P1320" s="117" t="b">
        <v>1</v>
      </c>
      <c r="Q1320" s="117" t="s">
        <v>368</v>
      </c>
    </row>
    <row r="1321" hidden="1">
      <c r="A1321" s="108"/>
      <c r="B1321" s="220"/>
      <c r="C1321" s="220" t="str">
        <f t="shared" si="3"/>
        <v>INOV00001</v>
      </c>
      <c r="D1321" s="220" t="str">
        <f>vlookup(M1321,'Página10'!A:B,2,false)</f>
        <v>INOV00001</v>
      </c>
      <c r="E1321" s="134" t="s">
        <v>307</v>
      </c>
      <c r="F1321" s="221">
        <v>45174.0</v>
      </c>
      <c r="G1321" s="222">
        <v>0.08333333333333333</v>
      </c>
      <c r="H1321" s="134" t="s">
        <v>411</v>
      </c>
      <c r="I1321" s="223" t="s">
        <v>411</v>
      </c>
      <c r="J1321" s="223" t="b">
        <f t="shared" si="1"/>
        <v>1</v>
      </c>
      <c r="K1321" s="145" t="s">
        <v>1319</v>
      </c>
      <c r="L1321" s="156"/>
      <c r="M1321" s="134" t="s">
        <v>416</v>
      </c>
      <c r="N1321" s="150">
        <f>if(and(O1321=TRUE,P1321=TRUE), VLOOKUP($E1321,PESSOAL!$B$35:$S$45,MONTH($F1321)+6,false)*G1321*24,0)</f>
        <v>88.81325143</v>
      </c>
      <c r="O1321" s="117" t="b">
        <f t="shared" si="2"/>
        <v>1</v>
      </c>
      <c r="P1321" s="117" t="b">
        <v>1</v>
      </c>
      <c r="Q1321" s="117" t="s">
        <v>368</v>
      </c>
    </row>
    <row r="1322" hidden="1">
      <c r="A1322" s="108"/>
      <c r="B1322" s="220"/>
      <c r="C1322" s="220" t="str">
        <f t="shared" si="3"/>
        <v>INOV00001</v>
      </c>
      <c r="D1322" s="220" t="str">
        <f>vlookup(M1322,'Página10'!A:B,2,false)</f>
        <v>INOV00001</v>
      </c>
      <c r="E1322" s="134" t="s">
        <v>307</v>
      </c>
      <c r="F1322" s="221">
        <v>45175.0</v>
      </c>
      <c r="G1322" s="222">
        <v>0.0625</v>
      </c>
      <c r="H1322" s="134" t="s">
        <v>411</v>
      </c>
      <c r="I1322" s="223" t="s">
        <v>411</v>
      </c>
      <c r="J1322" s="223" t="b">
        <f t="shared" si="1"/>
        <v>1</v>
      </c>
      <c r="K1322" s="145" t="s">
        <v>1319</v>
      </c>
      <c r="L1322" s="156"/>
      <c r="M1322" s="134" t="s">
        <v>416</v>
      </c>
      <c r="N1322" s="150">
        <f>if(and(O1322=TRUE,P1322=TRUE), VLOOKUP($E1322,PESSOAL!$B$35:$S$45,MONTH($F1322)+6,false)*G1322*24,0)</f>
        <v>66.60993857</v>
      </c>
      <c r="O1322" s="117" t="b">
        <f t="shared" si="2"/>
        <v>1</v>
      </c>
      <c r="P1322" s="117" t="b">
        <v>1</v>
      </c>
      <c r="Q1322" s="117" t="s">
        <v>368</v>
      </c>
    </row>
    <row r="1323" hidden="1">
      <c r="A1323" s="108"/>
      <c r="B1323" s="220"/>
      <c r="C1323" s="220" t="str">
        <f t="shared" si="3"/>
        <v>INOV00001</v>
      </c>
      <c r="D1323" s="220" t="str">
        <f>vlookup(M1323,'Página10'!A:B,2,false)</f>
        <v>INOV00001</v>
      </c>
      <c r="E1323" s="134" t="s">
        <v>307</v>
      </c>
      <c r="F1323" s="221">
        <v>45180.0</v>
      </c>
      <c r="G1323" s="222">
        <v>0.041666666666666664</v>
      </c>
      <c r="H1323" s="134" t="s">
        <v>411</v>
      </c>
      <c r="I1323" s="223" t="s">
        <v>411</v>
      </c>
      <c r="J1323" s="223" t="b">
        <f t="shared" si="1"/>
        <v>1</v>
      </c>
      <c r="K1323" s="145" t="s">
        <v>1321</v>
      </c>
      <c r="L1323" s="156"/>
      <c r="M1323" s="134" t="s">
        <v>416</v>
      </c>
      <c r="N1323" s="150">
        <f>if(and(O1323=TRUE,P1323=TRUE), VLOOKUP($E1323,PESSOAL!$B$35:$S$45,MONTH($F1323)+6,false)*G1323*24,0)</f>
        <v>44.40662571</v>
      </c>
      <c r="O1323" s="117" t="b">
        <f t="shared" si="2"/>
        <v>1</v>
      </c>
      <c r="P1323" s="117" t="b">
        <v>1</v>
      </c>
      <c r="Q1323" s="117" t="s">
        <v>368</v>
      </c>
    </row>
    <row r="1324" hidden="1">
      <c r="A1324" s="108"/>
      <c r="B1324" s="220"/>
      <c r="C1324" s="220" t="str">
        <f t="shared" si="3"/>
        <v>INOV00001</v>
      </c>
      <c r="D1324" s="220" t="str">
        <f>vlookup(M1324,'Página10'!A:B,2,false)</f>
        <v>INOV00001</v>
      </c>
      <c r="E1324" s="134" t="s">
        <v>307</v>
      </c>
      <c r="F1324" s="221">
        <v>45182.0</v>
      </c>
      <c r="G1324" s="222">
        <v>0.10416666666666667</v>
      </c>
      <c r="H1324" s="134" t="s">
        <v>411</v>
      </c>
      <c r="I1324" s="223" t="s">
        <v>411</v>
      </c>
      <c r="J1324" s="223" t="b">
        <f t="shared" si="1"/>
        <v>1</v>
      </c>
      <c r="K1324" s="145" t="s">
        <v>1322</v>
      </c>
      <c r="L1324" s="156"/>
      <c r="M1324" s="134" t="s">
        <v>416</v>
      </c>
      <c r="N1324" s="150">
        <f>if(and(O1324=TRUE,P1324=TRUE), VLOOKUP($E1324,PESSOAL!$B$35:$S$45,MONTH($F1324)+6,false)*G1324*24,0)</f>
        <v>111.0165643</v>
      </c>
      <c r="O1324" s="117" t="b">
        <f t="shared" si="2"/>
        <v>1</v>
      </c>
      <c r="P1324" s="117" t="b">
        <v>1</v>
      </c>
      <c r="Q1324" s="117" t="s">
        <v>368</v>
      </c>
    </row>
    <row r="1325" hidden="1">
      <c r="A1325" s="108"/>
      <c r="B1325" s="220"/>
      <c r="C1325" s="220" t="str">
        <f t="shared" si="3"/>
        <v>INOV00001</v>
      </c>
      <c r="D1325" s="220" t="str">
        <f>vlookup(M1325,'Página10'!A:B,2,false)</f>
        <v>INOV00001</v>
      </c>
      <c r="E1325" s="134" t="s">
        <v>307</v>
      </c>
      <c r="F1325" s="221">
        <v>45182.0</v>
      </c>
      <c r="G1325" s="222">
        <v>0.10416666666666667</v>
      </c>
      <c r="H1325" s="134" t="s">
        <v>411</v>
      </c>
      <c r="I1325" s="223" t="s">
        <v>411</v>
      </c>
      <c r="J1325" s="223" t="b">
        <f t="shared" si="1"/>
        <v>1</v>
      </c>
      <c r="K1325" s="145" t="s">
        <v>1323</v>
      </c>
      <c r="L1325" s="156"/>
      <c r="M1325" s="134" t="s">
        <v>416</v>
      </c>
      <c r="N1325" s="150">
        <f>if(and(O1325=TRUE,P1325=TRUE), VLOOKUP($E1325,PESSOAL!$B$35:$S$45,MONTH($F1325)+6,false)*G1325*24,0)</f>
        <v>111.0165643</v>
      </c>
      <c r="O1325" s="117" t="b">
        <f t="shared" si="2"/>
        <v>1</v>
      </c>
      <c r="P1325" s="117" t="b">
        <v>1</v>
      </c>
      <c r="Q1325" s="117" t="s">
        <v>368</v>
      </c>
    </row>
    <row r="1326" hidden="1">
      <c r="A1326" s="108"/>
      <c r="B1326" s="220"/>
      <c r="C1326" s="220" t="str">
        <f t="shared" si="3"/>
        <v>INOV00001</v>
      </c>
      <c r="D1326" s="220" t="str">
        <f>vlookup(M1326,'Página10'!A:B,2,false)</f>
        <v>INOV00001</v>
      </c>
      <c r="E1326" s="134" t="s">
        <v>307</v>
      </c>
      <c r="F1326" s="221">
        <v>45187.0</v>
      </c>
      <c r="G1326" s="222">
        <v>0.08333333333333333</v>
      </c>
      <c r="H1326" s="134" t="s">
        <v>411</v>
      </c>
      <c r="I1326" s="223" t="s">
        <v>411</v>
      </c>
      <c r="J1326" s="223" t="b">
        <f t="shared" si="1"/>
        <v>1</v>
      </c>
      <c r="K1326" s="145" t="s">
        <v>1323</v>
      </c>
      <c r="L1326" s="156"/>
      <c r="M1326" s="134" t="s">
        <v>416</v>
      </c>
      <c r="N1326" s="150">
        <f>if(and(O1326=TRUE,P1326=TRUE), VLOOKUP($E1326,PESSOAL!$B$35:$S$45,MONTH($F1326)+6,false)*G1326*24,0)</f>
        <v>88.81325143</v>
      </c>
      <c r="O1326" s="117" t="b">
        <f t="shared" si="2"/>
        <v>1</v>
      </c>
      <c r="P1326" s="117" t="b">
        <v>1</v>
      </c>
      <c r="Q1326" s="117" t="s">
        <v>368</v>
      </c>
    </row>
    <row r="1327" hidden="1">
      <c r="A1327" s="108"/>
      <c r="B1327" s="220"/>
      <c r="C1327" s="220" t="str">
        <f t="shared" si="3"/>
        <v>INOV00001</v>
      </c>
      <c r="D1327" s="220" t="str">
        <f>vlookup(M1327,'Página10'!A:B,2,false)</f>
        <v>INOV00001</v>
      </c>
      <c r="E1327" s="134" t="s">
        <v>307</v>
      </c>
      <c r="F1327" s="221">
        <v>45187.0</v>
      </c>
      <c r="G1327" s="222">
        <v>0.125</v>
      </c>
      <c r="H1327" s="134" t="s">
        <v>411</v>
      </c>
      <c r="I1327" s="223" t="s">
        <v>411</v>
      </c>
      <c r="J1327" s="223" t="b">
        <f t="shared" si="1"/>
        <v>1</v>
      </c>
      <c r="K1327" s="145" t="s">
        <v>1324</v>
      </c>
      <c r="L1327" s="156"/>
      <c r="M1327" s="134" t="s">
        <v>416</v>
      </c>
      <c r="N1327" s="150">
        <f>if(and(O1327=TRUE,P1327=TRUE), VLOOKUP($E1327,PESSOAL!$B$35:$S$45,MONTH($F1327)+6,false)*G1327*24,0)</f>
        <v>133.2198771</v>
      </c>
      <c r="O1327" s="117" t="b">
        <f t="shared" si="2"/>
        <v>1</v>
      </c>
      <c r="P1327" s="117" t="b">
        <v>1</v>
      </c>
      <c r="Q1327" s="117" t="s">
        <v>368</v>
      </c>
    </row>
    <row r="1328" hidden="1">
      <c r="A1328" s="108"/>
      <c r="B1328" s="220"/>
      <c r="C1328" s="220" t="str">
        <f t="shared" si="3"/>
        <v>INOV00001</v>
      </c>
      <c r="D1328" s="220" t="str">
        <f>vlookup(M1328,'Página10'!A:B,2,false)</f>
        <v>INOV00001</v>
      </c>
      <c r="E1328" s="134" t="s">
        <v>307</v>
      </c>
      <c r="F1328" s="221">
        <v>45189.0</v>
      </c>
      <c r="G1328" s="222">
        <v>0.041666666666666664</v>
      </c>
      <c r="H1328" s="134" t="s">
        <v>479</v>
      </c>
      <c r="I1328" s="223" t="s">
        <v>479</v>
      </c>
      <c r="J1328" s="223" t="b">
        <f t="shared" si="1"/>
        <v>1</v>
      </c>
      <c r="K1328" s="145" t="s">
        <v>1325</v>
      </c>
      <c r="L1328" s="156"/>
      <c r="M1328" s="134" t="s">
        <v>416</v>
      </c>
      <c r="N1328" s="150">
        <f>if(and(O1328=TRUE,P1328=TRUE), VLOOKUP($E1328,PESSOAL!$B$35:$S$45,MONTH($F1328)+6,false)*G1328*24,0)</f>
        <v>0</v>
      </c>
      <c r="O1328" s="117" t="b">
        <f t="shared" si="2"/>
        <v>0</v>
      </c>
      <c r="P1328" s="117" t="b">
        <v>1</v>
      </c>
      <c r="Q1328" s="117" t="s">
        <v>368</v>
      </c>
    </row>
    <row r="1329" hidden="1">
      <c r="A1329" s="108"/>
      <c r="B1329" s="220"/>
      <c r="C1329" s="220" t="str">
        <f t="shared" si="3"/>
        <v>INOV00001</v>
      </c>
      <c r="D1329" s="220" t="str">
        <f>vlookup(M1329,'Página10'!A:B,2,false)</f>
        <v>INOV00001</v>
      </c>
      <c r="E1329" s="134" t="s">
        <v>307</v>
      </c>
      <c r="F1329" s="221">
        <v>45189.0</v>
      </c>
      <c r="G1329" s="222">
        <v>0.020833333333333332</v>
      </c>
      <c r="H1329" s="134" t="s">
        <v>479</v>
      </c>
      <c r="I1329" s="223" t="s">
        <v>479</v>
      </c>
      <c r="J1329" s="223" t="b">
        <f t="shared" si="1"/>
        <v>1</v>
      </c>
      <c r="K1329" s="145" t="s">
        <v>1326</v>
      </c>
      <c r="L1329" s="156"/>
      <c r="M1329" s="134" t="s">
        <v>416</v>
      </c>
      <c r="N1329" s="150">
        <f>if(and(O1329=TRUE,P1329=TRUE), VLOOKUP($E1329,PESSOAL!$B$35:$S$45,MONTH($F1329)+6,false)*G1329*24,0)</f>
        <v>0</v>
      </c>
      <c r="O1329" s="117" t="b">
        <f t="shared" si="2"/>
        <v>0</v>
      </c>
      <c r="P1329" s="117" t="b">
        <v>1</v>
      </c>
      <c r="Q1329" s="117" t="s">
        <v>368</v>
      </c>
    </row>
    <row r="1330" hidden="1">
      <c r="A1330" s="108"/>
      <c r="B1330" s="220"/>
      <c r="C1330" s="220" t="str">
        <f t="shared" si="3"/>
        <v>INOV00010</v>
      </c>
      <c r="D1330" s="220" t="str">
        <f>vlookup(M1330,'Página10'!A:B,2,false)</f>
        <v>INOV00010</v>
      </c>
      <c r="E1330" s="134" t="s">
        <v>137</v>
      </c>
      <c r="F1330" s="221">
        <v>45110.0</v>
      </c>
      <c r="G1330" s="222">
        <v>0.041666666666666664</v>
      </c>
      <c r="H1330" s="134" t="s">
        <v>411</v>
      </c>
      <c r="I1330" s="223" t="s">
        <v>411</v>
      </c>
      <c r="J1330" s="223" t="b">
        <f t="shared" si="1"/>
        <v>1</v>
      </c>
      <c r="K1330" s="145" t="s">
        <v>1327</v>
      </c>
      <c r="L1330" s="156"/>
      <c r="M1330" s="134" t="s">
        <v>423</v>
      </c>
      <c r="N1330" s="150">
        <f>if(and(O1330=TRUE,P1330=TRUE), VLOOKUP($E1330,PESSOAL!$B$35:$S$45,MONTH($F1330)+6,false)*G1330*24,0)</f>
        <v>47.83326825</v>
      </c>
      <c r="O1330" s="117" t="b">
        <f t="shared" si="2"/>
        <v>1</v>
      </c>
      <c r="P1330" s="117" t="b">
        <v>1</v>
      </c>
      <c r="Q1330" s="117" t="s">
        <v>368</v>
      </c>
    </row>
    <row r="1331" hidden="1">
      <c r="A1331" s="108"/>
      <c r="B1331" s="220"/>
      <c r="C1331" s="220" t="str">
        <f t="shared" si="3"/>
        <v>INOV00017</v>
      </c>
      <c r="D1331" s="220" t="str">
        <f>vlookup(M1331,'Página10'!A:B,2,false)</f>
        <v>INOV00017</v>
      </c>
      <c r="E1331" s="134" t="s">
        <v>137</v>
      </c>
      <c r="F1331" s="221">
        <v>45111.0</v>
      </c>
      <c r="G1331" s="222">
        <v>0.0625</v>
      </c>
      <c r="H1331" s="134" t="s">
        <v>411</v>
      </c>
      <c r="I1331" s="223" t="s">
        <v>411</v>
      </c>
      <c r="J1331" s="223" t="b">
        <f t="shared" si="1"/>
        <v>1</v>
      </c>
      <c r="K1331" s="145" t="s">
        <v>1328</v>
      </c>
      <c r="L1331" s="156"/>
      <c r="M1331" s="134" t="s">
        <v>429</v>
      </c>
      <c r="N1331" s="150">
        <f>if(and(O1331=TRUE,P1331=TRUE), VLOOKUP($E1331,PESSOAL!$B$35:$S$45,MONTH($F1331)+6,false)*G1331*24,0)</f>
        <v>71.74990238</v>
      </c>
      <c r="O1331" s="117" t="b">
        <f t="shared" si="2"/>
        <v>1</v>
      </c>
      <c r="P1331" s="117" t="b">
        <v>1</v>
      </c>
      <c r="Q1331" s="117" t="s">
        <v>368</v>
      </c>
    </row>
    <row r="1332" hidden="1">
      <c r="A1332" s="108"/>
      <c r="B1332" s="220"/>
      <c r="C1332" s="220" t="str">
        <f t="shared" si="3"/>
        <v>INOV00017</v>
      </c>
      <c r="D1332" s="220" t="str">
        <f>vlookup(M1332,'Página10'!A:B,2,false)</f>
        <v>INOV00017</v>
      </c>
      <c r="E1332" s="134" t="s">
        <v>137</v>
      </c>
      <c r="F1332" s="221">
        <v>45111.0</v>
      </c>
      <c r="G1332" s="222">
        <v>0.041666666666666664</v>
      </c>
      <c r="H1332" s="134" t="s">
        <v>411</v>
      </c>
      <c r="I1332" s="223" t="s">
        <v>411</v>
      </c>
      <c r="J1332" s="223" t="b">
        <f t="shared" si="1"/>
        <v>1</v>
      </c>
      <c r="K1332" s="145" t="s">
        <v>1329</v>
      </c>
      <c r="L1332" s="156"/>
      <c r="M1332" s="134" t="s">
        <v>429</v>
      </c>
      <c r="N1332" s="150">
        <f>if(and(O1332=TRUE,P1332=TRUE), VLOOKUP($E1332,PESSOAL!$B$35:$S$45,MONTH($F1332)+6,false)*G1332*24,0)</f>
        <v>47.83326825</v>
      </c>
      <c r="O1332" s="117" t="b">
        <f t="shared" si="2"/>
        <v>1</v>
      </c>
      <c r="P1332" s="117" t="b">
        <v>1</v>
      </c>
      <c r="Q1332" s="117" t="s">
        <v>368</v>
      </c>
    </row>
    <row r="1333" hidden="1">
      <c r="A1333" s="108"/>
      <c r="B1333" s="220"/>
      <c r="C1333" s="220" t="str">
        <f t="shared" si="3"/>
        <v>INOV00040</v>
      </c>
      <c r="D1333" s="220" t="str">
        <f>vlookup(M1333,'Página10'!A:B,2,false)</f>
        <v>INOV00040</v>
      </c>
      <c r="E1333" s="134" t="s">
        <v>137</v>
      </c>
      <c r="F1333" s="221">
        <v>45119.0</v>
      </c>
      <c r="G1333" s="222">
        <v>0.041666666666666664</v>
      </c>
      <c r="H1333" s="134" t="s">
        <v>411</v>
      </c>
      <c r="I1333" s="223" t="s">
        <v>411</v>
      </c>
      <c r="J1333" s="223" t="b">
        <f t="shared" si="1"/>
        <v>1</v>
      </c>
      <c r="K1333" s="145" t="s">
        <v>1330</v>
      </c>
      <c r="L1333" s="156"/>
      <c r="M1333" s="134" t="s">
        <v>462</v>
      </c>
      <c r="N1333" s="150">
        <f>if(and(O1333=TRUE,P1333=TRUE), VLOOKUP($E1333,PESSOAL!$B$35:$S$45,MONTH($F1333)+6,false)*G1333*24,0)</f>
        <v>0</v>
      </c>
      <c r="O1333" s="117" t="b">
        <f t="shared" si="2"/>
        <v>1</v>
      </c>
      <c r="P1333" s="117" t="b">
        <v>0</v>
      </c>
      <c r="Q1333" s="117" t="s">
        <v>368</v>
      </c>
    </row>
    <row r="1334" hidden="1">
      <c r="A1334" s="108"/>
      <c r="B1334" s="220"/>
      <c r="C1334" s="220" t="str">
        <f t="shared" si="3"/>
        <v>INOV00040</v>
      </c>
      <c r="D1334" s="220" t="str">
        <f>vlookup(M1334,'Página10'!A:B,2,false)</f>
        <v>INOV00040</v>
      </c>
      <c r="E1334" s="134" t="s">
        <v>137</v>
      </c>
      <c r="F1334" s="221">
        <v>45119.0</v>
      </c>
      <c r="G1334" s="222">
        <v>0.041666666666666664</v>
      </c>
      <c r="H1334" s="134" t="s">
        <v>411</v>
      </c>
      <c r="I1334" s="223" t="s">
        <v>411</v>
      </c>
      <c r="J1334" s="223" t="b">
        <f t="shared" si="1"/>
        <v>1</v>
      </c>
      <c r="K1334" s="145" t="s">
        <v>1331</v>
      </c>
      <c r="L1334" s="156"/>
      <c r="M1334" s="134" t="s">
        <v>462</v>
      </c>
      <c r="N1334" s="150">
        <f>if(and(O1334=TRUE,P1334=TRUE), VLOOKUP($E1334,PESSOAL!$B$35:$S$45,MONTH($F1334)+6,false)*G1334*24,0)</f>
        <v>0</v>
      </c>
      <c r="O1334" s="117" t="b">
        <f t="shared" si="2"/>
        <v>1</v>
      </c>
      <c r="P1334" s="117" t="b">
        <v>0</v>
      </c>
      <c r="Q1334" s="117" t="s">
        <v>368</v>
      </c>
    </row>
    <row r="1335" hidden="1">
      <c r="A1335" s="108"/>
      <c r="B1335" s="220"/>
      <c r="C1335" s="220" t="str">
        <f t="shared" si="3"/>
        <v>INOV00010</v>
      </c>
      <c r="D1335" s="220" t="str">
        <f>vlookup(M1335,'Página10'!A:B,2,false)</f>
        <v>INOV00010</v>
      </c>
      <c r="E1335" s="134" t="s">
        <v>137</v>
      </c>
      <c r="F1335" s="221">
        <v>45119.0</v>
      </c>
      <c r="G1335" s="222">
        <v>0.10416666666666667</v>
      </c>
      <c r="H1335" s="134" t="s">
        <v>411</v>
      </c>
      <c r="I1335" s="223" t="s">
        <v>411</v>
      </c>
      <c r="J1335" s="223" t="b">
        <f t="shared" si="1"/>
        <v>1</v>
      </c>
      <c r="K1335" s="145" t="s">
        <v>1332</v>
      </c>
      <c r="L1335" s="156"/>
      <c r="M1335" s="134" t="s">
        <v>423</v>
      </c>
      <c r="N1335" s="150">
        <f>if(and(O1335=TRUE,P1335=TRUE), VLOOKUP($E1335,PESSOAL!$B$35:$S$45,MONTH($F1335)+6,false)*G1335*24,0)</f>
        <v>119.5831706</v>
      </c>
      <c r="O1335" s="117" t="b">
        <f t="shared" si="2"/>
        <v>1</v>
      </c>
      <c r="P1335" s="117" t="b">
        <v>1</v>
      </c>
      <c r="Q1335" s="117" t="s">
        <v>368</v>
      </c>
    </row>
    <row r="1336" hidden="1">
      <c r="A1336" s="108"/>
      <c r="B1336" s="220"/>
      <c r="C1336" s="220" t="str">
        <f t="shared" si="3"/>
        <v>INOV00017</v>
      </c>
      <c r="D1336" s="220" t="str">
        <f>vlookup(M1336,'Página10'!A:B,2,false)</f>
        <v>INOV00017</v>
      </c>
      <c r="E1336" s="134" t="s">
        <v>137</v>
      </c>
      <c r="F1336" s="221">
        <v>45121.0</v>
      </c>
      <c r="G1336" s="222">
        <v>0.041666666666666664</v>
      </c>
      <c r="H1336" s="134" t="s">
        <v>411</v>
      </c>
      <c r="I1336" s="223" t="s">
        <v>411</v>
      </c>
      <c r="J1336" s="223" t="b">
        <f t="shared" si="1"/>
        <v>1</v>
      </c>
      <c r="K1336" s="145" t="s">
        <v>1333</v>
      </c>
      <c r="L1336" s="156"/>
      <c r="M1336" s="134" t="s">
        <v>429</v>
      </c>
      <c r="N1336" s="150">
        <f>if(and(O1336=TRUE,P1336=TRUE), VLOOKUP($E1336,PESSOAL!$B$35:$S$45,MONTH($F1336)+6,false)*G1336*24,0)</f>
        <v>47.83326825</v>
      </c>
      <c r="O1336" s="117" t="b">
        <f t="shared" si="2"/>
        <v>1</v>
      </c>
      <c r="P1336" s="117" t="b">
        <v>1</v>
      </c>
      <c r="Q1336" s="117" t="s">
        <v>368</v>
      </c>
    </row>
    <row r="1337" hidden="1">
      <c r="A1337" s="108"/>
      <c r="B1337" s="220"/>
      <c r="C1337" s="220" t="str">
        <f t="shared" si="3"/>
        <v>INOV00006</v>
      </c>
      <c r="D1337" s="220" t="str">
        <f>vlookup(M1337,'Página10'!A:B,2,false)</f>
        <v>INOV00006</v>
      </c>
      <c r="E1337" s="134" t="s">
        <v>137</v>
      </c>
      <c r="F1337" s="221">
        <v>45121.0</v>
      </c>
      <c r="G1337" s="222">
        <v>0.020833333333333332</v>
      </c>
      <c r="H1337" s="134" t="s">
        <v>411</v>
      </c>
      <c r="I1337" s="223" t="s">
        <v>411</v>
      </c>
      <c r="J1337" s="223" t="b">
        <f t="shared" si="1"/>
        <v>1</v>
      </c>
      <c r="K1337" s="145" t="s">
        <v>1334</v>
      </c>
      <c r="L1337" s="156"/>
      <c r="M1337" s="134" t="s">
        <v>422</v>
      </c>
      <c r="N1337" s="150">
        <f>if(and(O1337=TRUE,P1337=TRUE), VLOOKUP($E1337,PESSOAL!$B$35:$S$45,MONTH($F1337)+6,false)*G1337*24,0)</f>
        <v>23.91663413</v>
      </c>
      <c r="O1337" s="117" t="b">
        <f t="shared" si="2"/>
        <v>1</v>
      </c>
      <c r="P1337" s="117" t="b">
        <v>1</v>
      </c>
      <c r="Q1337" s="117" t="s">
        <v>368</v>
      </c>
    </row>
    <row r="1338" hidden="1">
      <c r="A1338" s="108"/>
      <c r="B1338" s="220"/>
      <c r="C1338" s="220" t="str">
        <f t="shared" si="3"/>
        <v>INOV00017</v>
      </c>
      <c r="D1338" s="220" t="str">
        <f>vlookup(M1338,'Página10'!A:B,2,false)</f>
        <v>INOV00017</v>
      </c>
      <c r="E1338" s="134" t="s">
        <v>137</v>
      </c>
      <c r="F1338" s="221">
        <v>45111.0</v>
      </c>
      <c r="G1338" s="222">
        <v>0.0625</v>
      </c>
      <c r="H1338" s="134" t="s">
        <v>411</v>
      </c>
      <c r="I1338" s="223" t="s">
        <v>411</v>
      </c>
      <c r="J1338" s="223" t="b">
        <f t="shared" si="1"/>
        <v>1</v>
      </c>
      <c r="K1338" s="145" t="s">
        <v>1335</v>
      </c>
      <c r="L1338" s="156"/>
      <c r="M1338" s="134" t="s">
        <v>429</v>
      </c>
      <c r="N1338" s="150">
        <f>if(and(O1338=TRUE,P1338=TRUE), VLOOKUP($E1338,PESSOAL!$B$35:$S$45,MONTH($F1338)+6,false)*G1338*24,0)</f>
        <v>71.74990238</v>
      </c>
      <c r="O1338" s="117" t="b">
        <f t="shared" si="2"/>
        <v>1</v>
      </c>
      <c r="P1338" s="117" t="b">
        <v>1</v>
      </c>
      <c r="Q1338" s="117" t="s">
        <v>368</v>
      </c>
    </row>
    <row r="1339" hidden="1">
      <c r="A1339" s="108"/>
      <c r="B1339" s="220"/>
      <c r="C1339" s="220" t="str">
        <f t="shared" si="3"/>
        <v>INOV00017</v>
      </c>
      <c r="D1339" s="220" t="str">
        <f>vlookup(M1339,'Página10'!A:B,2,false)</f>
        <v>INOV00017</v>
      </c>
      <c r="E1339" s="134" t="s">
        <v>137</v>
      </c>
      <c r="F1339" s="221">
        <v>45124.0</v>
      </c>
      <c r="G1339" s="222">
        <v>0.041666666666666664</v>
      </c>
      <c r="H1339" s="134" t="s">
        <v>411</v>
      </c>
      <c r="I1339" s="223" t="s">
        <v>411</v>
      </c>
      <c r="J1339" s="223" t="b">
        <f t="shared" si="1"/>
        <v>1</v>
      </c>
      <c r="K1339" s="145" t="s">
        <v>1336</v>
      </c>
      <c r="L1339" s="156"/>
      <c r="M1339" s="134" t="s">
        <v>429</v>
      </c>
      <c r="N1339" s="150">
        <f>if(and(O1339=TRUE,P1339=TRUE), VLOOKUP($E1339,PESSOAL!$B$35:$S$45,MONTH($F1339)+6,false)*G1339*24,0)</f>
        <v>47.83326825</v>
      </c>
      <c r="O1339" s="117" t="b">
        <f t="shared" si="2"/>
        <v>1</v>
      </c>
      <c r="P1339" s="117" t="b">
        <v>1</v>
      </c>
      <c r="Q1339" s="117" t="s">
        <v>368</v>
      </c>
    </row>
    <row r="1340" hidden="1">
      <c r="A1340" s="108"/>
      <c r="B1340" s="220"/>
      <c r="C1340" s="220" t="str">
        <f t="shared" si="3"/>
        <v>INOV00040</v>
      </c>
      <c r="D1340" s="220" t="str">
        <f>vlookup(M1340,'Página10'!A:B,2,false)</f>
        <v>INOV00040</v>
      </c>
      <c r="E1340" s="134" t="s">
        <v>137</v>
      </c>
      <c r="F1340" s="221">
        <v>45127.0</v>
      </c>
      <c r="G1340" s="222">
        <v>0.041666666666666664</v>
      </c>
      <c r="H1340" s="134" t="s">
        <v>479</v>
      </c>
      <c r="I1340" s="223" t="s">
        <v>479</v>
      </c>
      <c r="J1340" s="223" t="b">
        <f t="shared" si="1"/>
        <v>1</v>
      </c>
      <c r="K1340" s="145" t="s">
        <v>1337</v>
      </c>
      <c r="L1340" s="156"/>
      <c r="M1340" s="134" t="s">
        <v>462</v>
      </c>
      <c r="N1340" s="150">
        <f>if(and(O1340=TRUE,P1340=TRUE), VLOOKUP($E1340,PESSOAL!$B$35:$S$45,MONTH($F1340)+6,false)*G1340*24,0)</f>
        <v>0</v>
      </c>
      <c r="O1340" s="117" t="b">
        <f t="shared" si="2"/>
        <v>0</v>
      </c>
      <c r="P1340" s="117" t="b">
        <v>0</v>
      </c>
      <c r="Q1340" s="117" t="s">
        <v>368</v>
      </c>
    </row>
    <row r="1341" hidden="1">
      <c r="A1341" s="108"/>
      <c r="B1341" s="220"/>
      <c r="C1341" s="220" t="str">
        <f t="shared" si="3"/>
        <v>INOV00010</v>
      </c>
      <c r="D1341" s="220" t="str">
        <f>vlookup(M1341,'Página10'!A:B,2,false)</f>
        <v>INOV00010</v>
      </c>
      <c r="E1341" s="134" t="s">
        <v>137</v>
      </c>
      <c r="F1341" s="221">
        <v>45127.0</v>
      </c>
      <c r="G1341" s="222">
        <v>0.08333333333333333</v>
      </c>
      <c r="H1341" s="134" t="s">
        <v>411</v>
      </c>
      <c r="I1341" s="223" t="s">
        <v>411</v>
      </c>
      <c r="J1341" s="223" t="b">
        <f t="shared" si="1"/>
        <v>1</v>
      </c>
      <c r="K1341" s="145" t="s">
        <v>1338</v>
      </c>
      <c r="L1341" s="156"/>
      <c r="M1341" s="134" t="s">
        <v>423</v>
      </c>
      <c r="N1341" s="150">
        <f>if(and(O1341=TRUE,P1341=TRUE), VLOOKUP($E1341,PESSOAL!$B$35:$S$45,MONTH($F1341)+6,false)*G1341*24,0)</f>
        <v>95.66653651</v>
      </c>
      <c r="O1341" s="117" t="b">
        <f t="shared" si="2"/>
        <v>1</v>
      </c>
      <c r="P1341" s="117" t="b">
        <v>1</v>
      </c>
      <c r="Q1341" s="117" t="s">
        <v>368</v>
      </c>
    </row>
    <row r="1342" hidden="1">
      <c r="A1342" s="108"/>
      <c r="B1342" s="220"/>
      <c r="C1342" s="220" t="str">
        <f t="shared" si="3"/>
        <v>INOV00040</v>
      </c>
      <c r="D1342" s="220" t="str">
        <f>vlookup(M1342,'Página10'!A:B,2,false)</f>
        <v>INOV00040</v>
      </c>
      <c r="E1342" s="134" t="s">
        <v>137</v>
      </c>
      <c r="F1342" s="221">
        <v>45127.0</v>
      </c>
      <c r="G1342" s="222">
        <v>0.0625</v>
      </c>
      <c r="H1342" s="134" t="s">
        <v>411</v>
      </c>
      <c r="I1342" s="223" t="s">
        <v>411</v>
      </c>
      <c r="J1342" s="223" t="b">
        <f t="shared" si="1"/>
        <v>1</v>
      </c>
      <c r="K1342" s="145" t="s">
        <v>1339</v>
      </c>
      <c r="L1342" s="156"/>
      <c r="M1342" s="134" t="s">
        <v>462</v>
      </c>
      <c r="N1342" s="150">
        <f>if(and(O1342=TRUE,P1342=TRUE), VLOOKUP($E1342,PESSOAL!$B$35:$S$45,MONTH($F1342)+6,false)*G1342*24,0)</f>
        <v>0</v>
      </c>
      <c r="O1342" s="117" t="b">
        <f t="shared" si="2"/>
        <v>1</v>
      </c>
      <c r="P1342" s="117" t="b">
        <v>0</v>
      </c>
      <c r="Q1342" s="117" t="s">
        <v>368</v>
      </c>
    </row>
    <row r="1343" hidden="1">
      <c r="A1343" s="108"/>
      <c r="B1343" s="220"/>
      <c r="C1343" s="220" t="str">
        <f t="shared" si="3"/>
        <v>INOV00040</v>
      </c>
      <c r="D1343" s="220" t="str">
        <f>vlookup(M1343,'Página10'!A:B,2,false)</f>
        <v>INOV00040</v>
      </c>
      <c r="E1343" s="134" t="s">
        <v>137</v>
      </c>
      <c r="F1343" s="221">
        <v>45131.0</v>
      </c>
      <c r="G1343" s="222">
        <v>0.08333333333333333</v>
      </c>
      <c r="H1343" s="134" t="s">
        <v>411</v>
      </c>
      <c r="I1343" s="223" t="s">
        <v>411</v>
      </c>
      <c r="J1343" s="223" t="b">
        <f t="shared" si="1"/>
        <v>1</v>
      </c>
      <c r="K1343" s="145" t="s">
        <v>1340</v>
      </c>
      <c r="L1343" s="156"/>
      <c r="M1343" s="134" t="s">
        <v>462</v>
      </c>
      <c r="N1343" s="150">
        <f>if(and(O1343=TRUE,P1343=TRUE), VLOOKUP($E1343,PESSOAL!$B$35:$S$45,MONTH($F1343)+6,false)*G1343*24,0)</f>
        <v>0</v>
      </c>
      <c r="O1343" s="117" t="b">
        <f t="shared" si="2"/>
        <v>1</v>
      </c>
      <c r="P1343" s="117" t="b">
        <v>0</v>
      </c>
      <c r="Q1343" s="117" t="s">
        <v>368</v>
      </c>
    </row>
    <row r="1344" hidden="1">
      <c r="A1344" s="108"/>
      <c r="B1344" s="220"/>
      <c r="C1344" s="220" t="str">
        <f t="shared" si="3"/>
        <v>INOV00040</v>
      </c>
      <c r="D1344" s="220" t="str">
        <f>vlookup(M1344,'Página10'!A:B,2,false)</f>
        <v>INOV00040</v>
      </c>
      <c r="E1344" s="134" t="s">
        <v>137</v>
      </c>
      <c r="F1344" s="221">
        <v>45132.0</v>
      </c>
      <c r="G1344" s="222">
        <v>0.020833333333333332</v>
      </c>
      <c r="H1344" s="134" t="s">
        <v>411</v>
      </c>
      <c r="I1344" s="223" t="s">
        <v>411</v>
      </c>
      <c r="J1344" s="223" t="b">
        <f t="shared" si="1"/>
        <v>1</v>
      </c>
      <c r="K1344" s="145" t="s">
        <v>1341</v>
      </c>
      <c r="L1344" s="156"/>
      <c r="M1344" s="134" t="s">
        <v>462</v>
      </c>
      <c r="N1344" s="150">
        <f>if(and(O1344=TRUE,P1344=TRUE), VLOOKUP($E1344,PESSOAL!$B$35:$S$45,MONTH($F1344)+6,false)*G1344*24,0)</f>
        <v>0</v>
      </c>
      <c r="O1344" s="117" t="b">
        <f t="shared" si="2"/>
        <v>1</v>
      </c>
      <c r="P1344" s="117" t="b">
        <v>0</v>
      </c>
      <c r="Q1344" s="117" t="s">
        <v>368</v>
      </c>
    </row>
    <row r="1345" hidden="1">
      <c r="A1345" s="108"/>
      <c r="B1345" s="220"/>
      <c r="C1345" s="220" t="str">
        <f t="shared" si="3"/>
        <v>INOV00040</v>
      </c>
      <c r="D1345" s="220" t="str">
        <f>vlookup(M1345,'Página10'!A:B,2,false)</f>
        <v>INOV00040</v>
      </c>
      <c r="E1345" s="134" t="s">
        <v>137</v>
      </c>
      <c r="F1345" s="221">
        <v>45133.0</v>
      </c>
      <c r="G1345" s="222">
        <v>0.041666666666666664</v>
      </c>
      <c r="H1345" s="134" t="s">
        <v>479</v>
      </c>
      <c r="I1345" s="223" t="s">
        <v>479</v>
      </c>
      <c r="J1345" s="223" t="b">
        <f t="shared" si="1"/>
        <v>1</v>
      </c>
      <c r="K1345" s="145" t="s">
        <v>788</v>
      </c>
      <c r="L1345" s="156"/>
      <c r="M1345" s="134" t="s">
        <v>462</v>
      </c>
      <c r="N1345" s="150">
        <f>if(and(O1345=TRUE,P1345=TRUE), VLOOKUP($E1345,PESSOAL!$B$35:$S$45,MONTH($F1345)+6,false)*G1345*24,0)</f>
        <v>0</v>
      </c>
      <c r="O1345" s="117" t="b">
        <f t="shared" si="2"/>
        <v>0</v>
      </c>
      <c r="P1345" s="117" t="b">
        <v>0</v>
      </c>
      <c r="Q1345" s="117" t="s">
        <v>368</v>
      </c>
    </row>
    <row r="1346" hidden="1">
      <c r="A1346" s="108"/>
      <c r="B1346" s="220"/>
      <c r="C1346" s="220" t="str">
        <f t="shared" si="3"/>
        <v>INOV00010</v>
      </c>
      <c r="D1346" s="220" t="str">
        <f>vlookup(M1346,'Página10'!A:B,2,false)</f>
        <v>INOV00010</v>
      </c>
      <c r="E1346" s="134" t="s">
        <v>137</v>
      </c>
      <c r="F1346" s="221">
        <v>45134.0</v>
      </c>
      <c r="G1346" s="222">
        <v>0.0625</v>
      </c>
      <c r="H1346" s="134" t="s">
        <v>411</v>
      </c>
      <c r="I1346" s="223" t="s">
        <v>411</v>
      </c>
      <c r="J1346" s="223" t="b">
        <f t="shared" si="1"/>
        <v>1</v>
      </c>
      <c r="K1346" s="145" t="s">
        <v>1342</v>
      </c>
      <c r="L1346" s="156"/>
      <c r="M1346" s="134" t="s">
        <v>423</v>
      </c>
      <c r="N1346" s="150">
        <f>if(and(O1346=TRUE,P1346=TRUE), VLOOKUP($E1346,PESSOAL!$B$35:$S$45,MONTH($F1346)+6,false)*G1346*24,0)</f>
        <v>71.74990238</v>
      </c>
      <c r="O1346" s="117" t="b">
        <f t="shared" si="2"/>
        <v>1</v>
      </c>
      <c r="P1346" s="117" t="b">
        <v>1</v>
      </c>
      <c r="Q1346" s="117" t="s">
        <v>368</v>
      </c>
    </row>
    <row r="1347" hidden="1">
      <c r="A1347" s="108"/>
      <c r="B1347" s="220"/>
      <c r="C1347" s="220" t="str">
        <f t="shared" si="3"/>
        <v>INOV00006</v>
      </c>
      <c r="D1347" s="220" t="str">
        <f>vlookup(M1347,'Página10'!A:B,2,false)</f>
        <v>INOV00006</v>
      </c>
      <c r="E1347" s="134" t="s">
        <v>137</v>
      </c>
      <c r="F1347" s="221">
        <v>45134.0</v>
      </c>
      <c r="G1347" s="222">
        <v>0.20833333333333334</v>
      </c>
      <c r="H1347" s="134" t="s">
        <v>411</v>
      </c>
      <c r="I1347" s="223" t="s">
        <v>411</v>
      </c>
      <c r="J1347" s="223" t="b">
        <f t="shared" si="1"/>
        <v>1</v>
      </c>
      <c r="K1347" s="145" t="s">
        <v>1343</v>
      </c>
      <c r="L1347" s="156"/>
      <c r="M1347" s="134" t="s">
        <v>422</v>
      </c>
      <c r="N1347" s="150">
        <f>if(and(O1347=TRUE,P1347=TRUE), VLOOKUP($E1347,PESSOAL!$B$35:$S$45,MONTH($F1347)+6,false)*G1347*24,0)</f>
        <v>239.1663413</v>
      </c>
      <c r="O1347" s="117" t="b">
        <f t="shared" si="2"/>
        <v>1</v>
      </c>
      <c r="P1347" s="117" t="b">
        <v>1</v>
      </c>
      <c r="Q1347" s="117" t="s">
        <v>368</v>
      </c>
    </row>
    <row r="1348" hidden="1">
      <c r="A1348" s="108"/>
      <c r="B1348" s="220"/>
      <c r="C1348" s="220" t="str">
        <f t="shared" si="3"/>
        <v>INOV00017</v>
      </c>
      <c r="D1348" s="220" t="str">
        <f>vlookup(M1348,'Página10'!A:B,2,false)</f>
        <v>INOV00017</v>
      </c>
      <c r="E1348" s="134" t="s">
        <v>137</v>
      </c>
      <c r="F1348" s="221">
        <v>45139.0</v>
      </c>
      <c r="G1348" s="222">
        <v>0.125</v>
      </c>
      <c r="H1348" s="134" t="s">
        <v>411</v>
      </c>
      <c r="I1348" s="223" t="s">
        <v>411</v>
      </c>
      <c r="J1348" s="223" t="b">
        <f t="shared" si="1"/>
        <v>1</v>
      </c>
      <c r="K1348" s="145" t="s">
        <v>1344</v>
      </c>
      <c r="L1348" s="156"/>
      <c r="M1348" s="134" t="s">
        <v>429</v>
      </c>
      <c r="N1348" s="150">
        <f>if(and(O1348=TRUE,P1348=TRUE), VLOOKUP($E1348,PESSOAL!$B$35:$S$45,MONTH($F1348)+6,false)*G1348*24,0)</f>
        <v>131.0215609</v>
      </c>
      <c r="O1348" s="117" t="b">
        <f t="shared" si="2"/>
        <v>1</v>
      </c>
      <c r="P1348" s="117" t="b">
        <v>1</v>
      </c>
      <c r="Q1348" s="117" t="s">
        <v>368</v>
      </c>
    </row>
    <row r="1349" hidden="1">
      <c r="A1349" s="108"/>
      <c r="B1349" s="220"/>
      <c r="C1349" s="220" t="str">
        <f t="shared" si="3"/>
        <v>INOV00040</v>
      </c>
      <c r="D1349" s="220" t="str">
        <f>vlookup(M1349,'Página10'!A:B,2,false)</f>
        <v>INOV00040</v>
      </c>
      <c r="E1349" s="134" t="s">
        <v>137</v>
      </c>
      <c r="F1349" s="221">
        <v>45140.0</v>
      </c>
      <c r="G1349" s="222">
        <v>0.041666666666666664</v>
      </c>
      <c r="H1349" s="134" t="s">
        <v>411</v>
      </c>
      <c r="I1349" s="223" t="s">
        <v>411</v>
      </c>
      <c r="J1349" s="223" t="b">
        <f t="shared" si="1"/>
        <v>1</v>
      </c>
      <c r="K1349" s="145" t="s">
        <v>1345</v>
      </c>
      <c r="L1349" s="156"/>
      <c r="M1349" s="134" t="s">
        <v>462</v>
      </c>
      <c r="N1349" s="150">
        <f>if(and(O1349=TRUE,P1349=TRUE), VLOOKUP($E1349,PESSOAL!$B$35:$S$45,MONTH($F1349)+6,false)*G1349*24,0)</f>
        <v>0</v>
      </c>
      <c r="O1349" s="117" t="b">
        <f t="shared" si="2"/>
        <v>1</v>
      </c>
      <c r="P1349" s="117" t="b">
        <v>0</v>
      </c>
      <c r="Q1349" s="117" t="s">
        <v>368</v>
      </c>
    </row>
    <row r="1350" hidden="1">
      <c r="A1350" s="108"/>
      <c r="B1350" s="220"/>
      <c r="C1350" s="220" t="str">
        <f t="shared" si="3"/>
        <v>INOV00040</v>
      </c>
      <c r="D1350" s="220" t="str">
        <f>vlookup(M1350,'Página10'!A:B,2,false)</f>
        <v>INOV00040</v>
      </c>
      <c r="E1350" s="134" t="s">
        <v>137</v>
      </c>
      <c r="F1350" s="221">
        <v>45141.0</v>
      </c>
      <c r="G1350" s="222">
        <v>0.125</v>
      </c>
      <c r="H1350" s="134" t="s">
        <v>411</v>
      </c>
      <c r="I1350" s="223" t="s">
        <v>411</v>
      </c>
      <c r="J1350" s="223" t="b">
        <f t="shared" si="1"/>
        <v>1</v>
      </c>
      <c r="K1350" s="145" t="s">
        <v>1346</v>
      </c>
      <c r="L1350" s="156"/>
      <c r="M1350" s="134" t="s">
        <v>462</v>
      </c>
      <c r="N1350" s="150">
        <f>if(and(O1350=TRUE,P1350=TRUE), VLOOKUP($E1350,PESSOAL!$B$35:$S$45,MONTH($F1350)+6,false)*G1350*24,0)</f>
        <v>0</v>
      </c>
      <c r="O1350" s="117" t="b">
        <f t="shared" si="2"/>
        <v>1</v>
      </c>
      <c r="P1350" s="117" t="b">
        <v>0</v>
      </c>
      <c r="Q1350" s="117" t="s">
        <v>368</v>
      </c>
    </row>
    <row r="1351" hidden="1">
      <c r="A1351" s="108"/>
      <c r="B1351" s="220"/>
      <c r="C1351" s="220" t="str">
        <f t="shared" si="3"/>
        <v>INOV00017</v>
      </c>
      <c r="D1351" s="220" t="str">
        <f>vlookup(M1351,'Página10'!A:B,2,false)</f>
        <v>INOV00017</v>
      </c>
      <c r="E1351" s="134" t="s">
        <v>137</v>
      </c>
      <c r="F1351" s="221">
        <v>45142.0</v>
      </c>
      <c r="G1351" s="222">
        <v>0.041666666666666664</v>
      </c>
      <c r="H1351" s="134" t="s">
        <v>411</v>
      </c>
      <c r="I1351" s="223" t="s">
        <v>411</v>
      </c>
      <c r="J1351" s="223" t="b">
        <f t="shared" si="1"/>
        <v>1</v>
      </c>
      <c r="K1351" s="145" t="s">
        <v>1347</v>
      </c>
      <c r="L1351" s="156"/>
      <c r="M1351" s="134" t="s">
        <v>429</v>
      </c>
      <c r="N1351" s="150">
        <f>if(and(O1351=TRUE,P1351=TRUE), VLOOKUP($E1351,PESSOAL!$B$35:$S$45,MONTH($F1351)+6,false)*G1351*24,0)</f>
        <v>43.67385362</v>
      </c>
      <c r="O1351" s="117" t="b">
        <f t="shared" si="2"/>
        <v>1</v>
      </c>
      <c r="P1351" s="117" t="b">
        <v>1</v>
      </c>
      <c r="Q1351" s="117" t="s">
        <v>368</v>
      </c>
    </row>
    <row r="1352" hidden="1">
      <c r="A1352" s="108"/>
      <c r="B1352" s="220"/>
      <c r="C1352" s="220" t="str">
        <f t="shared" si="3"/>
        <v>INOV00017</v>
      </c>
      <c r="D1352" s="220" t="str">
        <f>vlookup(M1352,'Página10'!A:B,2,false)</f>
        <v>INOV00017</v>
      </c>
      <c r="E1352" s="134" t="s">
        <v>137</v>
      </c>
      <c r="F1352" s="221">
        <v>45142.0</v>
      </c>
      <c r="G1352" s="222">
        <v>0.14583333333333334</v>
      </c>
      <c r="H1352" s="134" t="s">
        <v>411</v>
      </c>
      <c r="I1352" s="223" t="s">
        <v>411</v>
      </c>
      <c r="J1352" s="223" t="b">
        <f t="shared" si="1"/>
        <v>1</v>
      </c>
      <c r="K1352" s="145" t="s">
        <v>1348</v>
      </c>
      <c r="L1352" s="156"/>
      <c r="M1352" s="134" t="s">
        <v>429</v>
      </c>
      <c r="N1352" s="150">
        <f>if(and(O1352=TRUE,P1352=TRUE), VLOOKUP($E1352,PESSOAL!$B$35:$S$45,MONTH($F1352)+6,false)*G1352*24,0)</f>
        <v>152.8584877</v>
      </c>
      <c r="O1352" s="117" t="b">
        <f t="shared" si="2"/>
        <v>1</v>
      </c>
      <c r="P1352" s="117" t="b">
        <v>1</v>
      </c>
      <c r="Q1352" s="117" t="s">
        <v>368</v>
      </c>
    </row>
    <row r="1353" hidden="1">
      <c r="A1353" s="108"/>
      <c r="B1353" s="220"/>
      <c r="C1353" s="220" t="str">
        <f t="shared" si="3"/>
        <v>INOV00017</v>
      </c>
      <c r="D1353" s="220" t="str">
        <f>vlookup(M1353,'Página10'!A:B,2,false)</f>
        <v>INOV00017</v>
      </c>
      <c r="E1353" s="134" t="s">
        <v>137</v>
      </c>
      <c r="F1353" s="221">
        <v>45162.0</v>
      </c>
      <c r="G1353" s="222">
        <v>0.08333333333333333</v>
      </c>
      <c r="H1353" s="134" t="s">
        <v>411</v>
      </c>
      <c r="I1353" s="223" t="s">
        <v>411</v>
      </c>
      <c r="J1353" s="223" t="b">
        <f t="shared" si="1"/>
        <v>1</v>
      </c>
      <c r="K1353" s="145" t="s">
        <v>976</v>
      </c>
      <c r="L1353" s="156"/>
      <c r="M1353" s="134" t="s">
        <v>429</v>
      </c>
      <c r="N1353" s="150">
        <f>if(and(O1353=TRUE,P1353=TRUE), VLOOKUP($E1353,PESSOAL!$B$35:$S$45,MONTH($F1353)+6,false)*G1353*24,0)</f>
        <v>87.34770725</v>
      </c>
      <c r="O1353" s="117" t="b">
        <f t="shared" si="2"/>
        <v>1</v>
      </c>
      <c r="P1353" s="117" t="b">
        <v>1</v>
      </c>
      <c r="Q1353" s="117" t="s">
        <v>368</v>
      </c>
    </row>
    <row r="1354" hidden="1">
      <c r="A1354" s="108"/>
      <c r="B1354" s="220"/>
      <c r="C1354" s="220" t="str">
        <f t="shared" si="3"/>
        <v>INOV00006</v>
      </c>
      <c r="D1354" s="220" t="str">
        <f>vlookup(M1354,'Página10'!A:B,2,false)</f>
        <v>INOV00006</v>
      </c>
      <c r="E1354" s="134" t="s">
        <v>137</v>
      </c>
      <c r="F1354" s="221">
        <v>45162.0</v>
      </c>
      <c r="G1354" s="222">
        <v>0.020833333333333332</v>
      </c>
      <c r="H1354" s="134" t="s">
        <v>411</v>
      </c>
      <c r="I1354" s="223" t="s">
        <v>411</v>
      </c>
      <c r="J1354" s="223" t="b">
        <f t="shared" si="1"/>
        <v>1</v>
      </c>
      <c r="K1354" s="145" t="s">
        <v>1349</v>
      </c>
      <c r="L1354" s="156"/>
      <c r="M1354" s="134" t="s">
        <v>422</v>
      </c>
      <c r="N1354" s="150">
        <f>if(and(O1354=TRUE,P1354=TRUE), VLOOKUP($E1354,PESSOAL!$B$35:$S$45,MONTH($F1354)+6,false)*G1354*24,0)</f>
        <v>21.83692681</v>
      </c>
      <c r="O1354" s="117" t="b">
        <f t="shared" si="2"/>
        <v>1</v>
      </c>
      <c r="P1354" s="117" t="b">
        <v>1</v>
      </c>
      <c r="Q1354" s="117" t="s">
        <v>368</v>
      </c>
    </row>
    <row r="1355" hidden="1">
      <c r="A1355" s="108"/>
      <c r="B1355" s="220"/>
      <c r="C1355" s="220" t="str">
        <f t="shared" si="3"/>
        <v>INOV00040</v>
      </c>
      <c r="D1355" s="220" t="str">
        <f>vlookup(M1355,'Página10'!A:B,2,false)</f>
        <v>INOV00040</v>
      </c>
      <c r="E1355" s="134" t="s">
        <v>137</v>
      </c>
      <c r="F1355" s="221">
        <v>45168.0</v>
      </c>
      <c r="G1355" s="222">
        <v>0.041666666666666664</v>
      </c>
      <c r="H1355" s="134" t="s">
        <v>411</v>
      </c>
      <c r="I1355" s="223" t="s">
        <v>411</v>
      </c>
      <c r="J1355" s="223" t="b">
        <f t="shared" si="1"/>
        <v>1</v>
      </c>
      <c r="K1355" s="145" t="s">
        <v>1350</v>
      </c>
      <c r="L1355" s="156"/>
      <c r="M1355" s="134" t="s">
        <v>462</v>
      </c>
      <c r="N1355" s="150">
        <f>if(and(O1355=TRUE,P1355=TRUE), VLOOKUP($E1355,PESSOAL!$B$35:$S$45,MONTH($F1355)+6,false)*G1355*24,0)</f>
        <v>0</v>
      </c>
      <c r="O1355" s="117" t="b">
        <f t="shared" si="2"/>
        <v>1</v>
      </c>
      <c r="P1355" s="117" t="b">
        <v>0</v>
      </c>
      <c r="Q1355" s="117" t="s">
        <v>368</v>
      </c>
    </row>
    <row r="1356" hidden="1">
      <c r="A1356" s="108"/>
      <c r="B1356" s="220"/>
      <c r="C1356" s="220" t="s">
        <v>55</v>
      </c>
      <c r="D1356" s="220" t="str">
        <f>vlookup(M1356,'Página10'!A:B,2,false)</f>
        <v>INOV00017</v>
      </c>
      <c r="E1356" s="134" t="s">
        <v>137</v>
      </c>
      <c r="F1356" s="221">
        <v>45173.0</v>
      </c>
      <c r="G1356" s="222">
        <v>0.10416666666666667</v>
      </c>
      <c r="H1356" s="134" t="s">
        <v>479</v>
      </c>
      <c r="I1356" s="223" t="s">
        <v>479</v>
      </c>
      <c r="J1356" s="223" t="b">
        <f t="shared" si="1"/>
        <v>1</v>
      </c>
      <c r="K1356" s="145" t="s">
        <v>976</v>
      </c>
      <c r="L1356" s="156"/>
      <c r="M1356" s="134" t="s">
        <v>429</v>
      </c>
      <c r="N1356" s="150">
        <f>if(and(O1356=TRUE,P1356=TRUE), VLOOKUP($E1356,PESSOAL!$B$35:$S$45,MONTH($F1356)+6,false)*G1356*24,0)</f>
        <v>0</v>
      </c>
      <c r="O1356" s="117" t="b">
        <f t="shared" si="2"/>
        <v>0</v>
      </c>
      <c r="P1356" s="117" t="b">
        <v>1</v>
      </c>
      <c r="Q1356" s="117" t="s">
        <v>368</v>
      </c>
    </row>
    <row r="1357" hidden="1">
      <c r="A1357" s="108"/>
      <c r="B1357" s="220"/>
      <c r="C1357" s="220" t="s">
        <v>55</v>
      </c>
      <c r="D1357" s="220" t="str">
        <f>vlookup(M1357,'Página10'!A:B,2,false)</f>
        <v>INOV00017</v>
      </c>
      <c r="E1357" s="134" t="s">
        <v>137</v>
      </c>
      <c r="F1357" s="221">
        <v>45173.0</v>
      </c>
      <c r="G1357" s="222">
        <v>0.08333333333333333</v>
      </c>
      <c r="H1357" s="134" t="s">
        <v>411</v>
      </c>
      <c r="I1357" s="223" t="s">
        <v>411</v>
      </c>
      <c r="J1357" s="223" t="b">
        <f t="shared" si="1"/>
        <v>1</v>
      </c>
      <c r="K1357" s="145" t="s">
        <v>1351</v>
      </c>
      <c r="L1357" s="156"/>
      <c r="M1357" s="134" t="s">
        <v>429</v>
      </c>
      <c r="N1357" s="150">
        <f>if(and(O1357=TRUE,P1357=TRUE), VLOOKUP($E1357,PESSOAL!$B$35:$S$45,MONTH($F1357)+6,false)*G1357*24,0)</f>
        <v>105.7366982</v>
      </c>
      <c r="O1357" s="117" t="b">
        <f t="shared" si="2"/>
        <v>1</v>
      </c>
      <c r="P1357" s="117" t="b">
        <v>1</v>
      </c>
      <c r="Q1357" s="117" t="s">
        <v>368</v>
      </c>
    </row>
    <row r="1358" hidden="1">
      <c r="A1358" s="108"/>
      <c r="B1358" s="220"/>
      <c r="C1358" s="220" t="str">
        <f t="shared" ref="C1358:C1364" si="4">D1358</f>
        <v>INOV00023</v>
      </c>
      <c r="D1358" s="220" t="str">
        <f>vlookup(M1358,'Página10'!A:B,2,false)</f>
        <v>INOV00023</v>
      </c>
      <c r="E1358" s="134" t="s">
        <v>129</v>
      </c>
      <c r="F1358" s="221">
        <v>45110.0</v>
      </c>
      <c r="G1358" s="222">
        <v>0.041666666666666664</v>
      </c>
      <c r="H1358" s="134" t="s">
        <v>475</v>
      </c>
      <c r="I1358" s="223" t="s">
        <v>411</v>
      </c>
      <c r="J1358" s="223" t="b">
        <f t="shared" si="1"/>
        <v>0</v>
      </c>
      <c r="K1358" s="145" t="s">
        <v>1045</v>
      </c>
      <c r="L1358" s="156"/>
      <c r="M1358" s="134" t="s">
        <v>438</v>
      </c>
      <c r="N1358" s="150">
        <f>if(and(O1358=TRUE,P1358=TRUE), VLOOKUP($E1358,PESSOAL!$B$35:$S$45,MONTH($F1358)+6,false)*G1358*24,0)</f>
        <v>157.2798885</v>
      </c>
      <c r="O1358" s="117" t="b">
        <f t="shared" si="2"/>
        <v>1</v>
      </c>
      <c r="P1358" s="117" t="b">
        <v>1</v>
      </c>
      <c r="Q1358" s="117" t="s">
        <v>368</v>
      </c>
    </row>
    <row r="1359" hidden="1">
      <c r="A1359" s="108"/>
      <c r="B1359" s="220"/>
      <c r="C1359" s="220" t="str">
        <f t="shared" si="4"/>
        <v>INOV00022</v>
      </c>
      <c r="D1359" s="220" t="str">
        <f>vlookup(M1359,'Página10'!A:B,2,false)</f>
        <v>INOV00022</v>
      </c>
      <c r="E1359" s="134" t="s">
        <v>129</v>
      </c>
      <c r="F1359" s="221">
        <v>45110.0</v>
      </c>
      <c r="G1359" s="222">
        <v>0.0625</v>
      </c>
      <c r="H1359" s="134" t="s">
        <v>475</v>
      </c>
      <c r="I1359" s="223" t="s">
        <v>475</v>
      </c>
      <c r="J1359" s="223" t="b">
        <f t="shared" si="1"/>
        <v>1</v>
      </c>
      <c r="K1359" s="145" t="s">
        <v>604</v>
      </c>
      <c r="L1359" s="156"/>
      <c r="M1359" s="134" t="s">
        <v>437</v>
      </c>
      <c r="N1359" s="150">
        <f>if(and(O1359=TRUE,P1359=TRUE), VLOOKUP($E1359,PESSOAL!$B$35:$S$45,MONTH($F1359)+6,false)*G1359*24,0)</f>
        <v>235.9198327</v>
      </c>
      <c r="O1359" s="117" t="b">
        <f t="shared" si="2"/>
        <v>1</v>
      </c>
      <c r="P1359" s="117" t="b">
        <v>1</v>
      </c>
      <c r="Q1359" s="117" t="s">
        <v>368</v>
      </c>
    </row>
    <row r="1360" hidden="1">
      <c r="A1360" s="108"/>
      <c r="B1360" s="220"/>
      <c r="C1360" s="220" t="str">
        <f t="shared" si="4"/>
        <v>INOV00034</v>
      </c>
      <c r="D1360" s="220" t="str">
        <f>vlookup(M1360,'Página10'!A:B,2,false)</f>
        <v>INOV00034</v>
      </c>
      <c r="E1360" s="134" t="s">
        <v>129</v>
      </c>
      <c r="F1360" s="221">
        <v>45117.0</v>
      </c>
      <c r="G1360" s="222">
        <v>0.08333333333333333</v>
      </c>
      <c r="H1360" s="134" t="s">
        <v>475</v>
      </c>
      <c r="I1360" s="223" t="s">
        <v>411</v>
      </c>
      <c r="J1360" s="223" t="b">
        <f t="shared" si="1"/>
        <v>0</v>
      </c>
      <c r="K1360" s="145" t="s">
        <v>1352</v>
      </c>
      <c r="L1360" s="156"/>
      <c r="M1360" s="134" t="s">
        <v>456</v>
      </c>
      <c r="N1360" s="150">
        <f>if(and(O1360=TRUE,P1360=TRUE), VLOOKUP($E1360,PESSOAL!$B$35:$S$45,MONTH($F1360)+6,false)*G1360*24,0)</f>
        <v>314.559777</v>
      </c>
      <c r="O1360" s="117" t="b">
        <f t="shared" si="2"/>
        <v>1</v>
      </c>
      <c r="P1360" s="117" t="b">
        <v>1</v>
      </c>
      <c r="Q1360" s="117" t="s">
        <v>368</v>
      </c>
    </row>
    <row r="1361" hidden="1">
      <c r="A1361" s="108"/>
      <c r="B1361" s="220"/>
      <c r="C1361" s="220" t="str">
        <f t="shared" si="4"/>
        <v>INOV00023</v>
      </c>
      <c r="D1361" s="220" t="str">
        <f>vlookup(M1361,'Página10'!A:B,2,false)</f>
        <v>INOV00023</v>
      </c>
      <c r="E1361" s="134" t="s">
        <v>129</v>
      </c>
      <c r="F1361" s="221">
        <v>45121.0</v>
      </c>
      <c r="G1361" s="222">
        <v>0.041666666666666664</v>
      </c>
      <c r="H1361" s="134" t="s">
        <v>475</v>
      </c>
      <c r="I1361" s="223" t="s">
        <v>475</v>
      </c>
      <c r="J1361" s="223" t="b">
        <f t="shared" si="1"/>
        <v>1</v>
      </c>
      <c r="K1361" s="145" t="s">
        <v>1045</v>
      </c>
      <c r="L1361" s="156"/>
      <c r="M1361" s="134" t="s">
        <v>438</v>
      </c>
      <c r="N1361" s="150">
        <f>if(and(O1361=TRUE,P1361=TRUE), VLOOKUP($E1361,PESSOAL!$B$35:$S$45,MONTH($F1361)+6,false)*G1361*24,0)</f>
        <v>157.2798885</v>
      </c>
      <c r="O1361" s="117" t="b">
        <f t="shared" si="2"/>
        <v>1</v>
      </c>
      <c r="P1361" s="117" t="b">
        <v>1</v>
      </c>
      <c r="Q1361" s="117" t="s">
        <v>368</v>
      </c>
    </row>
    <row r="1362" hidden="1">
      <c r="A1362" s="108"/>
      <c r="B1362" s="220"/>
      <c r="C1362" s="220" t="str">
        <f t="shared" si="4"/>
        <v>INOV00034</v>
      </c>
      <c r="D1362" s="220" t="str">
        <f>vlookup(M1362,'Página10'!A:B,2,false)</f>
        <v>INOV00034</v>
      </c>
      <c r="E1362" s="134" t="s">
        <v>129</v>
      </c>
      <c r="F1362" s="221">
        <v>45127.0</v>
      </c>
      <c r="G1362" s="222">
        <v>0.041666666666666664</v>
      </c>
      <c r="H1362" s="134" t="s">
        <v>475</v>
      </c>
      <c r="I1362" s="223" t="s">
        <v>475</v>
      </c>
      <c r="J1362" s="223" t="b">
        <f t="shared" si="1"/>
        <v>1</v>
      </c>
      <c r="K1362" s="145" t="s">
        <v>1353</v>
      </c>
      <c r="L1362" s="156"/>
      <c r="M1362" s="134" t="s">
        <v>456</v>
      </c>
      <c r="N1362" s="150">
        <f>if(and(O1362=TRUE,P1362=TRUE), VLOOKUP($E1362,PESSOAL!$B$35:$S$45,MONTH($F1362)+6,false)*G1362*24,0)</f>
        <v>157.2798885</v>
      </c>
      <c r="O1362" s="117" t="b">
        <f t="shared" si="2"/>
        <v>1</v>
      </c>
      <c r="P1362" s="117" t="b">
        <v>1</v>
      </c>
      <c r="Q1362" s="117" t="s">
        <v>368</v>
      </c>
    </row>
    <row r="1363" hidden="1">
      <c r="A1363" s="108"/>
      <c r="B1363" s="220"/>
      <c r="C1363" s="220" t="str">
        <f t="shared" si="4"/>
        <v>INOV00031</v>
      </c>
      <c r="D1363" s="220" t="str">
        <f>vlookup(M1363,'Página10'!A:B,2,false)</f>
        <v>INOV00031</v>
      </c>
      <c r="E1363" s="134" t="s">
        <v>129</v>
      </c>
      <c r="F1363" s="221">
        <v>45131.0</v>
      </c>
      <c r="G1363" s="222">
        <v>0.041666666666666664</v>
      </c>
      <c r="H1363" s="134" t="s">
        <v>474</v>
      </c>
      <c r="I1363" s="223" t="s">
        <v>474</v>
      </c>
      <c r="J1363" s="223" t="b">
        <f t="shared" si="1"/>
        <v>1</v>
      </c>
      <c r="K1363" s="145" t="s">
        <v>1354</v>
      </c>
      <c r="L1363" s="156"/>
      <c r="M1363" s="134" t="s">
        <v>451</v>
      </c>
      <c r="N1363" s="150">
        <f>if(and(O1363=TRUE,P1363=TRUE), VLOOKUP($E1363,PESSOAL!$B$35:$S$45,MONTH($F1363)+6,false)*G1363*24,0)</f>
        <v>157.2798885</v>
      </c>
      <c r="O1363" s="117" t="b">
        <f t="shared" si="2"/>
        <v>1</v>
      </c>
      <c r="P1363" s="117" t="b">
        <v>1</v>
      </c>
      <c r="Q1363" s="117" t="s">
        <v>368</v>
      </c>
    </row>
    <row r="1364" hidden="1">
      <c r="A1364" s="108"/>
      <c r="B1364" s="220"/>
      <c r="C1364" s="220" t="str">
        <f t="shared" si="4"/>
        <v>INOV00041</v>
      </c>
      <c r="D1364" s="220" t="str">
        <f>vlookup(M1364,'Página10'!A:B,2,false)</f>
        <v>INOV00041</v>
      </c>
      <c r="E1364" s="134" t="s">
        <v>129</v>
      </c>
      <c r="F1364" s="221">
        <v>45138.0</v>
      </c>
      <c r="G1364" s="222">
        <v>0.08333333333333333</v>
      </c>
      <c r="H1364" s="134" t="s">
        <v>411</v>
      </c>
      <c r="I1364" s="223" t="s">
        <v>475</v>
      </c>
      <c r="J1364" s="223" t="b">
        <f t="shared" si="1"/>
        <v>0</v>
      </c>
      <c r="K1364" s="145" t="s">
        <v>1355</v>
      </c>
      <c r="L1364" s="156"/>
      <c r="M1364" s="134" t="s">
        <v>463</v>
      </c>
      <c r="N1364" s="150">
        <f>if(and(O1364=TRUE,P1364=TRUE), VLOOKUP($E1364,PESSOAL!$B$35:$S$45,MONTH($F1364)+6,false)*G1364*24,0)</f>
        <v>314.559777</v>
      </c>
      <c r="O1364" s="117" t="b">
        <f t="shared" si="2"/>
        <v>1</v>
      </c>
      <c r="P1364" s="117" t="b">
        <v>1</v>
      </c>
      <c r="Q1364" s="117" t="s">
        <v>368</v>
      </c>
    </row>
    <row r="1365" hidden="1">
      <c r="A1365" s="108"/>
      <c r="B1365" s="220"/>
      <c r="C1365" s="220" t="s">
        <v>56</v>
      </c>
      <c r="D1365" s="220" t="str">
        <f>vlookup(M1365,'Página10'!A:B,2,false)</f>
        <v>INOV00021</v>
      </c>
      <c r="E1365" s="134" t="s">
        <v>146</v>
      </c>
      <c r="F1365" s="221">
        <v>45139.0</v>
      </c>
      <c r="G1365" s="222">
        <v>0.041666666666666664</v>
      </c>
      <c r="H1365" s="134" t="s">
        <v>411</v>
      </c>
      <c r="I1365" s="223" t="s">
        <v>411</v>
      </c>
      <c r="J1365" s="223" t="b">
        <f t="shared" si="1"/>
        <v>1</v>
      </c>
      <c r="K1365" s="145" t="s">
        <v>1356</v>
      </c>
      <c r="L1365" s="156"/>
      <c r="M1365" s="134" t="s">
        <v>436</v>
      </c>
      <c r="N1365" s="150">
        <f>if(and(O1365=TRUE,P1365=TRUE), VLOOKUP($E1365,PESSOAL!$B$35:$S$45,MONTH($F1365)+6,false)*G1365*24,0)</f>
        <v>89.63098388</v>
      </c>
      <c r="O1365" s="117" t="b">
        <f t="shared" si="2"/>
        <v>1</v>
      </c>
      <c r="P1365" s="117" t="b">
        <v>1</v>
      </c>
      <c r="Q1365" s="117" t="s">
        <v>368</v>
      </c>
    </row>
    <row r="1366" hidden="1">
      <c r="A1366" s="108"/>
      <c r="B1366" s="220"/>
      <c r="C1366" s="220" t="s">
        <v>49</v>
      </c>
      <c r="D1366" s="220" t="str">
        <f>vlookup(M1366,'Página10'!A:B,2,false)</f>
        <v>INOV00004</v>
      </c>
      <c r="E1366" s="134" t="s">
        <v>146</v>
      </c>
      <c r="F1366" s="221">
        <v>45139.0</v>
      </c>
      <c r="G1366" s="222">
        <v>0.041666666666666664</v>
      </c>
      <c r="H1366" s="134" t="s">
        <v>411</v>
      </c>
      <c r="I1366" s="223" t="s">
        <v>411</v>
      </c>
      <c r="J1366" s="223" t="b">
        <f t="shared" si="1"/>
        <v>1</v>
      </c>
      <c r="K1366" s="145" t="s">
        <v>1357</v>
      </c>
      <c r="L1366" s="156"/>
      <c r="M1366" s="134" t="s">
        <v>421</v>
      </c>
      <c r="N1366" s="150">
        <f>if(and(O1366=TRUE,P1366=TRUE), VLOOKUP($E1366,PESSOAL!$B$35:$S$45,MONTH($F1366)+6,false)*G1366*24,0)</f>
        <v>89.63098388</v>
      </c>
      <c r="O1366" s="117" t="b">
        <f t="shared" si="2"/>
        <v>1</v>
      </c>
      <c r="P1366" s="117" t="b">
        <v>1</v>
      </c>
      <c r="Q1366" s="117" t="s">
        <v>368</v>
      </c>
    </row>
    <row r="1367" hidden="1">
      <c r="A1367" s="108"/>
      <c r="B1367" s="220"/>
      <c r="C1367" s="220" t="s">
        <v>55</v>
      </c>
      <c r="D1367" s="220" t="str">
        <f>vlookup(M1367,'Página10'!A:B,2,false)</f>
        <v>INOV00017</v>
      </c>
      <c r="E1367" s="134" t="s">
        <v>146</v>
      </c>
      <c r="F1367" s="221">
        <v>45139.0</v>
      </c>
      <c r="G1367" s="222">
        <v>0.041666666666666664</v>
      </c>
      <c r="H1367" s="134" t="s">
        <v>411</v>
      </c>
      <c r="I1367" s="223" t="s">
        <v>411</v>
      </c>
      <c r="J1367" s="223" t="b">
        <f t="shared" si="1"/>
        <v>1</v>
      </c>
      <c r="K1367" s="145" t="s">
        <v>1358</v>
      </c>
      <c r="L1367" s="156"/>
      <c r="M1367" s="134" t="s">
        <v>429</v>
      </c>
      <c r="N1367" s="150">
        <f>if(and(O1367=TRUE,P1367=TRUE), VLOOKUP($E1367,PESSOAL!$B$35:$S$45,MONTH($F1367)+6,false)*G1367*24,0)</f>
        <v>89.63098388</v>
      </c>
      <c r="O1367" s="117" t="b">
        <f t="shared" si="2"/>
        <v>1</v>
      </c>
      <c r="P1367" s="117" t="b">
        <v>1</v>
      </c>
      <c r="Q1367" s="117" t="s">
        <v>368</v>
      </c>
    </row>
    <row r="1368" hidden="1">
      <c r="A1368" s="108"/>
      <c r="B1368" s="220"/>
      <c r="C1368" s="220" t="s">
        <v>54</v>
      </c>
      <c r="D1368" s="220" t="str">
        <f>vlookup(M1368,'Página10'!A:B,2,false)</f>
        <v>INOV00016</v>
      </c>
      <c r="E1368" s="134" t="s">
        <v>146</v>
      </c>
      <c r="F1368" s="221">
        <v>45140.0</v>
      </c>
      <c r="G1368" s="222">
        <v>0.0625</v>
      </c>
      <c r="H1368" s="134" t="s">
        <v>411</v>
      </c>
      <c r="I1368" s="223" t="s">
        <v>411</v>
      </c>
      <c r="J1368" s="223" t="b">
        <f t="shared" si="1"/>
        <v>1</v>
      </c>
      <c r="K1368" s="145" t="s">
        <v>1359</v>
      </c>
      <c r="L1368" s="156"/>
      <c r="M1368" s="134" t="s">
        <v>428</v>
      </c>
      <c r="N1368" s="150">
        <f>if(and(O1368=TRUE,P1368=TRUE), VLOOKUP($E1368,PESSOAL!$B$35:$S$45,MONTH($F1368)+6,false)*G1368*24,0)</f>
        <v>134.4464758</v>
      </c>
      <c r="O1368" s="117" t="b">
        <f t="shared" si="2"/>
        <v>1</v>
      </c>
      <c r="P1368" s="117" t="b">
        <v>1</v>
      </c>
      <c r="Q1368" s="117" t="s">
        <v>368</v>
      </c>
    </row>
    <row r="1369" hidden="1">
      <c r="A1369" s="108"/>
      <c r="B1369" s="220"/>
      <c r="C1369" s="220" t="s">
        <v>290</v>
      </c>
      <c r="D1369" s="220" t="str">
        <f>vlookup(M1369,'Página10'!A:B,2,false)</f>
        <v>INOV00001</v>
      </c>
      <c r="E1369" s="134" t="s">
        <v>146</v>
      </c>
      <c r="F1369" s="221">
        <v>45140.0</v>
      </c>
      <c r="G1369" s="222">
        <v>0.10416666666666667</v>
      </c>
      <c r="H1369" s="134" t="s">
        <v>411</v>
      </c>
      <c r="I1369" s="223" t="s">
        <v>411</v>
      </c>
      <c r="J1369" s="223" t="b">
        <f t="shared" si="1"/>
        <v>1</v>
      </c>
      <c r="K1369" s="145" t="s">
        <v>1360</v>
      </c>
      <c r="L1369" s="156"/>
      <c r="M1369" s="134" t="s">
        <v>416</v>
      </c>
      <c r="N1369" s="150">
        <f>if(and(O1369=TRUE,P1369=TRUE), VLOOKUP($E1369,PESSOAL!$B$35:$S$45,MONTH($F1369)+6,false)*G1369*24,0)</f>
        <v>224.0774597</v>
      </c>
      <c r="O1369" s="117" t="b">
        <f t="shared" si="2"/>
        <v>1</v>
      </c>
      <c r="P1369" s="117" t="b">
        <v>1</v>
      </c>
      <c r="Q1369" s="117" t="s">
        <v>368</v>
      </c>
    </row>
    <row r="1370" hidden="1">
      <c r="A1370" s="108"/>
      <c r="B1370" s="220"/>
      <c r="C1370" s="220" t="s">
        <v>54</v>
      </c>
      <c r="D1370" s="220" t="str">
        <f>vlookup(M1370,'Página10'!A:B,2,false)</f>
        <v>INOV00016</v>
      </c>
      <c r="E1370" s="134" t="s">
        <v>146</v>
      </c>
      <c r="F1370" s="221">
        <v>45140.0</v>
      </c>
      <c r="G1370" s="222">
        <v>0.125</v>
      </c>
      <c r="H1370" s="134" t="s">
        <v>411</v>
      </c>
      <c r="I1370" s="223" t="s">
        <v>411</v>
      </c>
      <c r="J1370" s="223" t="b">
        <f t="shared" si="1"/>
        <v>1</v>
      </c>
      <c r="K1370" s="145" t="s">
        <v>1361</v>
      </c>
      <c r="L1370" s="156"/>
      <c r="M1370" s="134" t="s">
        <v>428</v>
      </c>
      <c r="N1370" s="150">
        <f>if(and(O1370=TRUE,P1370=TRUE), VLOOKUP($E1370,PESSOAL!$B$35:$S$45,MONTH($F1370)+6,false)*G1370*24,0)</f>
        <v>268.8929516</v>
      </c>
      <c r="O1370" s="117" t="b">
        <f t="shared" si="2"/>
        <v>1</v>
      </c>
      <c r="P1370" s="117" t="b">
        <v>1</v>
      </c>
      <c r="Q1370" s="117" t="s">
        <v>368</v>
      </c>
    </row>
    <row r="1371" hidden="1">
      <c r="A1371" s="108"/>
      <c r="B1371" s="220"/>
      <c r="C1371" s="220" t="s">
        <v>69</v>
      </c>
      <c r="D1371" s="220" t="str">
        <f>vlookup(M1371,'Página10'!A:B,2,false)</f>
        <v>INOV00041</v>
      </c>
      <c r="E1371" s="134" t="s">
        <v>146</v>
      </c>
      <c r="F1371" s="221">
        <v>45141.0</v>
      </c>
      <c r="G1371" s="222">
        <v>0.041666666666666664</v>
      </c>
      <c r="H1371" s="134" t="s">
        <v>411</v>
      </c>
      <c r="I1371" s="223" t="s">
        <v>411</v>
      </c>
      <c r="J1371" s="223" t="b">
        <f t="shared" si="1"/>
        <v>1</v>
      </c>
      <c r="K1371" s="145" t="s">
        <v>1362</v>
      </c>
      <c r="L1371" s="156"/>
      <c r="M1371" s="134" t="s">
        <v>463</v>
      </c>
      <c r="N1371" s="150">
        <f>if(and(O1371=TRUE,P1371=TRUE), VLOOKUP($E1371,PESSOAL!$B$35:$S$45,MONTH($F1371)+6,false)*G1371*24,0)</f>
        <v>89.63098388</v>
      </c>
      <c r="O1371" s="117" t="b">
        <f t="shared" si="2"/>
        <v>1</v>
      </c>
      <c r="P1371" s="117" t="b">
        <v>1</v>
      </c>
      <c r="Q1371" s="117" t="s">
        <v>368</v>
      </c>
    </row>
    <row r="1372" hidden="1">
      <c r="A1372" s="108"/>
      <c r="B1372" s="220"/>
      <c r="C1372" s="220" t="s">
        <v>55</v>
      </c>
      <c r="D1372" s="220" t="str">
        <f>vlookup(M1372,'Página10'!A:B,2,false)</f>
        <v>INOV00017</v>
      </c>
      <c r="E1372" s="134" t="s">
        <v>146</v>
      </c>
      <c r="F1372" s="221">
        <v>45142.0</v>
      </c>
      <c r="G1372" s="222">
        <v>0.14583333333333334</v>
      </c>
      <c r="H1372" s="134" t="s">
        <v>411</v>
      </c>
      <c r="I1372" s="223" t="s">
        <v>411</v>
      </c>
      <c r="J1372" s="223" t="b">
        <f t="shared" si="1"/>
        <v>1</v>
      </c>
      <c r="K1372" s="145" t="s">
        <v>1363</v>
      </c>
      <c r="L1372" s="156"/>
      <c r="M1372" s="134" t="s">
        <v>429</v>
      </c>
      <c r="N1372" s="150">
        <f>if(and(O1372=TRUE,P1372=TRUE), VLOOKUP($E1372,PESSOAL!$B$35:$S$45,MONTH($F1372)+6,false)*G1372*24,0)</f>
        <v>313.7084436</v>
      </c>
      <c r="O1372" s="117" t="b">
        <f t="shared" si="2"/>
        <v>1</v>
      </c>
      <c r="P1372" s="117" t="b">
        <v>1</v>
      </c>
      <c r="Q1372" s="117" t="s">
        <v>368</v>
      </c>
    </row>
    <row r="1373" hidden="1">
      <c r="A1373" s="108"/>
      <c r="B1373" s="220"/>
      <c r="C1373" s="220" t="s">
        <v>433</v>
      </c>
      <c r="D1373" s="220" t="str">
        <f>vlookup(M1373,'Página10'!A:B,2,false)</f>
        <v>INOV00019</v>
      </c>
      <c r="E1373" s="134" t="s">
        <v>146</v>
      </c>
      <c r="F1373" s="221">
        <v>45142.0</v>
      </c>
      <c r="G1373" s="222">
        <v>0.0625</v>
      </c>
      <c r="H1373" s="134" t="s">
        <v>411</v>
      </c>
      <c r="I1373" s="223" t="s">
        <v>411</v>
      </c>
      <c r="J1373" s="223" t="b">
        <f t="shared" si="1"/>
        <v>1</v>
      </c>
      <c r="K1373" s="145" t="s">
        <v>1364</v>
      </c>
      <c r="L1373" s="156"/>
      <c r="M1373" s="134" t="s">
        <v>432</v>
      </c>
      <c r="N1373" s="150">
        <f>if(and(O1373=TRUE,P1373=TRUE), VLOOKUP($E1373,PESSOAL!$B$35:$S$45,MONTH($F1373)+6,false)*G1373*24,0)</f>
        <v>0</v>
      </c>
      <c r="O1373" s="117" t="b">
        <f t="shared" si="2"/>
        <v>1</v>
      </c>
      <c r="P1373" s="117" t="b">
        <v>0</v>
      </c>
      <c r="Q1373" s="117" t="s">
        <v>368</v>
      </c>
    </row>
    <row r="1374" hidden="1">
      <c r="A1374" s="108"/>
      <c r="B1374" s="220"/>
      <c r="C1374" s="220" t="s">
        <v>290</v>
      </c>
      <c r="D1374" s="220" t="str">
        <f>vlookup(M1374,'Página10'!A:B,2,false)</f>
        <v>INOV00001</v>
      </c>
      <c r="E1374" s="134" t="s">
        <v>146</v>
      </c>
      <c r="F1374" s="221">
        <v>45145.0</v>
      </c>
      <c r="G1374" s="222">
        <v>0.10416666666666667</v>
      </c>
      <c r="H1374" s="134" t="s">
        <v>411</v>
      </c>
      <c r="I1374" s="223" t="s">
        <v>411</v>
      </c>
      <c r="J1374" s="223" t="b">
        <f t="shared" si="1"/>
        <v>1</v>
      </c>
      <c r="K1374" s="145" t="s">
        <v>1365</v>
      </c>
      <c r="L1374" s="156"/>
      <c r="M1374" s="134" t="s">
        <v>416</v>
      </c>
      <c r="N1374" s="150">
        <f>if(and(O1374=TRUE,P1374=TRUE), VLOOKUP($E1374,PESSOAL!$B$35:$S$45,MONTH($F1374)+6,false)*G1374*24,0)</f>
        <v>224.0774597</v>
      </c>
      <c r="O1374" s="117" t="b">
        <f t="shared" si="2"/>
        <v>1</v>
      </c>
      <c r="P1374" s="117" t="b">
        <v>1</v>
      </c>
      <c r="Q1374" s="117" t="s">
        <v>368</v>
      </c>
    </row>
    <row r="1375" hidden="1">
      <c r="A1375" s="108"/>
      <c r="B1375" s="220"/>
      <c r="C1375" s="220" t="s">
        <v>51</v>
      </c>
      <c r="D1375" s="220" t="str">
        <f>vlookup(M1375,'Página10'!A:B,2,false)</f>
        <v>INOV00010</v>
      </c>
      <c r="E1375" s="134" t="s">
        <v>146</v>
      </c>
      <c r="F1375" s="221">
        <v>45145.0</v>
      </c>
      <c r="G1375" s="222">
        <v>0.08333333333333333</v>
      </c>
      <c r="H1375" s="134" t="s">
        <v>411</v>
      </c>
      <c r="I1375" s="223" t="s">
        <v>411</v>
      </c>
      <c r="J1375" s="223" t="b">
        <f t="shared" si="1"/>
        <v>1</v>
      </c>
      <c r="K1375" s="145" t="s">
        <v>1366</v>
      </c>
      <c r="L1375" s="156"/>
      <c r="M1375" s="134" t="s">
        <v>423</v>
      </c>
      <c r="N1375" s="150">
        <f>if(and(O1375=TRUE,P1375=TRUE), VLOOKUP($E1375,PESSOAL!$B$35:$S$45,MONTH($F1375)+6,false)*G1375*24,0)</f>
        <v>179.2619678</v>
      </c>
      <c r="O1375" s="117" t="b">
        <f t="shared" si="2"/>
        <v>1</v>
      </c>
      <c r="P1375" s="117" t="b">
        <v>1</v>
      </c>
      <c r="Q1375" s="117" t="s">
        <v>368</v>
      </c>
    </row>
    <row r="1376" hidden="1">
      <c r="A1376" s="108"/>
      <c r="B1376" s="220"/>
      <c r="C1376" s="220" t="s">
        <v>68</v>
      </c>
      <c r="D1376" s="220" t="str">
        <f>vlookup(M1376,'Página10'!A:B,2,false)</f>
        <v>INOV00040</v>
      </c>
      <c r="E1376" s="134" t="s">
        <v>146</v>
      </c>
      <c r="F1376" s="221">
        <v>45146.0</v>
      </c>
      <c r="G1376" s="222">
        <v>0.10416666666666667</v>
      </c>
      <c r="H1376" s="134" t="s">
        <v>411</v>
      </c>
      <c r="I1376" s="223" t="s">
        <v>411</v>
      </c>
      <c r="J1376" s="223" t="b">
        <f t="shared" si="1"/>
        <v>1</v>
      </c>
      <c r="K1376" s="145" t="s">
        <v>1367</v>
      </c>
      <c r="L1376" s="156"/>
      <c r="M1376" s="134" t="s">
        <v>462</v>
      </c>
      <c r="N1376" s="150">
        <f>if(and(O1376=TRUE,P1376=TRUE), VLOOKUP($E1376,PESSOAL!$B$35:$S$45,MONTH($F1376)+6,false)*G1376*24,0)</f>
        <v>0</v>
      </c>
      <c r="O1376" s="117" t="b">
        <f t="shared" si="2"/>
        <v>1</v>
      </c>
      <c r="P1376" s="117" t="b">
        <v>0</v>
      </c>
      <c r="Q1376" s="117" t="s">
        <v>368</v>
      </c>
    </row>
    <row r="1377" hidden="1">
      <c r="A1377" s="108"/>
      <c r="B1377" s="220"/>
      <c r="C1377" s="220" t="s">
        <v>69</v>
      </c>
      <c r="D1377" s="220" t="str">
        <f>vlookup(M1377,'Página10'!A:B,2,false)</f>
        <v>INOV00041</v>
      </c>
      <c r="E1377" s="134" t="s">
        <v>146</v>
      </c>
      <c r="F1377" s="221">
        <v>45147.0</v>
      </c>
      <c r="G1377" s="222">
        <v>0.375</v>
      </c>
      <c r="H1377" s="134" t="s">
        <v>411</v>
      </c>
      <c r="I1377" s="223" t="s">
        <v>411</v>
      </c>
      <c r="J1377" s="223" t="b">
        <f t="shared" si="1"/>
        <v>1</v>
      </c>
      <c r="K1377" s="145" t="s">
        <v>1368</v>
      </c>
      <c r="L1377" s="156"/>
      <c r="M1377" s="134" t="s">
        <v>463</v>
      </c>
      <c r="N1377" s="150">
        <f>if(and(O1377=TRUE,P1377=TRUE), VLOOKUP($E1377,PESSOAL!$B$35:$S$45,MONTH($F1377)+6,false)*G1377*24,0)</f>
        <v>806.6788549</v>
      </c>
      <c r="O1377" s="117" t="b">
        <f t="shared" si="2"/>
        <v>1</v>
      </c>
      <c r="P1377" s="117" t="b">
        <v>1</v>
      </c>
      <c r="Q1377" s="117" t="s">
        <v>368</v>
      </c>
    </row>
    <row r="1378" hidden="1">
      <c r="A1378" s="108"/>
      <c r="B1378" s="220"/>
      <c r="C1378" s="220" t="s">
        <v>68</v>
      </c>
      <c r="D1378" s="220" t="str">
        <f>vlookup(M1378,'Página10'!A:B,2,false)</f>
        <v>INOV00040</v>
      </c>
      <c r="E1378" s="134" t="s">
        <v>146</v>
      </c>
      <c r="F1378" s="221">
        <v>45148.0</v>
      </c>
      <c r="G1378" s="222">
        <v>0.10416666666666667</v>
      </c>
      <c r="H1378" s="134" t="s">
        <v>411</v>
      </c>
      <c r="I1378" s="223" t="s">
        <v>411</v>
      </c>
      <c r="J1378" s="223" t="b">
        <f t="shared" si="1"/>
        <v>1</v>
      </c>
      <c r="K1378" s="145" t="s">
        <v>1369</v>
      </c>
      <c r="L1378" s="156"/>
      <c r="M1378" s="134" t="s">
        <v>462</v>
      </c>
      <c r="N1378" s="150">
        <f>if(and(O1378=TRUE,P1378=TRUE), VLOOKUP($E1378,PESSOAL!$B$35:$S$45,MONTH($F1378)+6,false)*G1378*24,0)</f>
        <v>0</v>
      </c>
      <c r="O1378" s="117" t="b">
        <f t="shared" si="2"/>
        <v>1</v>
      </c>
      <c r="P1378" s="117" t="b">
        <v>0</v>
      </c>
      <c r="Q1378" s="117" t="s">
        <v>368</v>
      </c>
    </row>
    <row r="1379" hidden="1">
      <c r="A1379" s="108"/>
      <c r="B1379" s="220"/>
      <c r="C1379" s="220" t="s">
        <v>290</v>
      </c>
      <c r="D1379" s="220" t="str">
        <f>vlookup(M1379,'Página10'!A:B,2,false)</f>
        <v>INOV00001</v>
      </c>
      <c r="E1379" s="134" t="s">
        <v>146</v>
      </c>
      <c r="F1379" s="221">
        <v>45148.0</v>
      </c>
      <c r="G1379" s="222">
        <v>0.125</v>
      </c>
      <c r="H1379" s="134" t="s">
        <v>411</v>
      </c>
      <c r="I1379" s="223" t="s">
        <v>411</v>
      </c>
      <c r="J1379" s="223" t="b">
        <f t="shared" si="1"/>
        <v>1</v>
      </c>
      <c r="K1379" s="145" t="s">
        <v>1370</v>
      </c>
      <c r="L1379" s="156"/>
      <c r="M1379" s="134" t="s">
        <v>416</v>
      </c>
      <c r="N1379" s="150">
        <f>if(and(O1379=TRUE,P1379=TRUE), VLOOKUP($E1379,PESSOAL!$B$35:$S$45,MONTH($F1379)+6,false)*G1379*24,0)</f>
        <v>268.8929516</v>
      </c>
      <c r="O1379" s="117" t="b">
        <f t="shared" si="2"/>
        <v>1</v>
      </c>
      <c r="P1379" s="117" t="b">
        <v>1</v>
      </c>
      <c r="Q1379" s="117" t="s">
        <v>368</v>
      </c>
    </row>
    <row r="1380" hidden="1">
      <c r="A1380" s="108"/>
      <c r="B1380" s="220"/>
      <c r="C1380" s="220" t="s">
        <v>290</v>
      </c>
      <c r="D1380" s="220" t="str">
        <f>vlookup(M1380,'Página10'!A:B,2,false)</f>
        <v>INOV00001</v>
      </c>
      <c r="E1380" s="134" t="s">
        <v>146</v>
      </c>
      <c r="F1380" s="221">
        <v>45149.0</v>
      </c>
      <c r="G1380" s="222">
        <v>0.08333333333333333</v>
      </c>
      <c r="H1380" s="134" t="s">
        <v>411</v>
      </c>
      <c r="I1380" s="223" t="s">
        <v>411</v>
      </c>
      <c r="J1380" s="223" t="b">
        <f t="shared" si="1"/>
        <v>1</v>
      </c>
      <c r="K1380" s="145" t="s">
        <v>1371</v>
      </c>
      <c r="L1380" s="156"/>
      <c r="M1380" s="134" t="s">
        <v>416</v>
      </c>
      <c r="N1380" s="150">
        <f>if(and(O1380=TRUE,P1380=TRUE), VLOOKUP($E1380,PESSOAL!$B$35:$S$45,MONTH($F1380)+6,false)*G1380*24,0)</f>
        <v>179.2619678</v>
      </c>
      <c r="O1380" s="117" t="b">
        <f t="shared" si="2"/>
        <v>1</v>
      </c>
      <c r="P1380" s="117" t="b">
        <v>1</v>
      </c>
      <c r="Q1380" s="117" t="s">
        <v>368</v>
      </c>
    </row>
    <row r="1381" hidden="1">
      <c r="A1381" s="108"/>
      <c r="B1381" s="220"/>
      <c r="C1381" s="220" t="s">
        <v>54</v>
      </c>
      <c r="D1381" s="220" t="str">
        <f>vlookup(M1381,'Página10'!A:B,2,false)</f>
        <v>INOV00016</v>
      </c>
      <c r="E1381" s="134" t="s">
        <v>146</v>
      </c>
      <c r="F1381" s="221">
        <v>45152.0</v>
      </c>
      <c r="G1381" s="222">
        <v>0.10416666666666667</v>
      </c>
      <c r="H1381" s="134" t="s">
        <v>411</v>
      </c>
      <c r="I1381" s="223" t="s">
        <v>411</v>
      </c>
      <c r="J1381" s="223" t="b">
        <f t="shared" si="1"/>
        <v>1</v>
      </c>
      <c r="K1381" s="145" t="s">
        <v>1372</v>
      </c>
      <c r="L1381" s="156"/>
      <c r="M1381" s="134" t="s">
        <v>428</v>
      </c>
      <c r="N1381" s="150">
        <f>if(and(O1381=TRUE,P1381=TRUE), VLOOKUP($E1381,PESSOAL!$B$35:$S$45,MONTH($F1381)+6,false)*G1381*24,0)</f>
        <v>224.0774597</v>
      </c>
      <c r="O1381" s="117" t="b">
        <f t="shared" si="2"/>
        <v>1</v>
      </c>
      <c r="P1381" s="117" t="b">
        <v>1</v>
      </c>
      <c r="Q1381" s="117" t="s">
        <v>368</v>
      </c>
    </row>
    <row r="1382" hidden="1">
      <c r="A1382" s="108"/>
      <c r="B1382" s="220"/>
      <c r="C1382" s="220" t="s">
        <v>435</v>
      </c>
      <c r="D1382" s="220" t="str">
        <f>vlookup(M1382,'Página10'!A:B,2,false)</f>
        <v>INOV00020</v>
      </c>
      <c r="E1382" s="134" t="s">
        <v>146</v>
      </c>
      <c r="F1382" s="221">
        <v>45154.0</v>
      </c>
      <c r="G1382" s="222">
        <v>0.10416666666666667</v>
      </c>
      <c r="H1382" s="134" t="s">
        <v>411</v>
      </c>
      <c r="I1382" s="223" t="s">
        <v>411</v>
      </c>
      <c r="J1382" s="223" t="b">
        <f t="shared" si="1"/>
        <v>1</v>
      </c>
      <c r="K1382" s="145" t="s">
        <v>1373</v>
      </c>
      <c r="L1382" s="156"/>
      <c r="M1382" s="134" t="s">
        <v>434</v>
      </c>
      <c r="N1382" s="150">
        <f>if(and(O1382=TRUE,P1382=TRUE), VLOOKUP($E1382,PESSOAL!$B$35:$S$45,MONTH($F1382)+6,false)*G1382*24,0)</f>
        <v>0</v>
      </c>
      <c r="O1382" s="117" t="b">
        <f t="shared" si="2"/>
        <v>1</v>
      </c>
      <c r="P1382" s="117" t="b">
        <v>0</v>
      </c>
      <c r="Q1382" s="117" t="s">
        <v>368</v>
      </c>
    </row>
    <row r="1383" hidden="1">
      <c r="A1383" s="108"/>
      <c r="B1383" s="220"/>
      <c r="C1383" s="220" t="s">
        <v>56</v>
      </c>
      <c r="D1383" s="220" t="str">
        <f>vlookup(M1383,'Página10'!A:B,2,false)</f>
        <v>INOV00021</v>
      </c>
      <c r="E1383" s="134" t="s">
        <v>146</v>
      </c>
      <c r="F1383" s="221">
        <v>45154.0</v>
      </c>
      <c r="G1383" s="222">
        <v>0.08333333333333333</v>
      </c>
      <c r="H1383" s="134" t="s">
        <v>411</v>
      </c>
      <c r="I1383" s="223" t="s">
        <v>411</v>
      </c>
      <c r="J1383" s="223" t="b">
        <f t="shared" si="1"/>
        <v>1</v>
      </c>
      <c r="K1383" s="145" t="s">
        <v>1374</v>
      </c>
      <c r="L1383" s="156"/>
      <c r="M1383" s="134" t="s">
        <v>436</v>
      </c>
      <c r="N1383" s="150">
        <f>if(and(O1383=TRUE,P1383=TRUE), VLOOKUP($E1383,PESSOAL!$B$35:$S$45,MONTH($F1383)+6,false)*G1383*24,0)</f>
        <v>179.2619678</v>
      </c>
      <c r="O1383" s="117" t="b">
        <f t="shared" si="2"/>
        <v>1</v>
      </c>
      <c r="P1383" s="117" t="b">
        <v>1</v>
      </c>
      <c r="Q1383" s="117" t="s">
        <v>368</v>
      </c>
    </row>
    <row r="1384" hidden="1">
      <c r="A1384" s="108"/>
      <c r="B1384" s="220"/>
      <c r="C1384" s="220" t="s">
        <v>290</v>
      </c>
      <c r="D1384" s="220" t="str">
        <f>vlookup(M1384,'Página10'!A:B,2,false)</f>
        <v>INOV00001</v>
      </c>
      <c r="E1384" s="134" t="s">
        <v>146</v>
      </c>
      <c r="F1384" s="221">
        <v>45154.0</v>
      </c>
      <c r="G1384" s="222">
        <v>0.125</v>
      </c>
      <c r="H1384" s="134" t="s">
        <v>411</v>
      </c>
      <c r="I1384" s="223" t="s">
        <v>411</v>
      </c>
      <c r="J1384" s="223" t="b">
        <f t="shared" si="1"/>
        <v>1</v>
      </c>
      <c r="K1384" s="145" t="s">
        <v>1375</v>
      </c>
      <c r="L1384" s="156"/>
      <c r="M1384" s="134" t="s">
        <v>416</v>
      </c>
      <c r="N1384" s="150">
        <f>if(and(O1384=TRUE,P1384=TRUE), VLOOKUP($E1384,PESSOAL!$B$35:$S$45,MONTH($F1384)+6,false)*G1384*24,0)</f>
        <v>268.8929516</v>
      </c>
      <c r="O1384" s="117" t="b">
        <f t="shared" si="2"/>
        <v>1</v>
      </c>
      <c r="P1384" s="117" t="b">
        <v>1</v>
      </c>
      <c r="Q1384" s="117" t="s">
        <v>368</v>
      </c>
    </row>
    <row r="1385" hidden="1">
      <c r="A1385" s="108"/>
      <c r="B1385" s="220"/>
      <c r="C1385" s="220" t="s">
        <v>55</v>
      </c>
      <c r="D1385" s="220" t="str">
        <f>vlookup(M1385,'Página10'!A:B,2,false)</f>
        <v>INOV00017</v>
      </c>
      <c r="E1385" s="134" t="s">
        <v>146</v>
      </c>
      <c r="F1385" s="221">
        <v>45155.0</v>
      </c>
      <c r="G1385" s="222">
        <v>0.08333333333333333</v>
      </c>
      <c r="H1385" s="134" t="s">
        <v>411</v>
      </c>
      <c r="I1385" s="223" t="s">
        <v>411</v>
      </c>
      <c r="J1385" s="223" t="b">
        <f t="shared" si="1"/>
        <v>1</v>
      </c>
      <c r="K1385" s="145" t="s">
        <v>1376</v>
      </c>
      <c r="L1385" s="156"/>
      <c r="M1385" s="134" t="s">
        <v>429</v>
      </c>
      <c r="N1385" s="150">
        <f>if(and(O1385=TRUE,P1385=TRUE), VLOOKUP($E1385,PESSOAL!$B$35:$S$45,MONTH($F1385)+6,false)*G1385*24,0)</f>
        <v>179.2619678</v>
      </c>
      <c r="O1385" s="117" t="b">
        <f t="shared" si="2"/>
        <v>1</v>
      </c>
      <c r="P1385" s="117" t="b">
        <v>1</v>
      </c>
      <c r="Q1385" s="117" t="s">
        <v>368</v>
      </c>
    </row>
    <row r="1386" hidden="1">
      <c r="A1386" s="108"/>
      <c r="B1386" s="220"/>
      <c r="C1386" s="220" t="s">
        <v>290</v>
      </c>
      <c r="D1386" s="220" t="str">
        <f>vlookup(M1386,'Página10'!A:B,2,false)</f>
        <v>INOV00001</v>
      </c>
      <c r="E1386" s="134" t="s">
        <v>146</v>
      </c>
      <c r="F1386" s="221">
        <v>45155.0</v>
      </c>
      <c r="G1386" s="222">
        <v>0.041666666666666664</v>
      </c>
      <c r="H1386" s="134" t="s">
        <v>411</v>
      </c>
      <c r="I1386" s="223" t="s">
        <v>411</v>
      </c>
      <c r="J1386" s="223" t="b">
        <f t="shared" si="1"/>
        <v>1</v>
      </c>
      <c r="K1386" s="145" t="s">
        <v>1377</v>
      </c>
      <c r="L1386" s="156"/>
      <c r="M1386" s="134" t="s">
        <v>416</v>
      </c>
      <c r="N1386" s="150">
        <f>if(and(O1386=TRUE,P1386=TRUE), VLOOKUP($E1386,PESSOAL!$B$35:$S$45,MONTH($F1386)+6,false)*G1386*24,0)</f>
        <v>89.63098388</v>
      </c>
      <c r="O1386" s="117" t="b">
        <f t="shared" si="2"/>
        <v>1</v>
      </c>
      <c r="P1386" s="117" t="b">
        <v>1</v>
      </c>
      <c r="Q1386" s="117" t="s">
        <v>368</v>
      </c>
    </row>
    <row r="1387" hidden="1">
      <c r="A1387" s="108"/>
      <c r="B1387" s="220"/>
      <c r="C1387" s="220" t="s">
        <v>433</v>
      </c>
      <c r="D1387" s="220" t="str">
        <f>vlookup(M1387,'Página10'!A:B,2,false)</f>
        <v>INOV00019</v>
      </c>
      <c r="E1387" s="134" t="s">
        <v>146</v>
      </c>
      <c r="F1387" s="221">
        <v>45156.0</v>
      </c>
      <c r="G1387" s="222">
        <v>0.08333333333333333</v>
      </c>
      <c r="H1387" s="134" t="s">
        <v>411</v>
      </c>
      <c r="I1387" s="223" t="s">
        <v>411</v>
      </c>
      <c r="J1387" s="223" t="b">
        <f t="shared" si="1"/>
        <v>1</v>
      </c>
      <c r="K1387" s="145" t="s">
        <v>1378</v>
      </c>
      <c r="L1387" s="156"/>
      <c r="M1387" s="134" t="s">
        <v>432</v>
      </c>
      <c r="N1387" s="150">
        <f>if(and(O1387=TRUE,P1387=TRUE), VLOOKUP($E1387,PESSOAL!$B$35:$S$45,MONTH($F1387)+6,false)*G1387*24,0)</f>
        <v>0</v>
      </c>
      <c r="O1387" s="117" t="b">
        <f t="shared" si="2"/>
        <v>1</v>
      </c>
      <c r="P1387" s="117" t="b">
        <v>0</v>
      </c>
      <c r="Q1387" s="117" t="s">
        <v>368</v>
      </c>
    </row>
    <row r="1388" hidden="1">
      <c r="A1388" s="108"/>
      <c r="B1388" s="220"/>
      <c r="C1388" s="220" t="s">
        <v>69</v>
      </c>
      <c r="D1388" s="220" t="str">
        <f>vlookup(M1388,'Página10'!A:B,2,false)</f>
        <v>INOV00041</v>
      </c>
      <c r="E1388" s="134" t="s">
        <v>146</v>
      </c>
      <c r="F1388" s="221">
        <v>45159.0</v>
      </c>
      <c r="G1388" s="222">
        <v>0.041666666666666664</v>
      </c>
      <c r="H1388" s="134" t="s">
        <v>411</v>
      </c>
      <c r="I1388" s="223" t="s">
        <v>411</v>
      </c>
      <c r="J1388" s="223" t="b">
        <f t="shared" si="1"/>
        <v>1</v>
      </c>
      <c r="K1388" s="145" t="s">
        <v>1379</v>
      </c>
      <c r="L1388" s="156"/>
      <c r="M1388" s="134" t="s">
        <v>463</v>
      </c>
      <c r="N1388" s="150">
        <f>if(and(O1388=TRUE,P1388=TRUE), VLOOKUP($E1388,PESSOAL!$B$35:$S$45,MONTH($F1388)+6,false)*G1388*24,0)</f>
        <v>89.63098388</v>
      </c>
      <c r="O1388" s="117" t="b">
        <f t="shared" si="2"/>
        <v>1</v>
      </c>
      <c r="P1388" s="117" t="b">
        <v>1</v>
      </c>
      <c r="Q1388" s="117" t="s">
        <v>368</v>
      </c>
    </row>
    <row r="1389" hidden="1">
      <c r="A1389" s="108"/>
      <c r="B1389" s="220"/>
      <c r="C1389" s="220" t="s">
        <v>290</v>
      </c>
      <c r="D1389" s="220" t="str">
        <f>vlookup(M1389,'Página10'!A:B,2,false)</f>
        <v>INOV00001</v>
      </c>
      <c r="E1389" s="134" t="s">
        <v>146</v>
      </c>
      <c r="F1389" s="221">
        <v>45159.0</v>
      </c>
      <c r="G1389" s="222">
        <v>0.08333333333333333</v>
      </c>
      <c r="H1389" s="134" t="s">
        <v>475</v>
      </c>
      <c r="I1389" s="223" t="s">
        <v>475</v>
      </c>
      <c r="J1389" s="223" t="b">
        <f t="shared" si="1"/>
        <v>1</v>
      </c>
      <c r="K1389" s="145" t="s">
        <v>1380</v>
      </c>
      <c r="L1389" s="156"/>
      <c r="M1389" s="134" t="s">
        <v>416</v>
      </c>
      <c r="N1389" s="150">
        <f>if(and(O1389=TRUE,P1389=TRUE), VLOOKUP($E1389,PESSOAL!$B$35:$S$45,MONTH($F1389)+6,false)*G1389*24,0)</f>
        <v>179.2619678</v>
      </c>
      <c r="O1389" s="117" t="b">
        <f t="shared" si="2"/>
        <v>1</v>
      </c>
      <c r="P1389" s="117" t="b">
        <v>1</v>
      </c>
      <c r="Q1389" s="117" t="s">
        <v>368</v>
      </c>
    </row>
    <row r="1390" hidden="1">
      <c r="A1390" s="108"/>
      <c r="B1390" s="220"/>
      <c r="C1390" s="220" t="s">
        <v>290</v>
      </c>
      <c r="D1390" s="220" t="str">
        <f>vlookup(M1390,'Página10'!A:B,2,false)</f>
        <v>INOV00001</v>
      </c>
      <c r="E1390" s="134" t="s">
        <v>146</v>
      </c>
      <c r="F1390" s="221">
        <v>45160.0</v>
      </c>
      <c r="G1390" s="222">
        <v>0.08333333333333333</v>
      </c>
      <c r="H1390" s="134" t="s">
        <v>411</v>
      </c>
      <c r="I1390" s="223" t="s">
        <v>411</v>
      </c>
      <c r="J1390" s="223" t="b">
        <f t="shared" si="1"/>
        <v>1</v>
      </c>
      <c r="K1390" s="145" t="s">
        <v>1365</v>
      </c>
      <c r="L1390" s="156"/>
      <c r="M1390" s="134" t="s">
        <v>416</v>
      </c>
      <c r="N1390" s="150">
        <f>if(and(O1390=TRUE,P1390=TRUE), VLOOKUP($E1390,PESSOAL!$B$35:$S$45,MONTH($F1390)+6,false)*G1390*24,0)</f>
        <v>179.2619678</v>
      </c>
      <c r="O1390" s="117" t="b">
        <f t="shared" si="2"/>
        <v>1</v>
      </c>
      <c r="P1390" s="117" t="b">
        <v>1</v>
      </c>
      <c r="Q1390" s="117" t="s">
        <v>368</v>
      </c>
    </row>
    <row r="1391" hidden="1">
      <c r="A1391" s="108"/>
      <c r="B1391" s="220"/>
      <c r="C1391" s="220" t="s">
        <v>290</v>
      </c>
      <c r="D1391" s="220" t="str">
        <f>vlookup(M1391,'Página10'!A:B,2,false)</f>
        <v>INOV00001</v>
      </c>
      <c r="E1391" s="134" t="s">
        <v>146</v>
      </c>
      <c r="F1391" s="221">
        <v>45162.0</v>
      </c>
      <c r="G1391" s="222">
        <v>0.10416666666666667</v>
      </c>
      <c r="H1391" s="134" t="s">
        <v>474</v>
      </c>
      <c r="I1391" s="223" t="s">
        <v>474</v>
      </c>
      <c r="J1391" s="223" t="b">
        <f t="shared" si="1"/>
        <v>1</v>
      </c>
      <c r="K1391" s="145" t="s">
        <v>1381</v>
      </c>
      <c r="L1391" s="156"/>
      <c r="M1391" s="134" t="s">
        <v>416</v>
      </c>
      <c r="N1391" s="150">
        <f>if(and(O1391=TRUE,P1391=TRUE), VLOOKUP($E1391,PESSOAL!$B$35:$S$45,MONTH($F1391)+6,false)*G1391*24,0)</f>
        <v>224.0774597</v>
      </c>
      <c r="O1391" s="117" t="b">
        <f t="shared" si="2"/>
        <v>1</v>
      </c>
      <c r="P1391" s="117" t="b">
        <v>1</v>
      </c>
      <c r="Q1391" s="117" t="s">
        <v>368</v>
      </c>
    </row>
    <row r="1392" hidden="1">
      <c r="A1392" s="108"/>
      <c r="B1392" s="220"/>
      <c r="C1392" s="220" t="s">
        <v>290</v>
      </c>
      <c r="D1392" s="220" t="str">
        <f>vlookup(M1392,'Página10'!A:B,2,false)</f>
        <v>INOV00001</v>
      </c>
      <c r="E1392" s="134" t="s">
        <v>146</v>
      </c>
      <c r="F1392" s="221">
        <v>45163.0</v>
      </c>
      <c r="G1392" s="222">
        <v>0.11458333333333333</v>
      </c>
      <c r="H1392" s="134" t="s">
        <v>475</v>
      </c>
      <c r="I1392" s="223" t="s">
        <v>475</v>
      </c>
      <c r="J1392" s="223" t="b">
        <f t="shared" si="1"/>
        <v>1</v>
      </c>
      <c r="K1392" s="145" t="s">
        <v>1382</v>
      </c>
      <c r="L1392" s="156"/>
      <c r="M1392" s="134" t="s">
        <v>416</v>
      </c>
      <c r="N1392" s="150">
        <f>if(and(O1392=TRUE,P1392=TRUE), VLOOKUP($E1392,PESSOAL!$B$35:$S$45,MONTH($F1392)+6,false)*G1392*24,0)</f>
        <v>246.4852057</v>
      </c>
      <c r="O1392" s="117" t="b">
        <f t="shared" si="2"/>
        <v>1</v>
      </c>
      <c r="P1392" s="117" t="b">
        <v>1</v>
      </c>
      <c r="Q1392" s="117" t="s">
        <v>368</v>
      </c>
    </row>
    <row r="1393" hidden="1">
      <c r="A1393" s="108"/>
      <c r="B1393" s="220"/>
      <c r="C1393" s="220" t="s">
        <v>68</v>
      </c>
      <c r="D1393" s="220" t="str">
        <f>vlookup(M1393,'Página10'!A:B,2,false)</f>
        <v>INOV00040</v>
      </c>
      <c r="E1393" s="134" t="s">
        <v>146</v>
      </c>
      <c r="F1393" s="221">
        <v>45163.0</v>
      </c>
      <c r="G1393" s="222">
        <v>0.041666666666666664</v>
      </c>
      <c r="H1393" s="134" t="s">
        <v>411</v>
      </c>
      <c r="I1393" s="223" t="s">
        <v>411</v>
      </c>
      <c r="J1393" s="223" t="b">
        <f t="shared" si="1"/>
        <v>1</v>
      </c>
      <c r="K1393" s="145" t="s">
        <v>1383</v>
      </c>
      <c r="L1393" s="156"/>
      <c r="M1393" s="134" t="s">
        <v>462</v>
      </c>
      <c r="N1393" s="150">
        <f>if(and(O1393=TRUE,P1393=TRUE), VLOOKUP($E1393,PESSOAL!$B$35:$S$45,MONTH($F1393)+6,false)*G1393*24,0)</f>
        <v>0</v>
      </c>
      <c r="O1393" s="117" t="b">
        <f t="shared" si="2"/>
        <v>1</v>
      </c>
      <c r="P1393" s="117" t="b">
        <v>0</v>
      </c>
      <c r="Q1393" s="117" t="s">
        <v>368</v>
      </c>
    </row>
    <row r="1394" hidden="1">
      <c r="A1394" s="108"/>
      <c r="B1394" s="220"/>
      <c r="C1394" s="220" t="s">
        <v>56</v>
      </c>
      <c r="D1394" s="220" t="str">
        <f>vlookup(M1394,'Página10'!A:B,2,false)</f>
        <v>INOV00021</v>
      </c>
      <c r="E1394" s="134" t="s">
        <v>146</v>
      </c>
      <c r="F1394" s="221">
        <v>45163.0</v>
      </c>
      <c r="G1394" s="222">
        <v>0.08333333333333333</v>
      </c>
      <c r="H1394" s="134" t="s">
        <v>411</v>
      </c>
      <c r="I1394" s="223" t="s">
        <v>411</v>
      </c>
      <c r="J1394" s="223" t="b">
        <f t="shared" si="1"/>
        <v>1</v>
      </c>
      <c r="K1394" s="145" t="s">
        <v>1374</v>
      </c>
      <c r="L1394" s="156"/>
      <c r="M1394" s="134" t="s">
        <v>436</v>
      </c>
      <c r="N1394" s="150">
        <f>if(and(O1394=TRUE,P1394=TRUE), VLOOKUP($E1394,PESSOAL!$B$35:$S$45,MONTH($F1394)+6,false)*G1394*24,0)</f>
        <v>179.2619678</v>
      </c>
      <c r="O1394" s="117" t="b">
        <f t="shared" si="2"/>
        <v>1</v>
      </c>
      <c r="P1394" s="117" t="b">
        <v>1</v>
      </c>
      <c r="Q1394" s="117" t="s">
        <v>368</v>
      </c>
    </row>
    <row r="1395" hidden="1">
      <c r="A1395" s="108"/>
      <c r="B1395" s="220"/>
      <c r="C1395" s="220" t="s">
        <v>68</v>
      </c>
      <c r="D1395" s="220" t="str">
        <f>vlookup(M1395,'Página10'!A:B,2,false)</f>
        <v>INOV00040</v>
      </c>
      <c r="E1395" s="134" t="s">
        <v>146</v>
      </c>
      <c r="F1395" s="221">
        <v>45166.0</v>
      </c>
      <c r="G1395" s="222">
        <v>0.0625</v>
      </c>
      <c r="H1395" s="134" t="s">
        <v>411</v>
      </c>
      <c r="I1395" s="223" t="s">
        <v>411</v>
      </c>
      <c r="J1395" s="223" t="b">
        <f t="shared" si="1"/>
        <v>1</v>
      </c>
      <c r="K1395" s="145" t="s">
        <v>1384</v>
      </c>
      <c r="L1395" s="156"/>
      <c r="M1395" s="134" t="s">
        <v>462</v>
      </c>
      <c r="N1395" s="150">
        <f>if(and(O1395=TRUE,P1395=TRUE), VLOOKUP($E1395,PESSOAL!$B$35:$S$45,MONTH($F1395)+6,false)*G1395*24,0)</f>
        <v>0</v>
      </c>
      <c r="O1395" s="117" t="b">
        <f t="shared" si="2"/>
        <v>1</v>
      </c>
      <c r="P1395" s="117" t="b">
        <v>0</v>
      </c>
      <c r="Q1395" s="117" t="s">
        <v>368</v>
      </c>
    </row>
    <row r="1396" hidden="1">
      <c r="A1396" s="108"/>
      <c r="B1396" s="220"/>
      <c r="C1396" s="220" t="s">
        <v>49</v>
      </c>
      <c r="D1396" s="220" t="str">
        <f>vlookup(M1396,'Página10'!A:B,2,false)</f>
        <v>INOV00004</v>
      </c>
      <c r="E1396" s="134" t="s">
        <v>146</v>
      </c>
      <c r="F1396" s="221">
        <v>45166.0</v>
      </c>
      <c r="G1396" s="222">
        <v>0.10416666666666667</v>
      </c>
      <c r="H1396" s="134" t="s">
        <v>411</v>
      </c>
      <c r="I1396" s="223" t="s">
        <v>411</v>
      </c>
      <c r="J1396" s="223" t="b">
        <f t="shared" si="1"/>
        <v>1</v>
      </c>
      <c r="K1396" s="145" t="s">
        <v>1385</v>
      </c>
      <c r="L1396" s="156"/>
      <c r="M1396" s="134" t="s">
        <v>421</v>
      </c>
      <c r="N1396" s="150">
        <f>if(and(O1396=TRUE,P1396=TRUE), VLOOKUP($E1396,PESSOAL!$B$35:$S$45,MONTH($F1396)+6,false)*G1396*24,0)</f>
        <v>224.0774597</v>
      </c>
      <c r="O1396" s="117" t="b">
        <f t="shared" si="2"/>
        <v>1</v>
      </c>
      <c r="P1396" s="117" t="b">
        <v>1</v>
      </c>
      <c r="Q1396" s="117" t="s">
        <v>368</v>
      </c>
    </row>
    <row r="1397" hidden="1">
      <c r="A1397" s="108"/>
      <c r="B1397" s="220"/>
      <c r="C1397" s="220" t="str">
        <f t="shared" ref="C1397:C1505" si="5">D1397</f>
        <v>INOV00001</v>
      </c>
      <c r="D1397" s="220" t="str">
        <f>vlookup(M1397,'Página10'!A:B,2,false)</f>
        <v>INOV00001</v>
      </c>
      <c r="E1397" s="134" t="s">
        <v>110</v>
      </c>
      <c r="F1397" s="221">
        <v>45110.0</v>
      </c>
      <c r="G1397" s="222">
        <v>0.07291666666666667</v>
      </c>
      <c r="H1397" s="134" t="s">
        <v>411</v>
      </c>
      <c r="I1397" s="223" t="s">
        <v>411</v>
      </c>
      <c r="J1397" s="223" t="b">
        <f t="shared" si="1"/>
        <v>1</v>
      </c>
      <c r="K1397" s="145" t="s">
        <v>1386</v>
      </c>
      <c r="L1397" s="156"/>
      <c r="M1397" s="134" t="s">
        <v>416</v>
      </c>
      <c r="N1397" s="150">
        <f>if(and(O1397=TRUE,P1397=TRUE), VLOOKUP($E1397,PESSOAL!$B$35:$S$45,MONTH($F1397)+6,false)*G1397*24,0)</f>
        <v>115.7495201</v>
      </c>
      <c r="O1397" s="117" t="b">
        <f t="shared" si="2"/>
        <v>1</v>
      </c>
      <c r="P1397" s="117" t="b">
        <v>1</v>
      </c>
      <c r="Q1397" s="117" t="s">
        <v>368</v>
      </c>
    </row>
    <row r="1398" hidden="1">
      <c r="A1398" s="108"/>
      <c r="B1398" s="220"/>
      <c r="C1398" s="220" t="str">
        <f t="shared" si="5"/>
        <v>INOV00041</v>
      </c>
      <c r="D1398" s="220" t="str">
        <f>vlookup(M1398,'Página10'!A:B,2,false)</f>
        <v>INOV00041</v>
      </c>
      <c r="E1398" s="134" t="s">
        <v>110</v>
      </c>
      <c r="F1398" s="221">
        <v>45110.0</v>
      </c>
      <c r="G1398" s="222">
        <v>0.10416666666666667</v>
      </c>
      <c r="H1398" s="134" t="s">
        <v>475</v>
      </c>
      <c r="I1398" s="223" t="s">
        <v>475</v>
      </c>
      <c r="J1398" s="223" t="b">
        <f t="shared" si="1"/>
        <v>1</v>
      </c>
      <c r="K1398" s="145" t="s">
        <v>1387</v>
      </c>
      <c r="L1398" s="156"/>
      <c r="M1398" s="134" t="s">
        <v>1388</v>
      </c>
      <c r="N1398" s="150">
        <f>if(and(O1398=TRUE,P1398=TRUE), VLOOKUP($E1398,PESSOAL!$B$35:$S$45,MONTH($F1398)+6,false)*G1398*24,0)</f>
        <v>165.3564573</v>
      </c>
      <c r="O1398" s="117" t="b">
        <f t="shared" si="2"/>
        <v>1</v>
      </c>
      <c r="P1398" s="117" t="b">
        <v>1</v>
      </c>
      <c r="Q1398" s="117" t="s">
        <v>368</v>
      </c>
    </row>
    <row r="1399" hidden="1">
      <c r="A1399" s="108"/>
      <c r="B1399" s="220"/>
      <c r="C1399" s="220" t="str">
        <f t="shared" si="5"/>
        <v>INOV00021</v>
      </c>
      <c r="D1399" s="220" t="str">
        <f>vlookup(M1399,'Página10'!A:B,2,false)</f>
        <v>INOV00021</v>
      </c>
      <c r="E1399" s="134" t="s">
        <v>110</v>
      </c>
      <c r="F1399" s="221">
        <v>45110.0</v>
      </c>
      <c r="G1399" s="222">
        <v>0.0625</v>
      </c>
      <c r="H1399" s="134" t="s">
        <v>411</v>
      </c>
      <c r="I1399" s="223" t="s">
        <v>411</v>
      </c>
      <c r="J1399" s="223" t="b">
        <f t="shared" si="1"/>
        <v>1</v>
      </c>
      <c r="K1399" s="145" t="s">
        <v>1389</v>
      </c>
      <c r="L1399" s="156"/>
      <c r="M1399" s="134" t="s">
        <v>436</v>
      </c>
      <c r="N1399" s="150">
        <f>if(and(O1399=TRUE,P1399=TRUE), VLOOKUP($E1399,PESSOAL!$B$35:$S$45,MONTH($F1399)+6,false)*G1399*24,0)</f>
        <v>99.2138744</v>
      </c>
      <c r="O1399" s="117" t="b">
        <f t="shared" si="2"/>
        <v>1</v>
      </c>
      <c r="P1399" s="117" t="b">
        <v>1</v>
      </c>
      <c r="Q1399" s="117" t="s">
        <v>368</v>
      </c>
    </row>
    <row r="1400" hidden="1">
      <c r="A1400" s="108"/>
      <c r="B1400" s="220"/>
      <c r="C1400" s="220" t="str">
        <f t="shared" si="5"/>
        <v>INOV00001</v>
      </c>
      <c r="D1400" s="220" t="str">
        <f>vlookup(M1400,'Página10'!A:B,2,false)</f>
        <v>INOV00001</v>
      </c>
      <c r="E1400" s="134" t="s">
        <v>110</v>
      </c>
      <c r="F1400" s="221">
        <v>45111.0</v>
      </c>
      <c r="G1400" s="222">
        <v>0.10416666666666667</v>
      </c>
      <c r="H1400" s="134" t="s">
        <v>411</v>
      </c>
      <c r="I1400" s="223" t="s">
        <v>411</v>
      </c>
      <c r="J1400" s="223" t="b">
        <f t="shared" si="1"/>
        <v>1</v>
      </c>
      <c r="K1400" s="145" t="s">
        <v>1390</v>
      </c>
      <c r="L1400" s="156"/>
      <c r="M1400" s="134" t="s">
        <v>416</v>
      </c>
      <c r="N1400" s="150">
        <f>if(and(O1400=TRUE,P1400=TRUE), VLOOKUP($E1400,PESSOAL!$B$35:$S$45,MONTH($F1400)+6,false)*G1400*24,0)</f>
        <v>165.3564573</v>
      </c>
      <c r="O1400" s="117" t="b">
        <f t="shared" si="2"/>
        <v>1</v>
      </c>
      <c r="P1400" s="117" t="b">
        <v>1</v>
      </c>
      <c r="Q1400" s="117" t="s">
        <v>368</v>
      </c>
    </row>
    <row r="1401" hidden="1">
      <c r="A1401" s="108"/>
      <c r="B1401" s="220"/>
      <c r="C1401" s="220" t="str">
        <f t="shared" si="5"/>
        <v>INOV00021</v>
      </c>
      <c r="D1401" s="220" t="str">
        <f>vlookup(M1401,'Página10'!A:B,2,false)</f>
        <v>INOV00021</v>
      </c>
      <c r="E1401" s="134" t="s">
        <v>110</v>
      </c>
      <c r="F1401" s="221">
        <v>45111.0</v>
      </c>
      <c r="G1401" s="222">
        <v>0.0625</v>
      </c>
      <c r="H1401" s="134" t="s">
        <v>411</v>
      </c>
      <c r="I1401" s="223" t="s">
        <v>411</v>
      </c>
      <c r="J1401" s="223" t="b">
        <f t="shared" si="1"/>
        <v>1</v>
      </c>
      <c r="K1401" s="145" t="s">
        <v>1389</v>
      </c>
      <c r="L1401" s="156"/>
      <c r="M1401" s="134" t="s">
        <v>436</v>
      </c>
      <c r="N1401" s="150">
        <f>if(and(O1401=TRUE,P1401=TRUE), VLOOKUP($E1401,PESSOAL!$B$35:$S$45,MONTH($F1401)+6,false)*G1401*24,0)</f>
        <v>99.2138744</v>
      </c>
      <c r="O1401" s="117" t="b">
        <f t="shared" si="2"/>
        <v>1</v>
      </c>
      <c r="P1401" s="117" t="b">
        <v>1</v>
      </c>
      <c r="Q1401" s="117" t="s">
        <v>368</v>
      </c>
    </row>
    <row r="1402" hidden="1">
      <c r="A1402" s="108"/>
      <c r="B1402" s="220"/>
      <c r="C1402" s="220" t="str">
        <f t="shared" si="5"/>
        <v>INOV00001</v>
      </c>
      <c r="D1402" s="220" t="str">
        <f>vlookup(M1402,'Página10'!A:B,2,false)</f>
        <v>INOV00001</v>
      </c>
      <c r="E1402" s="134" t="s">
        <v>110</v>
      </c>
      <c r="F1402" s="221">
        <v>45112.0</v>
      </c>
      <c r="G1402" s="222">
        <v>0.21875</v>
      </c>
      <c r="H1402" s="134" t="s">
        <v>411</v>
      </c>
      <c r="I1402" s="223" t="s">
        <v>411</v>
      </c>
      <c r="J1402" s="223" t="b">
        <f t="shared" si="1"/>
        <v>1</v>
      </c>
      <c r="K1402" s="145" t="s">
        <v>1391</v>
      </c>
      <c r="L1402" s="156"/>
      <c r="M1402" s="134" t="s">
        <v>416</v>
      </c>
      <c r="N1402" s="150">
        <f>if(and(O1402=TRUE,P1402=TRUE), VLOOKUP($E1402,PESSOAL!$B$35:$S$45,MONTH($F1402)+6,false)*G1402*24,0)</f>
        <v>347.2485604</v>
      </c>
      <c r="O1402" s="117" t="b">
        <f t="shared" si="2"/>
        <v>1</v>
      </c>
      <c r="P1402" s="117" t="b">
        <v>1</v>
      </c>
      <c r="Q1402" s="117" t="s">
        <v>368</v>
      </c>
    </row>
    <row r="1403" hidden="1">
      <c r="A1403" s="108"/>
      <c r="B1403" s="220"/>
      <c r="C1403" s="220" t="str">
        <f t="shared" si="5"/>
        <v>INOV00001</v>
      </c>
      <c r="D1403" s="220" t="str">
        <f>vlookup(M1403,'Página10'!A:B,2,false)</f>
        <v>INOV00001</v>
      </c>
      <c r="E1403" s="134" t="s">
        <v>110</v>
      </c>
      <c r="F1403" s="221">
        <v>45112.0</v>
      </c>
      <c r="G1403" s="222">
        <v>0.0625</v>
      </c>
      <c r="H1403" s="134" t="s">
        <v>411</v>
      </c>
      <c r="I1403" s="223" t="s">
        <v>411</v>
      </c>
      <c r="J1403" s="223" t="b">
        <f t="shared" si="1"/>
        <v>1</v>
      </c>
      <c r="K1403" s="145" t="s">
        <v>789</v>
      </c>
      <c r="L1403" s="156"/>
      <c r="M1403" s="134" t="s">
        <v>416</v>
      </c>
      <c r="N1403" s="150">
        <f>if(and(O1403=TRUE,P1403=TRUE), VLOOKUP($E1403,PESSOAL!$B$35:$S$45,MONTH($F1403)+6,false)*G1403*24,0)</f>
        <v>99.2138744</v>
      </c>
      <c r="O1403" s="117" t="b">
        <f t="shared" si="2"/>
        <v>1</v>
      </c>
      <c r="P1403" s="117" t="b">
        <v>1</v>
      </c>
      <c r="Q1403" s="117" t="s">
        <v>368</v>
      </c>
    </row>
    <row r="1404" hidden="1">
      <c r="A1404" s="108"/>
      <c r="B1404" s="220"/>
      <c r="C1404" s="220" t="str">
        <f t="shared" si="5"/>
        <v>INOV00001</v>
      </c>
      <c r="D1404" s="220" t="str">
        <f>vlookup(M1404,'Página10'!A:B,2,false)</f>
        <v>INOV00001</v>
      </c>
      <c r="E1404" s="134" t="s">
        <v>110</v>
      </c>
      <c r="F1404" s="221">
        <v>45113.0</v>
      </c>
      <c r="G1404" s="222">
        <v>0.15625</v>
      </c>
      <c r="H1404" s="134" t="s">
        <v>411</v>
      </c>
      <c r="I1404" s="223" t="s">
        <v>411</v>
      </c>
      <c r="J1404" s="223" t="b">
        <f t="shared" si="1"/>
        <v>1</v>
      </c>
      <c r="K1404" s="145" t="s">
        <v>1392</v>
      </c>
      <c r="L1404" s="156"/>
      <c r="M1404" s="134" t="s">
        <v>416</v>
      </c>
      <c r="N1404" s="150">
        <f>if(and(O1404=TRUE,P1404=TRUE), VLOOKUP($E1404,PESSOAL!$B$35:$S$45,MONTH($F1404)+6,false)*G1404*24,0)</f>
        <v>248.034686</v>
      </c>
      <c r="O1404" s="117" t="b">
        <f t="shared" si="2"/>
        <v>1</v>
      </c>
      <c r="P1404" s="117" t="b">
        <v>1</v>
      </c>
      <c r="Q1404" s="117" t="s">
        <v>368</v>
      </c>
    </row>
    <row r="1405" hidden="1">
      <c r="A1405" s="108"/>
      <c r="B1405" s="220"/>
      <c r="C1405" s="220" t="str">
        <f t="shared" si="5"/>
        <v>INOV00041</v>
      </c>
      <c r="D1405" s="220" t="str">
        <f>vlookup(M1405,'Página10'!A:B,2,false)</f>
        <v>INOV00041</v>
      </c>
      <c r="E1405" s="134" t="s">
        <v>110</v>
      </c>
      <c r="F1405" s="221">
        <v>45113.0</v>
      </c>
      <c r="G1405" s="222">
        <v>0.125</v>
      </c>
      <c r="H1405" s="134" t="s">
        <v>475</v>
      </c>
      <c r="I1405" s="223" t="s">
        <v>475</v>
      </c>
      <c r="J1405" s="223" t="b">
        <f t="shared" si="1"/>
        <v>1</v>
      </c>
      <c r="K1405" s="145" t="s">
        <v>1387</v>
      </c>
      <c r="L1405" s="156"/>
      <c r="M1405" s="134" t="s">
        <v>1388</v>
      </c>
      <c r="N1405" s="150">
        <f>if(and(O1405=TRUE,P1405=TRUE), VLOOKUP($E1405,PESSOAL!$B$35:$S$45,MONTH($F1405)+6,false)*G1405*24,0)</f>
        <v>198.4277488</v>
      </c>
      <c r="O1405" s="117" t="b">
        <f t="shared" si="2"/>
        <v>1</v>
      </c>
      <c r="P1405" s="117" t="b">
        <v>1</v>
      </c>
      <c r="Q1405" s="117" t="s">
        <v>368</v>
      </c>
    </row>
    <row r="1406" hidden="1">
      <c r="A1406" s="108"/>
      <c r="B1406" s="220"/>
      <c r="C1406" s="220" t="str">
        <f t="shared" si="5"/>
        <v>INOV00001</v>
      </c>
      <c r="D1406" s="220" t="str">
        <f>vlookup(M1406,'Página10'!A:B,2,false)</f>
        <v>INOV00001</v>
      </c>
      <c r="E1406" s="134" t="s">
        <v>110</v>
      </c>
      <c r="F1406" s="221">
        <v>45114.0</v>
      </c>
      <c r="G1406" s="222">
        <v>0.052083333333333336</v>
      </c>
      <c r="H1406" s="134" t="s">
        <v>475</v>
      </c>
      <c r="I1406" s="223" t="s">
        <v>411</v>
      </c>
      <c r="J1406" s="223" t="b">
        <f t="shared" si="1"/>
        <v>0</v>
      </c>
      <c r="K1406" s="145" t="s">
        <v>1393</v>
      </c>
      <c r="L1406" s="156"/>
      <c r="M1406" s="134" t="s">
        <v>416</v>
      </c>
      <c r="N1406" s="150">
        <f>if(and(O1406=TRUE,P1406=TRUE), VLOOKUP($E1406,PESSOAL!$B$35:$S$45,MONTH($F1406)+6,false)*G1406*24,0)</f>
        <v>82.67822867</v>
      </c>
      <c r="O1406" s="117" t="b">
        <f t="shared" si="2"/>
        <v>1</v>
      </c>
      <c r="P1406" s="117" t="b">
        <v>1</v>
      </c>
      <c r="Q1406" s="117" t="s">
        <v>368</v>
      </c>
    </row>
    <row r="1407" hidden="1">
      <c r="A1407" s="108"/>
      <c r="B1407" s="220"/>
      <c r="C1407" s="220" t="str">
        <f t="shared" si="5"/>
        <v>INOV00041</v>
      </c>
      <c r="D1407" s="220" t="str">
        <f>vlookup(M1407,'Página10'!A:B,2,false)</f>
        <v>INOV00041</v>
      </c>
      <c r="E1407" s="134" t="s">
        <v>110</v>
      </c>
      <c r="F1407" s="221">
        <v>45114.0</v>
      </c>
      <c r="G1407" s="222">
        <v>0.10416666666666667</v>
      </c>
      <c r="H1407" s="134" t="s">
        <v>475</v>
      </c>
      <c r="I1407" s="223" t="s">
        <v>475</v>
      </c>
      <c r="J1407" s="223" t="b">
        <f t="shared" si="1"/>
        <v>1</v>
      </c>
      <c r="K1407" s="145" t="s">
        <v>1387</v>
      </c>
      <c r="L1407" s="156"/>
      <c r="M1407" s="134" t="s">
        <v>1388</v>
      </c>
      <c r="N1407" s="150">
        <f>if(and(O1407=TRUE,P1407=TRUE), VLOOKUP($E1407,PESSOAL!$B$35:$S$45,MONTH($F1407)+6,false)*G1407*24,0)</f>
        <v>165.3564573</v>
      </c>
      <c r="O1407" s="117" t="b">
        <f t="shared" si="2"/>
        <v>1</v>
      </c>
      <c r="P1407" s="117" t="b">
        <v>1</v>
      </c>
      <c r="Q1407" s="117" t="s">
        <v>368</v>
      </c>
    </row>
    <row r="1408" hidden="1">
      <c r="A1408" s="108"/>
      <c r="B1408" s="220"/>
      <c r="C1408" s="220" t="str">
        <f t="shared" si="5"/>
        <v>INOV00001</v>
      </c>
      <c r="D1408" s="220" t="str">
        <f>vlookup(M1408,'Página10'!A:B,2,false)</f>
        <v>INOV00001</v>
      </c>
      <c r="E1408" s="134" t="s">
        <v>110</v>
      </c>
      <c r="F1408" s="221">
        <v>45114.0</v>
      </c>
      <c r="G1408" s="222">
        <v>0.041666666666666664</v>
      </c>
      <c r="H1408" s="134" t="s">
        <v>411</v>
      </c>
      <c r="I1408" s="223" t="s">
        <v>411</v>
      </c>
      <c r="J1408" s="223" t="b">
        <f t="shared" si="1"/>
        <v>1</v>
      </c>
      <c r="K1408" s="145" t="s">
        <v>1394</v>
      </c>
      <c r="L1408" s="156"/>
      <c r="M1408" s="134" t="s">
        <v>416</v>
      </c>
      <c r="N1408" s="150">
        <f>if(and(O1408=TRUE,P1408=TRUE), VLOOKUP($E1408,PESSOAL!$B$35:$S$45,MONTH($F1408)+6,false)*G1408*24,0)</f>
        <v>66.14258294</v>
      </c>
      <c r="O1408" s="117" t="b">
        <f t="shared" si="2"/>
        <v>1</v>
      </c>
      <c r="P1408" s="117" t="b">
        <v>1</v>
      </c>
      <c r="Q1408" s="117" t="s">
        <v>368</v>
      </c>
    </row>
    <row r="1409" hidden="1">
      <c r="A1409" s="108"/>
      <c r="B1409" s="220"/>
      <c r="C1409" s="220" t="str">
        <f t="shared" si="5"/>
        <v>INOV00041</v>
      </c>
      <c r="D1409" s="220" t="str">
        <f>vlookup(M1409,'Página10'!A:B,2,false)</f>
        <v>INOV00041</v>
      </c>
      <c r="E1409" s="134" t="s">
        <v>110</v>
      </c>
      <c r="F1409" s="221">
        <v>45114.0</v>
      </c>
      <c r="G1409" s="222">
        <v>0.16666666666666666</v>
      </c>
      <c r="H1409" s="134" t="s">
        <v>475</v>
      </c>
      <c r="I1409" s="223" t="s">
        <v>475</v>
      </c>
      <c r="J1409" s="223" t="b">
        <f t="shared" si="1"/>
        <v>1</v>
      </c>
      <c r="K1409" s="145" t="s">
        <v>1395</v>
      </c>
      <c r="L1409" s="156"/>
      <c r="M1409" s="134" t="s">
        <v>1388</v>
      </c>
      <c r="N1409" s="150">
        <f>if(and(O1409=TRUE,P1409=TRUE), VLOOKUP($E1409,PESSOAL!$B$35:$S$45,MONTH($F1409)+6,false)*G1409*24,0)</f>
        <v>264.5703317</v>
      </c>
      <c r="O1409" s="117" t="b">
        <f t="shared" si="2"/>
        <v>1</v>
      </c>
      <c r="P1409" s="117" t="b">
        <v>1</v>
      </c>
      <c r="Q1409" s="117" t="s">
        <v>368</v>
      </c>
    </row>
    <row r="1410" hidden="1">
      <c r="A1410" s="108"/>
      <c r="B1410" s="220"/>
      <c r="C1410" s="220" t="str">
        <f t="shared" si="5"/>
        <v>INOV00041</v>
      </c>
      <c r="D1410" s="220" t="str">
        <f>vlookup(M1410,'Página10'!A:B,2,false)</f>
        <v>INOV00041</v>
      </c>
      <c r="E1410" s="134" t="s">
        <v>110</v>
      </c>
      <c r="F1410" s="221">
        <v>45117.0</v>
      </c>
      <c r="G1410" s="222">
        <v>0.17708333333333334</v>
      </c>
      <c r="H1410" s="134" t="s">
        <v>475</v>
      </c>
      <c r="I1410" s="223" t="s">
        <v>475</v>
      </c>
      <c r="J1410" s="223" t="b">
        <f t="shared" si="1"/>
        <v>1</v>
      </c>
      <c r="K1410" s="145" t="s">
        <v>1395</v>
      </c>
      <c r="L1410" s="156"/>
      <c r="M1410" s="134" t="s">
        <v>1388</v>
      </c>
      <c r="N1410" s="150">
        <f>if(and(O1410=TRUE,P1410=TRUE), VLOOKUP($E1410,PESSOAL!$B$35:$S$45,MONTH($F1410)+6,false)*G1410*24,0)</f>
        <v>281.1059775</v>
      </c>
      <c r="O1410" s="117" t="b">
        <f t="shared" si="2"/>
        <v>1</v>
      </c>
      <c r="P1410" s="117" t="b">
        <v>1</v>
      </c>
      <c r="Q1410" s="117" t="s">
        <v>368</v>
      </c>
    </row>
    <row r="1411" hidden="1">
      <c r="A1411" s="108"/>
      <c r="B1411" s="220"/>
      <c r="C1411" s="220" t="str">
        <f t="shared" si="5"/>
        <v>INOV00001</v>
      </c>
      <c r="D1411" s="220" t="str">
        <f>vlookup(M1411,'Página10'!A:B,2,false)</f>
        <v>INOV00001</v>
      </c>
      <c r="E1411" s="134" t="s">
        <v>110</v>
      </c>
      <c r="F1411" s="221">
        <v>45118.0</v>
      </c>
      <c r="G1411" s="222">
        <v>0.08333333333333333</v>
      </c>
      <c r="H1411" s="134" t="s">
        <v>411</v>
      </c>
      <c r="I1411" s="223" t="s">
        <v>411</v>
      </c>
      <c r="J1411" s="223" t="b">
        <f t="shared" si="1"/>
        <v>1</v>
      </c>
      <c r="K1411" s="145" t="s">
        <v>1396</v>
      </c>
      <c r="L1411" s="156"/>
      <c r="M1411" s="134" t="s">
        <v>416</v>
      </c>
      <c r="N1411" s="150">
        <f>if(and(O1411=TRUE,P1411=TRUE), VLOOKUP($E1411,PESSOAL!$B$35:$S$45,MONTH($F1411)+6,false)*G1411*24,0)</f>
        <v>132.2851659</v>
      </c>
      <c r="O1411" s="117" t="b">
        <f t="shared" si="2"/>
        <v>1</v>
      </c>
      <c r="P1411" s="117" t="b">
        <v>1</v>
      </c>
      <c r="Q1411" s="117" t="s">
        <v>368</v>
      </c>
    </row>
    <row r="1412" hidden="1">
      <c r="A1412" s="108"/>
      <c r="B1412" s="220"/>
      <c r="C1412" s="220" t="str">
        <f t="shared" si="5"/>
        <v>INOV00041</v>
      </c>
      <c r="D1412" s="220" t="str">
        <f>vlookup(M1412,'Página10'!A:B,2,false)</f>
        <v>INOV00041</v>
      </c>
      <c r="E1412" s="134" t="s">
        <v>110</v>
      </c>
      <c r="F1412" s="221">
        <v>45118.0</v>
      </c>
      <c r="G1412" s="222">
        <v>0.10416666666666667</v>
      </c>
      <c r="H1412" s="134" t="s">
        <v>475</v>
      </c>
      <c r="I1412" s="223" t="s">
        <v>475</v>
      </c>
      <c r="J1412" s="223" t="b">
        <f t="shared" si="1"/>
        <v>1</v>
      </c>
      <c r="K1412" s="145" t="s">
        <v>1395</v>
      </c>
      <c r="L1412" s="156"/>
      <c r="M1412" s="134" t="s">
        <v>1388</v>
      </c>
      <c r="N1412" s="150">
        <f>if(and(O1412=TRUE,P1412=TRUE), VLOOKUP($E1412,PESSOAL!$B$35:$S$45,MONTH($F1412)+6,false)*G1412*24,0)</f>
        <v>165.3564573</v>
      </c>
      <c r="O1412" s="117" t="b">
        <f t="shared" si="2"/>
        <v>1</v>
      </c>
      <c r="P1412" s="117" t="b">
        <v>1</v>
      </c>
      <c r="Q1412" s="117" t="s">
        <v>368</v>
      </c>
    </row>
    <row r="1413" hidden="1">
      <c r="A1413" s="108"/>
      <c r="B1413" s="220"/>
      <c r="C1413" s="220" t="str">
        <f t="shared" si="5"/>
        <v>INOV00041</v>
      </c>
      <c r="D1413" s="220" t="str">
        <f>vlookup(M1413,'Página10'!A:B,2,false)</f>
        <v>INOV00041</v>
      </c>
      <c r="E1413" s="134" t="s">
        <v>110</v>
      </c>
      <c r="F1413" s="221">
        <v>45119.0</v>
      </c>
      <c r="G1413" s="222">
        <v>0.0625</v>
      </c>
      <c r="H1413" s="134" t="s">
        <v>475</v>
      </c>
      <c r="I1413" s="223" t="s">
        <v>475</v>
      </c>
      <c r="J1413" s="223" t="b">
        <f t="shared" si="1"/>
        <v>1</v>
      </c>
      <c r="K1413" s="145" t="s">
        <v>1395</v>
      </c>
      <c r="L1413" s="156"/>
      <c r="M1413" s="134" t="s">
        <v>1388</v>
      </c>
      <c r="N1413" s="150">
        <f>if(and(O1413=TRUE,P1413=TRUE), VLOOKUP($E1413,PESSOAL!$B$35:$S$45,MONTH($F1413)+6,false)*G1413*24,0)</f>
        <v>99.2138744</v>
      </c>
      <c r="O1413" s="117" t="b">
        <f t="shared" si="2"/>
        <v>1</v>
      </c>
      <c r="P1413" s="117" t="b">
        <v>1</v>
      </c>
      <c r="Q1413" s="117" t="s">
        <v>368</v>
      </c>
    </row>
    <row r="1414" hidden="1">
      <c r="A1414" s="108"/>
      <c r="B1414" s="220"/>
      <c r="C1414" s="220" t="str">
        <f t="shared" si="5"/>
        <v>INOV00001</v>
      </c>
      <c r="D1414" s="220" t="str">
        <f>vlookup(M1414,'Página10'!A:B,2,false)</f>
        <v>INOV00001</v>
      </c>
      <c r="E1414" s="134" t="s">
        <v>110</v>
      </c>
      <c r="F1414" s="221">
        <v>45119.0</v>
      </c>
      <c r="G1414" s="222">
        <v>0.041666666666666664</v>
      </c>
      <c r="H1414" s="134" t="s">
        <v>411</v>
      </c>
      <c r="I1414" s="223" t="s">
        <v>411</v>
      </c>
      <c r="J1414" s="223" t="b">
        <f t="shared" si="1"/>
        <v>1</v>
      </c>
      <c r="K1414" s="145" t="s">
        <v>1396</v>
      </c>
      <c r="L1414" s="156"/>
      <c r="M1414" s="134" t="s">
        <v>416</v>
      </c>
      <c r="N1414" s="150">
        <f>if(and(O1414=TRUE,P1414=TRUE), VLOOKUP($E1414,PESSOAL!$B$35:$S$45,MONTH($F1414)+6,false)*G1414*24,0)</f>
        <v>66.14258294</v>
      </c>
      <c r="O1414" s="117" t="b">
        <f t="shared" si="2"/>
        <v>1</v>
      </c>
      <c r="P1414" s="117" t="b">
        <v>1</v>
      </c>
      <c r="Q1414" s="117" t="s">
        <v>368</v>
      </c>
    </row>
    <row r="1415" hidden="1">
      <c r="A1415" s="108"/>
      <c r="B1415" s="220"/>
      <c r="C1415" s="220" t="str">
        <f t="shared" si="5"/>
        <v>INOV00001</v>
      </c>
      <c r="D1415" s="220" t="str">
        <f>vlookup(M1415,'Página10'!A:B,2,false)</f>
        <v>INOV00001</v>
      </c>
      <c r="E1415" s="134" t="s">
        <v>110</v>
      </c>
      <c r="F1415" s="221">
        <v>45120.0</v>
      </c>
      <c r="G1415" s="222">
        <v>0.14583333333333334</v>
      </c>
      <c r="H1415" s="134" t="s">
        <v>411</v>
      </c>
      <c r="I1415" s="223" t="s">
        <v>411</v>
      </c>
      <c r="J1415" s="223" t="b">
        <f t="shared" si="1"/>
        <v>1</v>
      </c>
      <c r="K1415" s="145" t="s">
        <v>1397</v>
      </c>
      <c r="L1415" s="156"/>
      <c r="M1415" s="134" t="s">
        <v>416</v>
      </c>
      <c r="N1415" s="150">
        <f>if(and(O1415=TRUE,P1415=TRUE), VLOOKUP($E1415,PESSOAL!$B$35:$S$45,MONTH($F1415)+6,false)*G1415*24,0)</f>
        <v>231.4990403</v>
      </c>
      <c r="O1415" s="117" t="b">
        <f t="shared" si="2"/>
        <v>1</v>
      </c>
      <c r="P1415" s="117" t="b">
        <v>1</v>
      </c>
      <c r="Q1415" s="117" t="s">
        <v>368</v>
      </c>
    </row>
    <row r="1416" hidden="1">
      <c r="A1416" s="108"/>
      <c r="B1416" s="220"/>
      <c r="C1416" s="220" t="str">
        <f t="shared" si="5"/>
        <v>INOV00013</v>
      </c>
      <c r="D1416" s="220" t="str">
        <f>vlookup(M1416,'Página10'!A:B,2,false)</f>
        <v>INOV00013</v>
      </c>
      <c r="E1416" s="134" t="s">
        <v>110</v>
      </c>
      <c r="F1416" s="221">
        <v>45120.0</v>
      </c>
      <c r="G1416" s="222">
        <v>0.0625</v>
      </c>
      <c r="H1416" s="134" t="s">
        <v>411</v>
      </c>
      <c r="I1416" s="223" t="s">
        <v>411</v>
      </c>
      <c r="J1416" s="223" t="b">
        <f t="shared" si="1"/>
        <v>1</v>
      </c>
      <c r="K1416" s="145" t="s">
        <v>1398</v>
      </c>
      <c r="L1416" s="156"/>
      <c r="M1416" s="134" t="s">
        <v>426</v>
      </c>
      <c r="N1416" s="150">
        <f>if(and(O1416=TRUE,P1416=TRUE), VLOOKUP($E1416,PESSOAL!$B$35:$S$45,MONTH($F1416)+6,false)*G1416*24,0)</f>
        <v>99.2138744</v>
      </c>
      <c r="O1416" s="117" t="b">
        <f t="shared" si="2"/>
        <v>1</v>
      </c>
      <c r="P1416" s="117" t="b">
        <v>1</v>
      </c>
      <c r="Q1416" s="117" t="s">
        <v>368</v>
      </c>
    </row>
    <row r="1417" hidden="1">
      <c r="A1417" s="108"/>
      <c r="B1417" s="220"/>
      <c r="C1417" s="220" t="str">
        <f t="shared" si="5"/>
        <v>INOV00041</v>
      </c>
      <c r="D1417" s="220" t="str">
        <f>vlookup(M1417,'Página10'!A:B,2,false)</f>
        <v>INOV00041</v>
      </c>
      <c r="E1417" s="134" t="s">
        <v>110</v>
      </c>
      <c r="F1417" s="221">
        <v>45120.0</v>
      </c>
      <c r="G1417" s="222">
        <v>0.08333333333333333</v>
      </c>
      <c r="H1417" s="134" t="s">
        <v>475</v>
      </c>
      <c r="I1417" s="223" t="s">
        <v>475</v>
      </c>
      <c r="J1417" s="223" t="b">
        <f t="shared" si="1"/>
        <v>1</v>
      </c>
      <c r="K1417" s="145" t="s">
        <v>1399</v>
      </c>
      <c r="L1417" s="156"/>
      <c r="M1417" s="134" t="s">
        <v>1388</v>
      </c>
      <c r="N1417" s="150">
        <f>if(and(O1417=TRUE,P1417=TRUE), VLOOKUP($E1417,PESSOAL!$B$35:$S$45,MONTH($F1417)+6,false)*G1417*24,0)</f>
        <v>132.2851659</v>
      </c>
      <c r="O1417" s="117" t="b">
        <f t="shared" si="2"/>
        <v>1</v>
      </c>
      <c r="P1417" s="117" t="b">
        <v>1</v>
      </c>
      <c r="Q1417" s="117" t="s">
        <v>368</v>
      </c>
    </row>
    <row r="1418" hidden="1">
      <c r="A1418" s="108"/>
      <c r="B1418" s="220"/>
      <c r="C1418" s="220" t="str">
        <f t="shared" si="5"/>
        <v>INOV00001</v>
      </c>
      <c r="D1418" s="220" t="str">
        <f>vlookup(M1418,'Página10'!A:B,2,false)</f>
        <v>INOV00001</v>
      </c>
      <c r="E1418" s="134" t="s">
        <v>110</v>
      </c>
      <c r="F1418" s="221">
        <v>45121.0</v>
      </c>
      <c r="G1418" s="222">
        <v>0.15625</v>
      </c>
      <c r="H1418" s="134" t="s">
        <v>411</v>
      </c>
      <c r="I1418" s="223" t="s">
        <v>411</v>
      </c>
      <c r="J1418" s="223" t="b">
        <f t="shared" si="1"/>
        <v>1</v>
      </c>
      <c r="K1418" s="145" t="s">
        <v>1400</v>
      </c>
      <c r="L1418" s="156"/>
      <c r="M1418" s="134" t="s">
        <v>416</v>
      </c>
      <c r="N1418" s="150">
        <f>if(and(O1418=TRUE,P1418=TRUE), VLOOKUP($E1418,PESSOAL!$B$35:$S$45,MONTH($F1418)+6,false)*G1418*24,0)</f>
        <v>248.034686</v>
      </c>
      <c r="O1418" s="117" t="b">
        <f t="shared" si="2"/>
        <v>1</v>
      </c>
      <c r="P1418" s="117" t="b">
        <v>1</v>
      </c>
      <c r="Q1418" s="117" t="s">
        <v>368</v>
      </c>
    </row>
    <row r="1419" hidden="1">
      <c r="A1419" s="108"/>
      <c r="B1419" s="220"/>
      <c r="C1419" s="220" t="str">
        <f t="shared" si="5"/>
        <v>INOV00001</v>
      </c>
      <c r="D1419" s="220" t="str">
        <f>vlookup(M1419,'Página10'!A:B,2,false)</f>
        <v>INOV00001</v>
      </c>
      <c r="E1419" s="134" t="s">
        <v>110</v>
      </c>
      <c r="F1419" s="221">
        <v>45121.0</v>
      </c>
      <c r="G1419" s="222">
        <v>0.10416666666666667</v>
      </c>
      <c r="H1419" s="134" t="s">
        <v>411</v>
      </c>
      <c r="I1419" s="223" t="s">
        <v>411</v>
      </c>
      <c r="J1419" s="223" t="b">
        <f t="shared" si="1"/>
        <v>1</v>
      </c>
      <c r="K1419" s="145" t="s">
        <v>1400</v>
      </c>
      <c r="L1419" s="156"/>
      <c r="M1419" s="134" t="s">
        <v>416</v>
      </c>
      <c r="N1419" s="150">
        <f>if(and(O1419=TRUE,P1419=TRUE), VLOOKUP($E1419,PESSOAL!$B$35:$S$45,MONTH($F1419)+6,false)*G1419*24,0)</f>
        <v>165.3564573</v>
      </c>
      <c r="O1419" s="117" t="b">
        <f t="shared" si="2"/>
        <v>1</v>
      </c>
      <c r="P1419" s="117" t="b">
        <v>1</v>
      </c>
      <c r="Q1419" s="117" t="s">
        <v>368</v>
      </c>
    </row>
    <row r="1420" hidden="1">
      <c r="A1420" s="108"/>
      <c r="B1420" s="220"/>
      <c r="C1420" s="220" t="str">
        <f t="shared" si="5"/>
        <v>INOV00021</v>
      </c>
      <c r="D1420" s="220" t="str">
        <f>vlookup(M1420,'Página10'!A:B,2,false)</f>
        <v>INOV00021</v>
      </c>
      <c r="E1420" s="134" t="s">
        <v>110</v>
      </c>
      <c r="F1420" s="221">
        <v>45124.0</v>
      </c>
      <c r="G1420" s="222">
        <v>0.0625</v>
      </c>
      <c r="H1420" s="134" t="s">
        <v>411</v>
      </c>
      <c r="I1420" s="223" t="s">
        <v>411</v>
      </c>
      <c r="J1420" s="223" t="b">
        <f t="shared" si="1"/>
        <v>1</v>
      </c>
      <c r="K1420" s="145" t="s">
        <v>1401</v>
      </c>
      <c r="L1420" s="156"/>
      <c r="M1420" s="134" t="s">
        <v>436</v>
      </c>
      <c r="N1420" s="150">
        <f>if(and(O1420=TRUE,P1420=TRUE), VLOOKUP($E1420,PESSOAL!$B$35:$S$45,MONTH($F1420)+6,false)*G1420*24,0)</f>
        <v>99.2138744</v>
      </c>
      <c r="O1420" s="117" t="b">
        <f t="shared" si="2"/>
        <v>1</v>
      </c>
      <c r="P1420" s="117" t="b">
        <v>1</v>
      </c>
      <c r="Q1420" s="117" t="s">
        <v>368</v>
      </c>
    </row>
    <row r="1421" hidden="1">
      <c r="A1421" s="108"/>
      <c r="B1421" s="220"/>
      <c r="C1421" s="220" t="str">
        <f t="shared" si="5"/>
        <v>INOV00001</v>
      </c>
      <c r="D1421" s="220" t="str">
        <f>vlookup(M1421,'Página10'!A:B,2,false)</f>
        <v>INOV00001</v>
      </c>
      <c r="E1421" s="134" t="s">
        <v>110</v>
      </c>
      <c r="F1421" s="221">
        <v>45124.0</v>
      </c>
      <c r="G1421" s="222">
        <v>0.041666666666666664</v>
      </c>
      <c r="H1421" s="134" t="s">
        <v>411</v>
      </c>
      <c r="I1421" s="223" t="s">
        <v>411</v>
      </c>
      <c r="J1421" s="223" t="b">
        <f t="shared" si="1"/>
        <v>1</v>
      </c>
      <c r="K1421" s="145" t="s">
        <v>1396</v>
      </c>
      <c r="L1421" s="156"/>
      <c r="M1421" s="134" t="s">
        <v>416</v>
      </c>
      <c r="N1421" s="150">
        <f>if(and(O1421=TRUE,P1421=TRUE), VLOOKUP($E1421,PESSOAL!$B$35:$S$45,MONTH($F1421)+6,false)*G1421*24,0)</f>
        <v>66.14258294</v>
      </c>
      <c r="O1421" s="117" t="b">
        <f t="shared" si="2"/>
        <v>1</v>
      </c>
      <c r="P1421" s="117" t="b">
        <v>1</v>
      </c>
      <c r="Q1421" s="117" t="s">
        <v>368</v>
      </c>
    </row>
    <row r="1422" hidden="1">
      <c r="A1422" s="108"/>
      <c r="B1422" s="220"/>
      <c r="C1422" s="220" t="str">
        <f t="shared" si="5"/>
        <v>INOV00021</v>
      </c>
      <c r="D1422" s="220" t="str">
        <f>vlookup(M1422,'Página10'!A:B,2,false)</f>
        <v>INOV00021</v>
      </c>
      <c r="E1422" s="134" t="s">
        <v>110</v>
      </c>
      <c r="F1422" s="221">
        <v>45124.0</v>
      </c>
      <c r="G1422" s="222">
        <v>0.10416666666666667</v>
      </c>
      <c r="H1422" s="134" t="s">
        <v>411</v>
      </c>
      <c r="I1422" s="223" t="s">
        <v>411</v>
      </c>
      <c r="J1422" s="223" t="b">
        <f t="shared" si="1"/>
        <v>1</v>
      </c>
      <c r="K1422" s="145" t="s">
        <v>1402</v>
      </c>
      <c r="L1422" s="156"/>
      <c r="M1422" s="134" t="s">
        <v>436</v>
      </c>
      <c r="N1422" s="150">
        <f>if(and(O1422=TRUE,P1422=TRUE), VLOOKUP($E1422,PESSOAL!$B$35:$S$45,MONTH($F1422)+6,false)*G1422*24,0)</f>
        <v>165.3564573</v>
      </c>
      <c r="O1422" s="117" t="b">
        <f t="shared" si="2"/>
        <v>1</v>
      </c>
      <c r="P1422" s="117" t="b">
        <v>1</v>
      </c>
      <c r="Q1422" s="117" t="s">
        <v>368</v>
      </c>
    </row>
    <row r="1423" hidden="1">
      <c r="A1423" s="108"/>
      <c r="B1423" s="220"/>
      <c r="C1423" s="220" t="str">
        <f t="shared" si="5"/>
        <v>INOV00041</v>
      </c>
      <c r="D1423" s="220" t="str">
        <f>vlookup(M1423,'Página10'!A:B,2,false)</f>
        <v>INOV00041</v>
      </c>
      <c r="E1423" s="134" t="s">
        <v>110</v>
      </c>
      <c r="F1423" s="221">
        <v>45125.0</v>
      </c>
      <c r="G1423" s="222">
        <v>0.041666666666666664</v>
      </c>
      <c r="H1423" s="134" t="s">
        <v>475</v>
      </c>
      <c r="I1423" s="223" t="s">
        <v>475</v>
      </c>
      <c r="J1423" s="223" t="b">
        <f t="shared" si="1"/>
        <v>1</v>
      </c>
      <c r="K1423" s="145" t="s">
        <v>1399</v>
      </c>
      <c r="L1423" s="156"/>
      <c r="M1423" s="134" t="s">
        <v>1388</v>
      </c>
      <c r="N1423" s="150">
        <f>if(and(O1423=TRUE,P1423=TRUE), VLOOKUP($E1423,PESSOAL!$B$35:$S$45,MONTH($F1423)+6,false)*G1423*24,0)</f>
        <v>66.14258294</v>
      </c>
      <c r="O1423" s="117" t="b">
        <f t="shared" si="2"/>
        <v>1</v>
      </c>
      <c r="P1423" s="117" t="b">
        <v>1</v>
      </c>
      <c r="Q1423" s="117" t="s">
        <v>368</v>
      </c>
    </row>
    <row r="1424" hidden="1">
      <c r="A1424" s="108"/>
      <c r="B1424" s="220"/>
      <c r="C1424" s="220" t="str">
        <f t="shared" si="5"/>
        <v>INOV00001</v>
      </c>
      <c r="D1424" s="220" t="str">
        <f>vlookup(M1424,'Página10'!A:B,2,false)</f>
        <v>INOV00001</v>
      </c>
      <c r="E1424" s="134" t="s">
        <v>110</v>
      </c>
      <c r="F1424" s="221">
        <v>45125.0</v>
      </c>
      <c r="G1424" s="222">
        <v>0.11458333333333333</v>
      </c>
      <c r="H1424" s="134" t="s">
        <v>411</v>
      </c>
      <c r="I1424" s="223" t="s">
        <v>411</v>
      </c>
      <c r="J1424" s="223" t="b">
        <f t="shared" si="1"/>
        <v>1</v>
      </c>
      <c r="K1424" s="145" t="s">
        <v>1400</v>
      </c>
      <c r="L1424" s="156"/>
      <c r="M1424" s="134" t="s">
        <v>416</v>
      </c>
      <c r="N1424" s="150">
        <f>if(and(O1424=TRUE,P1424=TRUE), VLOOKUP($E1424,PESSOAL!$B$35:$S$45,MONTH($F1424)+6,false)*G1424*24,0)</f>
        <v>181.8921031</v>
      </c>
      <c r="O1424" s="117" t="b">
        <f t="shared" si="2"/>
        <v>1</v>
      </c>
      <c r="P1424" s="117" t="b">
        <v>1</v>
      </c>
      <c r="Q1424" s="117" t="s">
        <v>368</v>
      </c>
    </row>
    <row r="1425" hidden="1">
      <c r="A1425" s="108"/>
      <c r="B1425" s="220"/>
      <c r="C1425" s="220" t="str">
        <f t="shared" si="5"/>
        <v>INOV00041</v>
      </c>
      <c r="D1425" s="220" t="str">
        <f>vlookup(M1425,'Página10'!A:B,2,false)</f>
        <v>INOV00041</v>
      </c>
      <c r="E1425" s="134" t="s">
        <v>110</v>
      </c>
      <c r="F1425" s="221">
        <v>45126.0</v>
      </c>
      <c r="G1425" s="222">
        <v>0.14583333333333334</v>
      </c>
      <c r="H1425" s="134" t="s">
        <v>475</v>
      </c>
      <c r="I1425" s="223" t="s">
        <v>475</v>
      </c>
      <c r="J1425" s="223" t="b">
        <f t="shared" si="1"/>
        <v>1</v>
      </c>
      <c r="K1425" s="145" t="s">
        <v>1403</v>
      </c>
      <c r="L1425" s="156"/>
      <c r="M1425" s="134" t="s">
        <v>1388</v>
      </c>
      <c r="N1425" s="150">
        <f>if(and(O1425=TRUE,P1425=TRUE), VLOOKUP($E1425,PESSOAL!$B$35:$S$45,MONTH($F1425)+6,false)*G1425*24,0)</f>
        <v>231.4990403</v>
      </c>
      <c r="O1425" s="117" t="b">
        <f t="shared" si="2"/>
        <v>1</v>
      </c>
      <c r="P1425" s="117" t="b">
        <v>1</v>
      </c>
      <c r="Q1425" s="117" t="s">
        <v>368</v>
      </c>
    </row>
    <row r="1426" hidden="1">
      <c r="A1426" s="108"/>
      <c r="B1426" s="220"/>
      <c r="C1426" s="220" t="str">
        <f t="shared" si="5"/>
        <v>INOV00041</v>
      </c>
      <c r="D1426" s="220" t="str">
        <f>vlookup(M1426,'Página10'!A:B,2,false)</f>
        <v>INOV00041</v>
      </c>
      <c r="E1426" s="134" t="s">
        <v>110</v>
      </c>
      <c r="F1426" s="221">
        <v>45127.0</v>
      </c>
      <c r="G1426" s="222">
        <v>0.041666666666666664</v>
      </c>
      <c r="H1426" s="134" t="s">
        <v>411</v>
      </c>
      <c r="I1426" s="223" t="s">
        <v>411</v>
      </c>
      <c r="J1426" s="223" t="b">
        <f t="shared" si="1"/>
        <v>1</v>
      </c>
      <c r="K1426" s="145" t="s">
        <v>1404</v>
      </c>
      <c r="L1426" s="156"/>
      <c r="M1426" s="134" t="s">
        <v>1388</v>
      </c>
      <c r="N1426" s="150">
        <f>if(and(O1426=TRUE,P1426=TRUE), VLOOKUP($E1426,PESSOAL!$B$35:$S$45,MONTH($F1426)+6,false)*G1426*24,0)</f>
        <v>66.14258294</v>
      </c>
      <c r="O1426" s="117" t="b">
        <f t="shared" si="2"/>
        <v>1</v>
      </c>
      <c r="P1426" s="117" t="b">
        <v>1</v>
      </c>
      <c r="Q1426" s="117" t="s">
        <v>368</v>
      </c>
    </row>
    <row r="1427" hidden="1">
      <c r="A1427" s="108"/>
      <c r="B1427" s="220"/>
      <c r="C1427" s="220" t="str">
        <f t="shared" si="5"/>
        <v>INOV00001</v>
      </c>
      <c r="D1427" s="220" t="str">
        <f>vlookup(M1427,'Página10'!A:B,2,false)</f>
        <v>INOV00001</v>
      </c>
      <c r="E1427" s="134" t="s">
        <v>110</v>
      </c>
      <c r="F1427" s="221">
        <v>45128.0</v>
      </c>
      <c r="G1427" s="222">
        <v>0.125</v>
      </c>
      <c r="H1427" s="134" t="s">
        <v>411</v>
      </c>
      <c r="I1427" s="223" t="s">
        <v>411</v>
      </c>
      <c r="J1427" s="223" t="b">
        <f t="shared" si="1"/>
        <v>1</v>
      </c>
      <c r="K1427" s="145" t="s">
        <v>1396</v>
      </c>
      <c r="L1427" s="156"/>
      <c r="M1427" s="134" t="s">
        <v>416</v>
      </c>
      <c r="N1427" s="150">
        <f>if(and(O1427=TRUE,P1427=TRUE), VLOOKUP($E1427,PESSOAL!$B$35:$S$45,MONTH($F1427)+6,false)*G1427*24,0)</f>
        <v>198.4277488</v>
      </c>
      <c r="O1427" s="117" t="b">
        <f t="shared" si="2"/>
        <v>1</v>
      </c>
      <c r="P1427" s="117" t="b">
        <v>1</v>
      </c>
      <c r="Q1427" s="117" t="s">
        <v>368</v>
      </c>
    </row>
    <row r="1428" hidden="1">
      <c r="A1428" s="108"/>
      <c r="B1428" s="220"/>
      <c r="C1428" s="220" t="str">
        <f t="shared" si="5"/>
        <v>INOV00041</v>
      </c>
      <c r="D1428" s="220" t="str">
        <f>vlookup(M1428,'Página10'!A:B,2,false)</f>
        <v>INOV00041</v>
      </c>
      <c r="E1428" s="134" t="s">
        <v>110</v>
      </c>
      <c r="F1428" s="221">
        <v>45128.0</v>
      </c>
      <c r="G1428" s="222">
        <v>0.0625</v>
      </c>
      <c r="H1428" s="134" t="s">
        <v>475</v>
      </c>
      <c r="I1428" s="223" t="s">
        <v>475</v>
      </c>
      <c r="J1428" s="223" t="b">
        <f t="shared" si="1"/>
        <v>1</v>
      </c>
      <c r="K1428" s="145" t="s">
        <v>1403</v>
      </c>
      <c r="L1428" s="156"/>
      <c r="M1428" s="134" t="s">
        <v>1388</v>
      </c>
      <c r="N1428" s="150">
        <f>if(and(O1428=TRUE,P1428=TRUE), VLOOKUP($E1428,PESSOAL!$B$35:$S$45,MONTH($F1428)+6,false)*G1428*24,0)</f>
        <v>99.2138744</v>
      </c>
      <c r="O1428" s="117" t="b">
        <f t="shared" si="2"/>
        <v>1</v>
      </c>
      <c r="P1428" s="117" t="b">
        <v>1</v>
      </c>
      <c r="Q1428" s="117" t="s">
        <v>368</v>
      </c>
    </row>
    <row r="1429" hidden="1">
      <c r="A1429" s="108"/>
      <c r="B1429" s="220"/>
      <c r="C1429" s="220" t="str">
        <f t="shared" si="5"/>
        <v>INOV00041</v>
      </c>
      <c r="D1429" s="220" t="str">
        <f>vlookup(M1429,'Página10'!A:B,2,false)</f>
        <v>INOV00041</v>
      </c>
      <c r="E1429" s="134" t="s">
        <v>110</v>
      </c>
      <c r="F1429" s="221">
        <v>45131.0</v>
      </c>
      <c r="G1429" s="222">
        <v>0.13541666666666666</v>
      </c>
      <c r="H1429" s="134" t="s">
        <v>475</v>
      </c>
      <c r="I1429" s="223" t="s">
        <v>411</v>
      </c>
      <c r="J1429" s="223" t="b">
        <f t="shared" si="1"/>
        <v>0</v>
      </c>
      <c r="K1429" s="145" t="s">
        <v>1405</v>
      </c>
      <c r="L1429" s="156"/>
      <c r="M1429" s="134" t="s">
        <v>1388</v>
      </c>
      <c r="N1429" s="150">
        <f>if(and(O1429=TRUE,P1429=TRUE), VLOOKUP($E1429,PESSOAL!$B$35:$S$45,MONTH($F1429)+6,false)*G1429*24,0)</f>
        <v>214.9633945</v>
      </c>
      <c r="O1429" s="117" t="b">
        <f t="shared" si="2"/>
        <v>1</v>
      </c>
      <c r="P1429" s="117" t="b">
        <v>1</v>
      </c>
      <c r="Q1429" s="117" t="s">
        <v>368</v>
      </c>
    </row>
    <row r="1430" hidden="1">
      <c r="A1430" s="108"/>
      <c r="B1430" s="220"/>
      <c r="C1430" s="220" t="str">
        <f t="shared" si="5"/>
        <v>INOV00041</v>
      </c>
      <c r="D1430" s="220" t="str">
        <f>vlookup(M1430,'Página10'!A:B,2,false)</f>
        <v>INOV00041</v>
      </c>
      <c r="E1430" s="134" t="s">
        <v>110</v>
      </c>
      <c r="F1430" s="221">
        <v>45132.0</v>
      </c>
      <c r="G1430" s="222">
        <v>0.15625</v>
      </c>
      <c r="H1430" s="134" t="s">
        <v>475</v>
      </c>
      <c r="I1430" s="223" t="s">
        <v>411</v>
      </c>
      <c r="J1430" s="223" t="b">
        <f t="shared" si="1"/>
        <v>0</v>
      </c>
      <c r="K1430" s="145" t="s">
        <v>1405</v>
      </c>
      <c r="L1430" s="156"/>
      <c r="M1430" s="134" t="s">
        <v>1388</v>
      </c>
      <c r="N1430" s="150">
        <f>if(and(O1430=TRUE,P1430=TRUE), VLOOKUP($E1430,PESSOAL!$B$35:$S$45,MONTH($F1430)+6,false)*G1430*24,0)</f>
        <v>248.034686</v>
      </c>
      <c r="O1430" s="117" t="b">
        <f t="shared" si="2"/>
        <v>1</v>
      </c>
      <c r="P1430" s="117" t="b">
        <v>1</v>
      </c>
      <c r="Q1430" s="117" t="s">
        <v>368</v>
      </c>
    </row>
    <row r="1431" hidden="1">
      <c r="A1431" s="108"/>
      <c r="B1431" s="220"/>
      <c r="C1431" s="220" t="str">
        <f t="shared" si="5"/>
        <v>INOV00001</v>
      </c>
      <c r="D1431" s="220" t="str">
        <f>vlookup(M1431,'Página10'!A:B,2,false)</f>
        <v>INOV00001</v>
      </c>
      <c r="E1431" s="134" t="s">
        <v>110</v>
      </c>
      <c r="F1431" s="221">
        <v>45132.0</v>
      </c>
      <c r="G1431" s="222">
        <v>0.041666666666666664</v>
      </c>
      <c r="H1431" s="134" t="s">
        <v>411</v>
      </c>
      <c r="I1431" s="223" t="s">
        <v>411</v>
      </c>
      <c r="J1431" s="223" t="b">
        <f t="shared" si="1"/>
        <v>1</v>
      </c>
      <c r="K1431" s="145" t="s">
        <v>1397</v>
      </c>
      <c r="L1431" s="156"/>
      <c r="M1431" s="134" t="s">
        <v>416</v>
      </c>
      <c r="N1431" s="150">
        <f>if(and(O1431=TRUE,P1431=TRUE), VLOOKUP($E1431,PESSOAL!$B$35:$S$45,MONTH($F1431)+6,false)*G1431*24,0)</f>
        <v>66.14258294</v>
      </c>
      <c r="O1431" s="117" t="b">
        <f t="shared" si="2"/>
        <v>1</v>
      </c>
      <c r="P1431" s="117" t="b">
        <v>1</v>
      </c>
      <c r="Q1431" s="117" t="s">
        <v>368</v>
      </c>
    </row>
    <row r="1432" hidden="1">
      <c r="A1432" s="108"/>
      <c r="B1432" s="220"/>
      <c r="C1432" s="220" t="str">
        <f t="shared" si="5"/>
        <v>INOV00041</v>
      </c>
      <c r="D1432" s="220" t="str">
        <f>vlookup(M1432,'Página10'!A:B,2,false)</f>
        <v>INOV00041</v>
      </c>
      <c r="E1432" s="134" t="s">
        <v>110</v>
      </c>
      <c r="F1432" s="221">
        <v>45132.0</v>
      </c>
      <c r="G1432" s="222">
        <v>0.041666666666666664</v>
      </c>
      <c r="H1432" s="134" t="s">
        <v>475</v>
      </c>
      <c r="I1432" s="223" t="s">
        <v>475</v>
      </c>
      <c r="J1432" s="223" t="b">
        <f t="shared" si="1"/>
        <v>1</v>
      </c>
      <c r="K1432" s="145" t="s">
        <v>1406</v>
      </c>
      <c r="L1432" s="156"/>
      <c r="M1432" s="134" t="s">
        <v>1388</v>
      </c>
      <c r="N1432" s="150">
        <f>if(and(O1432=TRUE,P1432=TRUE), VLOOKUP($E1432,PESSOAL!$B$35:$S$45,MONTH($F1432)+6,false)*G1432*24,0)</f>
        <v>66.14258294</v>
      </c>
      <c r="O1432" s="117" t="b">
        <f t="shared" si="2"/>
        <v>1</v>
      </c>
      <c r="P1432" s="117" t="b">
        <v>1</v>
      </c>
      <c r="Q1432" s="117" t="s">
        <v>368</v>
      </c>
    </row>
    <row r="1433" hidden="1">
      <c r="A1433" s="108"/>
      <c r="B1433" s="220"/>
      <c r="C1433" s="220" t="str">
        <f t="shared" si="5"/>
        <v>INOV00001</v>
      </c>
      <c r="D1433" s="220" t="str">
        <f>vlookup(M1433,'Página10'!A:B,2,false)</f>
        <v>INOV00001</v>
      </c>
      <c r="E1433" s="134" t="s">
        <v>110</v>
      </c>
      <c r="F1433" s="221">
        <v>45133.0</v>
      </c>
      <c r="G1433" s="222">
        <v>0.125</v>
      </c>
      <c r="H1433" s="134" t="s">
        <v>411</v>
      </c>
      <c r="I1433" s="223" t="s">
        <v>411</v>
      </c>
      <c r="J1433" s="223" t="b">
        <f t="shared" si="1"/>
        <v>1</v>
      </c>
      <c r="K1433" s="145" t="s">
        <v>1397</v>
      </c>
      <c r="L1433" s="156"/>
      <c r="M1433" s="134" t="s">
        <v>416</v>
      </c>
      <c r="N1433" s="150">
        <f>if(and(O1433=TRUE,P1433=TRUE), VLOOKUP($E1433,PESSOAL!$B$35:$S$45,MONTH($F1433)+6,false)*G1433*24,0)</f>
        <v>198.4277488</v>
      </c>
      <c r="O1433" s="117" t="b">
        <f t="shared" si="2"/>
        <v>1</v>
      </c>
      <c r="P1433" s="117" t="b">
        <v>1</v>
      </c>
      <c r="Q1433" s="117" t="s">
        <v>368</v>
      </c>
    </row>
    <row r="1434" hidden="1">
      <c r="A1434" s="108"/>
      <c r="B1434" s="220"/>
      <c r="C1434" s="220" t="str">
        <f t="shared" si="5"/>
        <v>INOV00021</v>
      </c>
      <c r="D1434" s="220" t="str">
        <f>vlookup(M1434,'Página10'!A:B,2,false)</f>
        <v>INOV00021</v>
      </c>
      <c r="E1434" s="134" t="s">
        <v>110</v>
      </c>
      <c r="F1434" s="221">
        <v>45133.0</v>
      </c>
      <c r="G1434" s="222">
        <v>0.0625</v>
      </c>
      <c r="H1434" s="134" t="s">
        <v>475</v>
      </c>
      <c r="I1434" s="223" t="s">
        <v>475</v>
      </c>
      <c r="J1434" s="223" t="b">
        <f t="shared" si="1"/>
        <v>1</v>
      </c>
      <c r="K1434" s="145" t="s">
        <v>1407</v>
      </c>
      <c r="L1434" s="156"/>
      <c r="M1434" s="134" t="s">
        <v>436</v>
      </c>
      <c r="N1434" s="150">
        <f>if(and(O1434=TRUE,P1434=TRUE), VLOOKUP($E1434,PESSOAL!$B$35:$S$45,MONTH($F1434)+6,false)*G1434*24,0)</f>
        <v>99.2138744</v>
      </c>
      <c r="O1434" s="117" t="b">
        <f t="shared" si="2"/>
        <v>1</v>
      </c>
      <c r="P1434" s="117" t="b">
        <v>1</v>
      </c>
      <c r="Q1434" s="117" t="s">
        <v>368</v>
      </c>
    </row>
    <row r="1435" hidden="1">
      <c r="A1435" s="108"/>
      <c r="B1435" s="220"/>
      <c r="C1435" s="220" t="str">
        <f t="shared" si="5"/>
        <v>INOV00020</v>
      </c>
      <c r="D1435" s="220" t="str">
        <f>vlookup(M1435,'Página10'!A:B,2,false)</f>
        <v>INOV00020</v>
      </c>
      <c r="E1435" s="134" t="s">
        <v>110</v>
      </c>
      <c r="F1435" s="221">
        <v>45133.0</v>
      </c>
      <c r="G1435" s="222">
        <v>0.14583333333333334</v>
      </c>
      <c r="H1435" s="134" t="s">
        <v>475</v>
      </c>
      <c r="I1435" s="223" t="s">
        <v>475</v>
      </c>
      <c r="J1435" s="223" t="b">
        <f t="shared" si="1"/>
        <v>1</v>
      </c>
      <c r="K1435" s="145" t="s">
        <v>1408</v>
      </c>
      <c r="L1435" s="156"/>
      <c r="M1435" s="134" t="s">
        <v>434</v>
      </c>
      <c r="N1435" s="150">
        <f>if(and(O1435=TRUE,P1435=TRUE), VLOOKUP($E1435,PESSOAL!$B$35:$S$45,MONTH($F1435)+6,false)*G1435*24,0)</f>
        <v>0</v>
      </c>
      <c r="O1435" s="117" t="b">
        <f t="shared" si="2"/>
        <v>1</v>
      </c>
      <c r="P1435" s="117" t="b">
        <v>0</v>
      </c>
      <c r="Q1435" s="117" t="s">
        <v>368</v>
      </c>
    </row>
    <row r="1436" hidden="1">
      <c r="A1436" s="108"/>
      <c r="B1436" s="220"/>
      <c r="C1436" s="220" t="str">
        <f t="shared" si="5"/>
        <v>INOV00020</v>
      </c>
      <c r="D1436" s="220" t="str">
        <f>vlookup(M1436,'Página10'!A:B,2,false)</f>
        <v>INOV00020</v>
      </c>
      <c r="E1436" s="134" t="s">
        <v>110</v>
      </c>
      <c r="F1436" s="221">
        <v>45134.0</v>
      </c>
      <c r="G1436" s="222">
        <v>0.17708333333333334</v>
      </c>
      <c r="H1436" s="134" t="s">
        <v>475</v>
      </c>
      <c r="I1436" s="223" t="s">
        <v>475</v>
      </c>
      <c r="J1436" s="223" t="b">
        <f t="shared" si="1"/>
        <v>1</v>
      </c>
      <c r="K1436" s="145" t="s">
        <v>1409</v>
      </c>
      <c r="L1436" s="156"/>
      <c r="M1436" s="134" t="s">
        <v>434</v>
      </c>
      <c r="N1436" s="150">
        <f>if(and(O1436=TRUE,P1436=TRUE), VLOOKUP($E1436,PESSOAL!$B$35:$S$45,MONTH($F1436)+6,false)*G1436*24,0)</f>
        <v>0</v>
      </c>
      <c r="O1436" s="117" t="b">
        <f t="shared" si="2"/>
        <v>1</v>
      </c>
      <c r="P1436" s="117" t="b">
        <v>0</v>
      </c>
      <c r="Q1436" s="117" t="s">
        <v>368</v>
      </c>
    </row>
    <row r="1437" hidden="1">
      <c r="A1437" s="108"/>
      <c r="B1437" s="220"/>
      <c r="C1437" s="220" t="str">
        <f t="shared" si="5"/>
        <v>INOV00041</v>
      </c>
      <c r="D1437" s="220" t="str">
        <f>vlookup(M1437,'Página10'!A:B,2,false)</f>
        <v>INOV00041</v>
      </c>
      <c r="E1437" s="134" t="s">
        <v>110</v>
      </c>
      <c r="F1437" s="221">
        <v>45134.0</v>
      </c>
      <c r="G1437" s="222">
        <v>0.041666666666666664</v>
      </c>
      <c r="H1437" s="134" t="s">
        <v>475</v>
      </c>
      <c r="I1437" s="223" t="s">
        <v>475</v>
      </c>
      <c r="J1437" s="223" t="b">
        <f t="shared" si="1"/>
        <v>1</v>
      </c>
      <c r="K1437" s="145" t="s">
        <v>1410</v>
      </c>
      <c r="L1437" s="156"/>
      <c r="M1437" s="134" t="s">
        <v>1388</v>
      </c>
      <c r="N1437" s="150">
        <f>if(and(O1437=TRUE,P1437=TRUE), VLOOKUP($E1437,PESSOAL!$B$35:$S$45,MONTH($F1437)+6,false)*G1437*24,0)</f>
        <v>66.14258294</v>
      </c>
      <c r="O1437" s="117" t="b">
        <f t="shared" si="2"/>
        <v>1</v>
      </c>
      <c r="P1437" s="117" t="b">
        <v>1</v>
      </c>
      <c r="Q1437" s="117" t="s">
        <v>368</v>
      </c>
    </row>
    <row r="1438" hidden="1">
      <c r="A1438" s="108"/>
      <c r="B1438" s="220"/>
      <c r="C1438" s="220" t="str">
        <f t="shared" si="5"/>
        <v>INOV00001</v>
      </c>
      <c r="D1438" s="220" t="str">
        <f>vlookup(M1438,'Página10'!A:B,2,false)</f>
        <v>INOV00001</v>
      </c>
      <c r="E1438" s="134" t="s">
        <v>110</v>
      </c>
      <c r="F1438" s="221">
        <v>45134.0</v>
      </c>
      <c r="G1438" s="222">
        <v>0.041666666666666664</v>
      </c>
      <c r="H1438" s="134" t="s">
        <v>479</v>
      </c>
      <c r="I1438" s="223" t="s">
        <v>479</v>
      </c>
      <c r="J1438" s="223" t="b">
        <f t="shared" si="1"/>
        <v>1</v>
      </c>
      <c r="K1438" s="145" t="s">
        <v>1411</v>
      </c>
      <c r="L1438" s="156"/>
      <c r="M1438" s="134" t="s">
        <v>416</v>
      </c>
      <c r="N1438" s="150">
        <f>if(and(O1438=TRUE,P1438=TRUE), VLOOKUP($E1438,PESSOAL!$B$35:$S$45,MONTH($F1438)+6,false)*G1438*24,0)</f>
        <v>0</v>
      </c>
      <c r="O1438" s="117" t="b">
        <f t="shared" si="2"/>
        <v>0</v>
      </c>
      <c r="P1438" s="117" t="b">
        <v>1</v>
      </c>
      <c r="Q1438" s="117" t="s">
        <v>368</v>
      </c>
    </row>
    <row r="1439" hidden="1">
      <c r="A1439" s="108"/>
      <c r="B1439" s="220"/>
      <c r="C1439" s="220" t="str">
        <f t="shared" si="5"/>
        <v>INOV00020</v>
      </c>
      <c r="D1439" s="220" t="str">
        <f>vlookup(M1439,'Página10'!A:B,2,false)</f>
        <v>INOV00020</v>
      </c>
      <c r="E1439" s="134" t="s">
        <v>110</v>
      </c>
      <c r="F1439" s="221">
        <v>45135.0</v>
      </c>
      <c r="G1439" s="222">
        <v>0.21875</v>
      </c>
      <c r="H1439" s="134" t="s">
        <v>411</v>
      </c>
      <c r="I1439" s="223" t="s">
        <v>411</v>
      </c>
      <c r="J1439" s="223" t="b">
        <f t="shared" si="1"/>
        <v>1</v>
      </c>
      <c r="K1439" s="145" t="s">
        <v>1412</v>
      </c>
      <c r="L1439" s="156"/>
      <c r="M1439" s="134" t="s">
        <v>434</v>
      </c>
      <c r="N1439" s="150">
        <f>if(and(O1439=TRUE,P1439=TRUE), VLOOKUP($E1439,PESSOAL!$B$35:$S$45,MONTH($F1439)+6,false)*G1439*24,0)</f>
        <v>0</v>
      </c>
      <c r="O1439" s="117" t="b">
        <f t="shared" si="2"/>
        <v>1</v>
      </c>
      <c r="P1439" s="117" t="b">
        <v>0</v>
      </c>
      <c r="Q1439" s="117" t="s">
        <v>368</v>
      </c>
    </row>
    <row r="1440" hidden="1">
      <c r="A1440" s="108"/>
      <c r="B1440" s="220"/>
      <c r="C1440" s="220" t="str">
        <f t="shared" si="5"/>
        <v>INOV00020</v>
      </c>
      <c r="D1440" s="220" t="str">
        <f>vlookup(M1440,'Página10'!A:B,2,false)</f>
        <v>INOV00020</v>
      </c>
      <c r="E1440" s="134" t="s">
        <v>110</v>
      </c>
      <c r="F1440" s="221">
        <v>45135.0</v>
      </c>
      <c r="G1440" s="222">
        <v>0.10416666666666667</v>
      </c>
      <c r="H1440" s="134" t="s">
        <v>411</v>
      </c>
      <c r="I1440" s="223" t="s">
        <v>411</v>
      </c>
      <c r="J1440" s="223" t="b">
        <f t="shared" si="1"/>
        <v>1</v>
      </c>
      <c r="K1440" s="145" t="s">
        <v>1412</v>
      </c>
      <c r="L1440" s="156"/>
      <c r="M1440" s="134" t="s">
        <v>434</v>
      </c>
      <c r="N1440" s="150">
        <f>if(and(O1440=TRUE,P1440=TRUE), VLOOKUP($E1440,PESSOAL!$B$35:$S$45,MONTH($F1440)+6,false)*G1440*24,0)</f>
        <v>0</v>
      </c>
      <c r="O1440" s="117" t="b">
        <f t="shared" si="2"/>
        <v>1</v>
      </c>
      <c r="P1440" s="117" t="b">
        <v>0</v>
      </c>
      <c r="Q1440" s="117" t="s">
        <v>368</v>
      </c>
    </row>
    <row r="1441" hidden="1">
      <c r="A1441" s="108"/>
      <c r="B1441" s="220"/>
      <c r="C1441" s="220" t="str">
        <f t="shared" si="5"/>
        <v>INOV00041</v>
      </c>
      <c r="D1441" s="220" t="str">
        <f>vlookup(M1441,'Página10'!A:B,2,false)</f>
        <v>INOV00041</v>
      </c>
      <c r="E1441" s="134" t="s">
        <v>110</v>
      </c>
      <c r="F1441" s="221">
        <v>45138.0</v>
      </c>
      <c r="G1441" s="222">
        <v>0.041666666666666664</v>
      </c>
      <c r="H1441" s="134" t="s">
        <v>411</v>
      </c>
      <c r="I1441" s="223" t="s">
        <v>411</v>
      </c>
      <c r="J1441" s="223" t="b">
        <f t="shared" si="1"/>
        <v>1</v>
      </c>
      <c r="K1441" s="145" t="s">
        <v>1413</v>
      </c>
      <c r="L1441" s="156"/>
      <c r="M1441" s="134" t="s">
        <v>1388</v>
      </c>
      <c r="N1441" s="150">
        <f>if(and(O1441=TRUE,P1441=TRUE), VLOOKUP($E1441,PESSOAL!$B$35:$S$45,MONTH($F1441)+6,false)*G1441*24,0)</f>
        <v>66.14258294</v>
      </c>
      <c r="O1441" s="117" t="b">
        <f t="shared" si="2"/>
        <v>1</v>
      </c>
      <c r="P1441" s="117" t="b">
        <v>1</v>
      </c>
      <c r="Q1441" s="117" t="s">
        <v>368</v>
      </c>
    </row>
    <row r="1442" hidden="1">
      <c r="A1442" s="108"/>
      <c r="B1442" s="220"/>
      <c r="C1442" s="220" t="str">
        <f t="shared" si="5"/>
        <v>INOV00021</v>
      </c>
      <c r="D1442" s="220" t="str">
        <f>vlookup(M1442,'Página10'!A:B,2,false)</f>
        <v>INOV00021</v>
      </c>
      <c r="E1442" s="134" t="s">
        <v>110</v>
      </c>
      <c r="F1442" s="221">
        <v>45139.0</v>
      </c>
      <c r="G1442" s="222">
        <v>0.15625</v>
      </c>
      <c r="H1442" s="134" t="s">
        <v>411</v>
      </c>
      <c r="I1442" s="223" t="s">
        <v>411</v>
      </c>
      <c r="J1442" s="223" t="b">
        <f t="shared" si="1"/>
        <v>1</v>
      </c>
      <c r="K1442" s="145" t="s">
        <v>1414</v>
      </c>
      <c r="L1442" s="156"/>
      <c r="M1442" s="134" t="s">
        <v>436</v>
      </c>
      <c r="N1442" s="150">
        <f>if(and(O1442=TRUE,P1442=TRUE), VLOOKUP($E1442,PESSOAL!$B$35:$S$45,MONTH($F1442)+6,false)*G1442*24,0)</f>
        <v>226.4664524</v>
      </c>
      <c r="O1442" s="113" t="b">
        <v>1</v>
      </c>
      <c r="P1442" s="117" t="b">
        <v>1</v>
      </c>
      <c r="Q1442" s="117" t="s">
        <v>368</v>
      </c>
    </row>
    <row r="1443" hidden="1">
      <c r="A1443" s="108"/>
      <c r="B1443" s="220"/>
      <c r="C1443" s="220" t="str">
        <f t="shared" si="5"/>
        <v>INOV00013</v>
      </c>
      <c r="D1443" s="220" t="str">
        <f>vlookup(M1443,'Página10'!A:B,2,false)</f>
        <v>INOV00013</v>
      </c>
      <c r="E1443" s="134" t="s">
        <v>110</v>
      </c>
      <c r="F1443" s="221">
        <v>45139.0</v>
      </c>
      <c r="G1443" s="222">
        <v>0.0625</v>
      </c>
      <c r="H1443" s="134" t="s">
        <v>411</v>
      </c>
      <c r="I1443" s="223" t="s">
        <v>411</v>
      </c>
      <c r="J1443" s="223" t="b">
        <f t="shared" si="1"/>
        <v>1</v>
      </c>
      <c r="K1443" s="145" t="s">
        <v>1415</v>
      </c>
      <c r="L1443" s="156"/>
      <c r="M1443" s="134" t="s">
        <v>426</v>
      </c>
      <c r="N1443" s="150">
        <f>if(and(O1443=TRUE,P1443=TRUE), VLOOKUP($E1443,PESSOAL!$B$35:$S$45,MONTH($F1443)+6,false)*G1443*24,0)</f>
        <v>90.58658098</v>
      </c>
      <c r="O1443" s="117" t="b">
        <f t="shared" ref="O1443:O1526" si="6">if(OR(H1443="Treinamento",H1443="Pesquisa",H1443="Desenvolvimento"),TRUE,FALSE)</f>
        <v>1</v>
      </c>
      <c r="P1443" s="113" t="b">
        <v>1</v>
      </c>
      <c r="Q1443" s="117" t="s">
        <v>368</v>
      </c>
    </row>
    <row r="1444" hidden="1">
      <c r="A1444" s="108"/>
      <c r="B1444" s="220"/>
      <c r="C1444" s="220" t="str">
        <f t="shared" si="5"/>
        <v>INOV00041</v>
      </c>
      <c r="D1444" s="220" t="str">
        <f>vlookup(M1444,'Página10'!A:B,2,false)</f>
        <v>INOV00041</v>
      </c>
      <c r="E1444" s="134" t="s">
        <v>110</v>
      </c>
      <c r="F1444" s="221">
        <v>45140.0</v>
      </c>
      <c r="G1444" s="222">
        <v>0.40625</v>
      </c>
      <c r="H1444" s="134" t="s">
        <v>411</v>
      </c>
      <c r="I1444" s="223" t="s">
        <v>411</v>
      </c>
      <c r="J1444" s="223" t="b">
        <f t="shared" si="1"/>
        <v>1</v>
      </c>
      <c r="K1444" s="145" t="s">
        <v>1416</v>
      </c>
      <c r="L1444" s="156"/>
      <c r="M1444" s="134" t="s">
        <v>1388</v>
      </c>
      <c r="N1444" s="150">
        <f>if(and(O1444=TRUE,P1444=TRUE), VLOOKUP($E1444,PESSOAL!$B$35:$S$45,MONTH($F1444)+6,false)*G1444*24,0)</f>
        <v>588.8127764</v>
      </c>
      <c r="O1444" s="117" t="b">
        <f t="shared" si="6"/>
        <v>1</v>
      </c>
      <c r="P1444" s="117" t="b">
        <v>1</v>
      </c>
      <c r="Q1444" s="117" t="s">
        <v>368</v>
      </c>
    </row>
    <row r="1445" hidden="1">
      <c r="A1445" s="108"/>
      <c r="B1445" s="220"/>
      <c r="C1445" s="220" t="str">
        <f t="shared" si="5"/>
        <v>INOV00021</v>
      </c>
      <c r="D1445" s="220" t="str">
        <f>vlookup(M1445,'Página10'!A:B,2,false)</f>
        <v>INOV00021</v>
      </c>
      <c r="E1445" s="134" t="s">
        <v>110</v>
      </c>
      <c r="F1445" s="221">
        <v>45141.0</v>
      </c>
      <c r="G1445" s="222">
        <v>0.07291666666666667</v>
      </c>
      <c r="H1445" s="134" t="s">
        <v>411</v>
      </c>
      <c r="I1445" s="223" t="s">
        <v>411</v>
      </c>
      <c r="J1445" s="223" t="b">
        <f t="shared" si="1"/>
        <v>1</v>
      </c>
      <c r="K1445" s="145" t="s">
        <v>1417</v>
      </c>
      <c r="L1445" s="156"/>
      <c r="M1445" s="134" t="s">
        <v>436</v>
      </c>
      <c r="N1445" s="150">
        <f>if(and(O1445=TRUE,P1445=TRUE), VLOOKUP($E1445,PESSOAL!$B$35:$S$45,MONTH($F1445)+6,false)*G1445*24,0)</f>
        <v>105.6843445</v>
      </c>
      <c r="O1445" s="117" t="b">
        <f t="shared" si="6"/>
        <v>1</v>
      </c>
      <c r="P1445" s="117" t="b">
        <v>1</v>
      </c>
      <c r="Q1445" s="117" t="s">
        <v>368</v>
      </c>
    </row>
    <row r="1446" hidden="1">
      <c r="A1446" s="108"/>
      <c r="B1446" s="220"/>
      <c r="C1446" s="220" t="str">
        <f t="shared" si="5"/>
        <v>INOV00041</v>
      </c>
      <c r="D1446" s="220" t="str">
        <f>vlookup(M1446,'Página10'!A:B,2,false)</f>
        <v>INOV00041</v>
      </c>
      <c r="E1446" s="134" t="s">
        <v>110</v>
      </c>
      <c r="F1446" s="221">
        <v>45141.0</v>
      </c>
      <c r="G1446" s="222">
        <v>0.08333333333333333</v>
      </c>
      <c r="H1446" s="134" t="s">
        <v>411</v>
      </c>
      <c r="I1446" s="223" t="s">
        <v>411</v>
      </c>
      <c r="J1446" s="223" t="b">
        <f t="shared" si="1"/>
        <v>1</v>
      </c>
      <c r="K1446" s="145" t="s">
        <v>1418</v>
      </c>
      <c r="L1446" s="156"/>
      <c r="M1446" s="134" t="s">
        <v>1388</v>
      </c>
      <c r="N1446" s="150">
        <f>if(and(O1446=TRUE,P1446=TRUE), VLOOKUP($E1446,PESSOAL!$B$35:$S$45,MONTH($F1446)+6,false)*G1446*24,0)</f>
        <v>120.782108</v>
      </c>
      <c r="O1446" s="117" t="b">
        <f t="shared" si="6"/>
        <v>1</v>
      </c>
      <c r="P1446" s="117" t="b">
        <v>1</v>
      </c>
      <c r="Q1446" s="117" t="s">
        <v>368</v>
      </c>
    </row>
    <row r="1447" hidden="1">
      <c r="A1447" s="108"/>
      <c r="B1447" s="220"/>
      <c r="C1447" s="220" t="str">
        <f t="shared" si="5"/>
        <v>INOV00021</v>
      </c>
      <c r="D1447" s="220" t="str">
        <f>vlookup(M1447,'Página10'!A:B,2,false)</f>
        <v>INOV00021</v>
      </c>
      <c r="E1447" s="134" t="s">
        <v>110</v>
      </c>
      <c r="F1447" s="221">
        <v>45142.0</v>
      </c>
      <c r="G1447" s="222">
        <v>0.0625</v>
      </c>
      <c r="H1447" s="134" t="s">
        <v>411</v>
      </c>
      <c r="I1447" s="223" t="s">
        <v>411</v>
      </c>
      <c r="J1447" s="223" t="b">
        <f t="shared" si="1"/>
        <v>1</v>
      </c>
      <c r="K1447" s="145" t="s">
        <v>1419</v>
      </c>
      <c r="L1447" s="156"/>
      <c r="M1447" s="134" t="s">
        <v>436</v>
      </c>
      <c r="N1447" s="150">
        <f>if(and(O1447=TRUE,P1447=TRUE), VLOOKUP($E1447,PESSOAL!$B$35:$S$45,MONTH($F1447)+6,false)*G1447*24,0)</f>
        <v>90.58658098</v>
      </c>
      <c r="O1447" s="117" t="b">
        <f t="shared" si="6"/>
        <v>1</v>
      </c>
      <c r="P1447" s="117" t="b">
        <v>1</v>
      </c>
      <c r="Q1447" s="117" t="s">
        <v>368</v>
      </c>
    </row>
    <row r="1448" hidden="1">
      <c r="A1448" s="108"/>
      <c r="B1448" s="220"/>
      <c r="C1448" s="220" t="str">
        <f t="shared" si="5"/>
        <v>INOV00020</v>
      </c>
      <c r="D1448" s="220" t="str">
        <f>vlookup(M1448,'Página10'!A:B,2,false)</f>
        <v>INOV00020</v>
      </c>
      <c r="E1448" s="134" t="s">
        <v>110</v>
      </c>
      <c r="F1448" s="221">
        <v>45142.0</v>
      </c>
      <c r="G1448" s="222">
        <v>0.08333333333333333</v>
      </c>
      <c r="H1448" s="134" t="s">
        <v>475</v>
      </c>
      <c r="I1448" s="223" t="s">
        <v>475</v>
      </c>
      <c r="J1448" s="223" t="b">
        <f t="shared" si="1"/>
        <v>1</v>
      </c>
      <c r="K1448" s="145" t="s">
        <v>1420</v>
      </c>
      <c r="L1448" s="156"/>
      <c r="M1448" s="134" t="s">
        <v>434</v>
      </c>
      <c r="N1448" s="150">
        <f>if(and(O1448=TRUE,P1448=TRUE), VLOOKUP($E1448,PESSOAL!$B$35:$S$45,MONTH($F1448)+6,false)*G1448*24,0)</f>
        <v>0</v>
      </c>
      <c r="O1448" s="117" t="b">
        <f t="shared" si="6"/>
        <v>1</v>
      </c>
      <c r="P1448" s="117" t="b">
        <v>0</v>
      </c>
      <c r="Q1448" s="117" t="s">
        <v>368</v>
      </c>
    </row>
    <row r="1449" hidden="1">
      <c r="A1449" s="108"/>
      <c r="B1449" s="220"/>
      <c r="C1449" s="220" t="str">
        <f t="shared" si="5"/>
        <v>INOV00020</v>
      </c>
      <c r="D1449" s="220" t="str">
        <f>vlookup(M1449,'Página10'!A:B,2,false)</f>
        <v>INOV00020</v>
      </c>
      <c r="E1449" s="134" t="s">
        <v>110</v>
      </c>
      <c r="F1449" s="221">
        <v>45145.0</v>
      </c>
      <c r="G1449" s="222">
        <v>0.08333333333333333</v>
      </c>
      <c r="H1449" s="134" t="s">
        <v>475</v>
      </c>
      <c r="I1449" s="223" t="s">
        <v>475</v>
      </c>
      <c r="J1449" s="223" t="b">
        <f t="shared" si="1"/>
        <v>1</v>
      </c>
      <c r="K1449" s="145" t="s">
        <v>1420</v>
      </c>
      <c r="L1449" s="156"/>
      <c r="M1449" s="134" t="s">
        <v>434</v>
      </c>
      <c r="N1449" s="150">
        <f>if(and(O1449=TRUE,P1449=TRUE), VLOOKUP($E1449,PESSOAL!$B$35:$S$45,MONTH($F1449)+6,false)*G1449*24,0)</f>
        <v>0</v>
      </c>
      <c r="O1449" s="117" t="b">
        <f t="shared" si="6"/>
        <v>1</v>
      </c>
      <c r="P1449" s="117" t="b">
        <v>0</v>
      </c>
      <c r="Q1449" s="117" t="s">
        <v>368</v>
      </c>
    </row>
    <row r="1450" hidden="1">
      <c r="A1450" s="108"/>
      <c r="B1450" s="220"/>
      <c r="C1450" s="220" t="str">
        <f t="shared" si="5"/>
        <v>INOV00031</v>
      </c>
      <c r="D1450" s="220" t="str">
        <f>vlookup(M1450,'Página10'!A:B,2,false)</f>
        <v>INOV00031</v>
      </c>
      <c r="E1450" s="134" t="s">
        <v>110</v>
      </c>
      <c r="F1450" s="221">
        <v>45145.0</v>
      </c>
      <c r="G1450" s="222">
        <v>0.041666666666666664</v>
      </c>
      <c r="H1450" s="134" t="s">
        <v>475</v>
      </c>
      <c r="I1450" s="223" t="s">
        <v>475</v>
      </c>
      <c r="J1450" s="223" t="b">
        <f t="shared" si="1"/>
        <v>1</v>
      </c>
      <c r="K1450" s="145" t="s">
        <v>1421</v>
      </c>
      <c r="L1450" s="156"/>
      <c r="M1450" s="134" t="s">
        <v>451</v>
      </c>
      <c r="N1450" s="150">
        <f>if(and(O1450=TRUE,P1450=TRUE), VLOOKUP($E1450,PESSOAL!$B$35:$S$45,MONTH($F1450)+6,false)*G1450*24,0)</f>
        <v>60.39105399</v>
      </c>
      <c r="O1450" s="117" t="b">
        <f t="shared" si="6"/>
        <v>1</v>
      </c>
      <c r="P1450" s="117" t="b">
        <v>1</v>
      </c>
      <c r="Q1450" s="117" t="s">
        <v>368</v>
      </c>
    </row>
    <row r="1451" hidden="1">
      <c r="A1451" s="108"/>
      <c r="B1451" s="220"/>
      <c r="C1451" s="220" t="str">
        <f t="shared" si="5"/>
        <v>INOV00041</v>
      </c>
      <c r="D1451" s="220" t="str">
        <f>vlookup(M1451,'Página10'!A:B,2,false)</f>
        <v>INOV00041</v>
      </c>
      <c r="E1451" s="134" t="s">
        <v>110</v>
      </c>
      <c r="F1451" s="221">
        <v>45145.0</v>
      </c>
      <c r="G1451" s="222">
        <v>0.08333333333333333</v>
      </c>
      <c r="H1451" s="134" t="s">
        <v>411</v>
      </c>
      <c r="I1451" s="223" t="s">
        <v>411</v>
      </c>
      <c r="J1451" s="223" t="b">
        <f t="shared" si="1"/>
        <v>1</v>
      </c>
      <c r="K1451" s="145" t="s">
        <v>1422</v>
      </c>
      <c r="L1451" s="156"/>
      <c r="M1451" s="134" t="s">
        <v>1388</v>
      </c>
      <c r="N1451" s="150">
        <f>if(and(O1451=TRUE,P1451=TRUE), VLOOKUP($E1451,PESSOAL!$B$35:$S$45,MONTH($F1451)+6,false)*G1451*24,0)</f>
        <v>120.782108</v>
      </c>
      <c r="O1451" s="117" t="b">
        <f t="shared" si="6"/>
        <v>1</v>
      </c>
      <c r="P1451" s="117" t="b">
        <v>1</v>
      </c>
      <c r="Q1451" s="117" t="s">
        <v>368</v>
      </c>
    </row>
    <row r="1452" hidden="1">
      <c r="A1452" s="108"/>
      <c r="B1452" s="220"/>
      <c r="C1452" s="220" t="str">
        <f t="shared" si="5"/>
        <v>INOV00001</v>
      </c>
      <c r="D1452" s="220" t="str">
        <f>vlookup(M1452,'Página10'!A:B,2,false)</f>
        <v>INOV00001</v>
      </c>
      <c r="E1452" s="134" t="s">
        <v>110</v>
      </c>
      <c r="F1452" s="221">
        <v>45146.0</v>
      </c>
      <c r="G1452" s="222">
        <v>0.07291666666666667</v>
      </c>
      <c r="H1452" s="134" t="s">
        <v>411</v>
      </c>
      <c r="I1452" s="223" t="s">
        <v>411</v>
      </c>
      <c r="J1452" s="223" t="b">
        <f t="shared" si="1"/>
        <v>1</v>
      </c>
      <c r="K1452" s="145" t="s">
        <v>1423</v>
      </c>
      <c r="L1452" s="156"/>
      <c r="M1452" s="134" t="s">
        <v>416</v>
      </c>
      <c r="N1452" s="150">
        <f>if(and(O1452=TRUE,P1452=TRUE), VLOOKUP($E1452,PESSOAL!$B$35:$S$45,MONTH($F1452)+6,false)*G1452*24,0)</f>
        <v>105.6843445</v>
      </c>
      <c r="O1452" s="117" t="b">
        <f t="shared" si="6"/>
        <v>1</v>
      </c>
      <c r="P1452" s="117" t="b">
        <v>1</v>
      </c>
      <c r="Q1452" s="117" t="s">
        <v>368</v>
      </c>
    </row>
    <row r="1453" hidden="1">
      <c r="A1453" s="108"/>
      <c r="B1453" s="220"/>
      <c r="C1453" s="220" t="str">
        <f t="shared" si="5"/>
        <v>INOV00001</v>
      </c>
      <c r="D1453" s="220" t="str">
        <f>vlookup(M1453,'Página10'!A:B,2,false)</f>
        <v>INOV00001</v>
      </c>
      <c r="E1453" s="134" t="s">
        <v>110</v>
      </c>
      <c r="F1453" s="221">
        <v>45146.0</v>
      </c>
      <c r="G1453" s="222">
        <v>0.125</v>
      </c>
      <c r="H1453" s="134" t="s">
        <v>411</v>
      </c>
      <c r="I1453" s="223" t="s">
        <v>411</v>
      </c>
      <c r="J1453" s="223" t="b">
        <f t="shared" si="1"/>
        <v>1</v>
      </c>
      <c r="K1453" s="145" t="s">
        <v>1423</v>
      </c>
      <c r="L1453" s="156"/>
      <c r="M1453" s="134" t="s">
        <v>416</v>
      </c>
      <c r="N1453" s="150">
        <f>if(and(O1453=TRUE,P1453=TRUE), VLOOKUP($E1453,PESSOAL!$B$35:$S$45,MONTH($F1453)+6,false)*G1453*24,0)</f>
        <v>181.173162</v>
      </c>
      <c r="O1453" s="117" t="b">
        <f t="shared" si="6"/>
        <v>1</v>
      </c>
      <c r="P1453" s="117" t="b">
        <v>1</v>
      </c>
      <c r="Q1453" s="117" t="s">
        <v>368</v>
      </c>
    </row>
    <row r="1454" hidden="1">
      <c r="A1454" s="108"/>
      <c r="B1454" s="220"/>
      <c r="C1454" s="220" t="str">
        <f t="shared" si="5"/>
        <v>INOV00020</v>
      </c>
      <c r="D1454" s="220" t="str">
        <f>vlookup(M1454,'Página10'!A:B,2,false)</f>
        <v>INOV00020</v>
      </c>
      <c r="E1454" s="134" t="s">
        <v>110</v>
      </c>
      <c r="F1454" s="221">
        <v>45146.0</v>
      </c>
      <c r="G1454" s="222">
        <v>0.0625</v>
      </c>
      <c r="H1454" s="134" t="s">
        <v>475</v>
      </c>
      <c r="I1454" s="223" t="s">
        <v>475</v>
      </c>
      <c r="J1454" s="223" t="b">
        <f t="shared" si="1"/>
        <v>1</v>
      </c>
      <c r="K1454" s="145" t="s">
        <v>1420</v>
      </c>
      <c r="L1454" s="156"/>
      <c r="M1454" s="134" t="s">
        <v>434</v>
      </c>
      <c r="N1454" s="150">
        <f>if(and(O1454=TRUE,P1454=TRUE), VLOOKUP($E1454,PESSOAL!$B$35:$S$45,MONTH($F1454)+6,false)*G1454*24,0)</f>
        <v>0</v>
      </c>
      <c r="O1454" s="117" t="b">
        <f t="shared" si="6"/>
        <v>1</v>
      </c>
      <c r="P1454" s="117" t="b">
        <v>0</v>
      </c>
      <c r="Q1454" s="117" t="s">
        <v>368</v>
      </c>
    </row>
    <row r="1455" hidden="1">
      <c r="A1455" s="108"/>
      <c r="B1455" s="220"/>
      <c r="C1455" s="220" t="str">
        <f t="shared" si="5"/>
        <v>INOV00041</v>
      </c>
      <c r="D1455" s="220" t="str">
        <f>vlookup(M1455,'Página10'!A:B,2,false)</f>
        <v>INOV00041</v>
      </c>
      <c r="E1455" s="134" t="s">
        <v>110</v>
      </c>
      <c r="F1455" s="221">
        <v>45147.0</v>
      </c>
      <c r="G1455" s="222">
        <v>0.23958333333333334</v>
      </c>
      <c r="H1455" s="134" t="s">
        <v>411</v>
      </c>
      <c r="I1455" s="223" t="s">
        <v>411</v>
      </c>
      <c r="J1455" s="223" t="b">
        <f t="shared" si="1"/>
        <v>1</v>
      </c>
      <c r="K1455" s="145" t="s">
        <v>1416</v>
      </c>
      <c r="L1455" s="156"/>
      <c r="M1455" s="134" t="s">
        <v>1388</v>
      </c>
      <c r="N1455" s="150">
        <f>if(and(O1455=TRUE,P1455=TRUE), VLOOKUP($E1455,PESSOAL!$B$35:$S$45,MONTH($F1455)+6,false)*G1455*24,0)</f>
        <v>347.2485604</v>
      </c>
      <c r="O1455" s="117" t="b">
        <f t="shared" si="6"/>
        <v>1</v>
      </c>
      <c r="P1455" s="117" t="b">
        <v>1</v>
      </c>
      <c r="Q1455" s="117" t="s">
        <v>368</v>
      </c>
    </row>
    <row r="1456" hidden="1">
      <c r="A1456" s="108"/>
      <c r="B1456" s="220"/>
      <c r="C1456" s="220" t="str">
        <f t="shared" si="5"/>
        <v>INOV00041</v>
      </c>
      <c r="D1456" s="220" t="str">
        <f>vlookup(M1456,'Página10'!A:B,2,false)</f>
        <v>INOV00041</v>
      </c>
      <c r="E1456" s="134" t="s">
        <v>110</v>
      </c>
      <c r="F1456" s="221">
        <v>45147.0</v>
      </c>
      <c r="G1456" s="222">
        <v>0.0625</v>
      </c>
      <c r="H1456" s="134" t="s">
        <v>475</v>
      </c>
      <c r="I1456" s="223" t="s">
        <v>475</v>
      </c>
      <c r="J1456" s="223" t="b">
        <f t="shared" si="1"/>
        <v>1</v>
      </c>
      <c r="K1456" s="145" t="s">
        <v>1184</v>
      </c>
      <c r="L1456" s="156"/>
      <c r="M1456" s="134" t="s">
        <v>1388</v>
      </c>
      <c r="N1456" s="150">
        <f>if(and(O1456=TRUE,P1456=TRUE), VLOOKUP($E1456,PESSOAL!$B$35:$S$45,MONTH($F1456)+6,false)*G1456*24,0)</f>
        <v>90.58658098</v>
      </c>
      <c r="O1456" s="117" t="b">
        <f t="shared" si="6"/>
        <v>1</v>
      </c>
      <c r="P1456" s="117" t="b">
        <v>1</v>
      </c>
      <c r="Q1456" s="117" t="s">
        <v>368</v>
      </c>
    </row>
    <row r="1457" hidden="1">
      <c r="A1457" s="108"/>
      <c r="B1457" s="220"/>
      <c r="C1457" s="220" t="str">
        <f t="shared" si="5"/>
        <v>INOV00001</v>
      </c>
      <c r="D1457" s="220" t="str">
        <f>vlookup(M1457,'Página10'!A:B,2,false)</f>
        <v>INOV00001</v>
      </c>
      <c r="E1457" s="134" t="s">
        <v>110</v>
      </c>
      <c r="F1457" s="221">
        <v>45147.0</v>
      </c>
      <c r="G1457" s="222">
        <v>0.0625</v>
      </c>
      <c r="H1457" s="134" t="s">
        <v>411</v>
      </c>
      <c r="I1457" s="223" t="s">
        <v>411</v>
      </c>
      <c r="J1457" s="223" t="b">
        <f t="shared" si="1"/>
        <v>1</v>
      </c>
      <c r="K1457" s="145" t="s">
        <v>1424</v>
      </c>
      <c r="L1457" s="156"/>
      <c r="M1457" s="134" t="s">
        <v>416</v>
      </c>
      <c r="N1457" s="150">
        <f>if(and(O1457=TRUE,P1457=TRUE), VLOOKUP($E1457,PESSOAL!$B$35:$S$45,MONTH($F1457)+6,false)*G1457*24,0)</f>
        <v>90.58658098</v>
      </c>
      <c r="O1457" s="117" t="b">
        <f t="shared" si="6"/>
        <v>1</v>
      </c>
      <c r="P1457" s="117" t="b">
        <v>1</v>
      </c>
      <c r="Q1457" s="117" t="s">
        <v>368</v>
      </c>
    </row>
    <row r="1458" hidden="1">
      <c r="A1458" s="108"/>
      <c r="B1458" s="220"/>
      <c r="C1458" s="220" t="str">
        <f t="shared" si="5"/>
        <v>INOV00001</v>
      </c>
      <c r="D1458" s="220" t="str">
        <f>vlookup(M1458,'Página10'!A:B,2,false)</f>
        <v>INOV00001</v>
      </c>
      <c r="E1458" s="134" t="s">
        <v>110</v>
      </c>
      <c r="F1458" s="221">
        <v>45148.0</v>
      </c>
      <c r="G1458" s="222">
        <v>0.0625</v>
      </c>
      <c r="H1458" s="134" t="s">
        <v>411</v>
      </c>
      <c r="I1458" s="223" t="s">
        <v>411</v>
      </c>
      <c r="J1458" s="223" t="b">
        <f t="shared" si="1"/>
        <v>1</v>
      </c>
      <c r="K1458" s="145" t="s">
        <v>1424</v>
      </c>
      <c r="L1458" s="156"/>
      <c r="M1458" s="134" t="s">
        <v>416</v>
      </c>
      <c r="N1458" s="150">
        <f>if(and(O1458=TRUE,P1458=TRUE), VLOOKUP($E1458,PESSOAL!$B$35:$S$45,MONTH($F1458)+6,false)*G1458*24,0)</f>
        <v>90.58658098</v>
      </c>
      <c r="O1458" s="117" t="b">
        <f t="shared" si="6"/>
        <v>1</v>
      </c>
      <c r="P1458" s="117" t="b">
        <v>1</v>
      </c>
      <c r="Q1458" s="117" t="s">
        <v>368</v>
      </c>
    </row>
    <row r="1459" hidden="1">
      <c r="A1459" s="108"/>
      <c r="B1459" s="220"/>
      <c r="C1459" s="220" t="str">
        <f t="shared" si="5"/>
        <v>INOV00001</v>
      </c>
      <c r="D1459" s="220" t="str">
        <f>vlookup(M1459,'Página10'!A:B,2,false)</f>
        <v>INOV00001</v>
      </c>
      <c r="E1459" s="134" t="s">
        <v>110</v>
      </c>
      <c r="F1459" s="221">
        <v>45149.0</v>
      </c>
      <c r="G1459" s="222">
        <v>0.125</v>
      </c>
      <c r="H1459" s="134" t="s">
        <v>411</v>
      </c>
      <c r="I1459" s="223" t="s">
        <v>411</v>
      </c>
      <c r="J1459" s="223" t="b">
        <f t="shared" si="1"/>
        <v>1</v>
      </c>
      <c r="K1459" s="145" t="s">
        <v>1425</v>
      </c>
      <c r="L1459" s="156"/>
      <c r="M1459" s="134" t="s">
        <v>416</v>
      </c>
      <c r="N1459" s="150">
        <f>if(and(O1459=TRUE,P1459=TRUE), VLOOKUP($E1459,PESSOAL!$B$35:$S$45,MONTH($F1459)+6,false)*G1459*24,0)</f>
        <v>181.173162</v>
      </c>
      <c r="O1459" s="117" t="b">
        <f t="shared" si="6"/>
        <v>1</v>
      </c>
      <c r="P1459" s="117" t="b">
        <v>1</v>
      </c>
      <c r="Q1459" s="117" t="s">
        <v>368</v>
      </c>
    </row>
    <row r="1460" hidden="1">
      <c r="A1460" s="108"/>
      <c r="B1460" s="220"/>
      <c r="C1460" s="220" t="str">
        <f t="shared" si="5"/>
        <v>INOV00041</v>
      </c>
      <c r="D1460" s="220" t="str">
        <f>vlookup(M1460,'Página10'!A:B,2,false)</f>
        <v>INOV00041</v>
      </c>
      <c r="E1460" s="134" t="s">
        <v>110</v>
      </c>
      <c r="F1460" s="221">
        <v>45152.0</v>
      </c>
      <c r="G1460" s="222">
        <v>0.23958333333333334</v>
      </c>
      <c r="H1460" s="134" t="s">
        <v>411</v>
      </c>
      <c r="I1460" s="223" t="s">
        <v>411</v>
      </c>
      <c r="J1460" s="223" t="b">
        <f t="shared" si="1"/>
        <v>1</v>
      </c>
      <c r="K1460" s="145" t="s">
        <v>1416</v>
      </c>
      <c r="L1460" s="156"/>
      <c r="M1460" s="134" t="s">
        <v>1388</v>
      </c>
      <c r="N1460" s="150">
        <f>if(and(O1460=TRUE,P1460=TRUE), VLOOKUP($E1460,PESSOAL!$B$35:$S$45,MONTH($F1460)+6,false)*G1460*24,0)</f>
        <v>347.2485604</v>
      </c>
      <c r="O1460" s="117" t="b">
        <f t="shared" si="6"/>
        <v>1</v>
      </c>
      <c r="P1460" s="117" t="b">
        <v>1</v>
      </c>
      <c r="Q1460" s="117" t="s">
        <v>368</v>
      </c>
    </row>
    <row r="1461" hidden="1">
      <c r="A1461" s="108"/>
      <c r="B1461" s="220"/>
      <c r="C1461" s="220" t="str">
        <f t="shared" si="5"/>
        <v>INOV00001</v>
      </c>
      <c r="D1461" s="220" t="str">
        <f>vlookup(M1461,'Página10'!A:B,2,false)</f>
        <v>INOV00001</v>
      </c>
      <c r="E1461" s="134" t="s">
        <v>110</v>
      </c>
      <c r="F1461" s="221">
        <v>45152.0</v>
      </c>
      <c r="G1461" s="222">
        <v>0.08333333333333333</v>
      </c>
      <c r="H1461" s="134" t="s">
        <v>411</v>
      </c>
      <c r="I1461" s="223" t="s">
        <v>411</v>
      </c>
      <c r="J1461" s="223" t="b">
        <f t="shared" si="1"/>
        <v>1</v>
      </c>
      <c r="K1461" s="145" t="s">
        <v>1425</v>
      </c>
      <c r="L1461" s="156"/>
      <c r="M1461" s="134" t="s">
        <v>416</v>
      </c>
      <c r="N1461" s="150">
        <f>if(and(O1461=TRUE,P1461=TRUE), VLOOKUP($E1461,PESSOAL!$B$35:$S$45,MONTH($F1461)+6,false)*G1461*24,0)</f>
        <v>120.782108</v>
      </c>
      <c r="O1461" s="117" t="b">
        <f t="shared" si="6"/>
        <v>1</v>
      </c>
      <c r="P1461" s="117" t="b">
        <v>1</v>
      </c>
      <c r="Q1461" s="117" t="s">
        <v>368</v>
      </c>
    </row>
    <row r="1462" hidden="1">
      <c r="A1462" s="108"/>
      <c r="B1462" s="220"/>
      <c r="C1462" s="220" t="str">
        <f t="shared" si="5"/>
        <v>INOV00001</v>
      </c>
      <c r="D1462" s="220" t="str">
        <f>vlookup(M1462,'Página10'!A:B,2,false)</f>
        <v>INOV00001</v>
      </c>
      <c r="E1462" s="134" t="s">
        <v>110</v>
      </c>
      <c r="F1462" s="221">
        <v>45153.0</v>
      </c>
      <c r="G1462" s="222">
        <v>0.07291666666666667</v>
      </c>
      <c r="H1462" s="134" t="s">
        <v>479</v>
      </c>
      <c r="I1462" s="223" t="s">
        <v>479</v>
      </c>
      <c r="J1462" s="223" t="b">
        <f t="shared" si="1"/>
        <v>1</v>
      </c>
      <c r="K1462" s="145" t="s">
        <v>1426</v>
      </c>
      <c r="L1462" s="156"/>
      <c r="M1462" s="134" t="s">
        <v>416</v>
      </c>
      <c r="N1462" s="150">
        <f>if(and(O1462=TRUE,P1462=TRUE), VLOOKUP($E1462,PESSOAL!$B$35:$S$45,MONTH($F1462)+6,false)*G1462*24,0)</f>
        <v>0</v>
      </c>
      <c r="O1462" s="117" t="b">
        <f t="shared" si="6"/>
        <v>0</v>
      </c>
      <c r="P1462" s="117" t="b">
        <v>1</v>
      </c>
      <c r="Q1462" s="117" t="s">
        <v>368</v>
      </c>
    </row>
    <row r="1463" hidden="1">
      <c r="A1463" s="108"/>
      <c r="B1463" s="220"/>
      <c r="C1463" s="220" t="str">
        <f t="shared" si="5"/>
        <v>INOV00001</v>
      </c>
      <c r="D1463" s="220" t="str">
        <f>vlookup(M1463,'Página10'!A:B,2,false)</f>
        <v>INOV00001</v>
      </c>
      <c r="E1463" s="134" t="s">
        <v>110</v>
      </c>
      <c r="F1463" s="221">
        <v>45153.0</v>
      </c>
      <c r="G1463" s="222">
        <v>0.125</v>
      </c>
      <c r="H1463" s="134" t="s">
        <v>411</v>
      </c>
      <c r="I1463" s="223" t="s">
        <v>411</v>
      </c>
      <c r="J1463" s="223" t="b">
        <f t="shared" si="1"/>
        <v>1</v>
      </c>
      <c r="K1463" s="145" t="s">
        <v>1427</v>
      </c>
      <c r="L1463" s="156"/>
      <c r="M1463" s="134" t="s">
        <v>416</v>
      </c>
      <c r="N1463" s="150">
        <f>if(and(O1463=TRUE,P1463=TRUE), VLOOKUP($E1463,PESSOAL!$B$35:$S$45,MONTH($F1463)+6,false)*G1463*24,0)</f>
        <v>181.173162</v>
      </c>
      <c r="O1463" s="117" t="b">
        <f t="shared" si="6"/>
        <v>1</v>
      </c>
      <c r="P1463" s="117" t="b">
        <v>1</v>
      </c>
      <c r="Q1463" s="117" t="s">
        <v>368</v>
      </c>
    </row>
    <row r="1464" hidden="1">
      <c r="A1464" s="108"/>
      <c r="B1464" s="220"/>
      <c r="C1464" s="220" t="str">
        <f t="shared" si="5"/>
        <v>INOV00001</v>
      </c>
      <c r="D1464" s="220" t="str">
        <f>vlookup(M1464,'Página10'!A:B,2,false)</f>
        <v>INOV00001</v>
      </c>
      <c r="E1464" s="134" t="s">
        <v>110</v>
      </c>
      <c r="F1464" s="221">
        <v>45154.0</v>
      </c>
      <c r="G1464" s="222">
        <v>0.15625</v>
      </c>
      <c r="H1464" s="134" t="s">
        <v>411</v>
      </c>
      <c r="I1464" s="223" t="s">
        <v>411</v>
      </c>
      <c r="J1464" s="223" t="b">
        <f t="shared" si="1"/>
        <v>1</v>
      </c>
      <c r="K1464" s="145" t="s">
        <v>1423</v>
      </c>
      <c r="L1464" s="156"/>
      <c r="M1464" s="134" t="s">
        <v>416</v>
      </c>
      <c r="N1464" s="150">
        <f>if(and(O1464=TRUE,P1464=TRUE), VLOOKUP($E1464,PESSOAL!$B$35:$S$45,MONTH($F1464)+6,false)*G1464*24,0)</f>
        <v>226.4664524</v>
      </c>
      <c r="O1464" s="117" t="b">
        <f t="shared" si="6"/>
        <v>1</v>
      </c>
      <c r="P1464" s="117" t="b">
        <v>1</v>
      </c>
      <c r="Q1464" s="117" t="s">
        <v>368</v>
      </c>
    </row>
    <row r="1465" hidden="1">
      <c r="A1465" s="108"/>
      <c r="B1465" s="220"/>
      <c r="C1465" s="220" t="str">
        <f t="shared" si="5"/>
        <v>INOV00020</v>
      </c>
      <c r="D1465" s="220" t="str">
        <f>vlookup(M1465,'Página10'!A:B,2,false)</f>
        <v>INOV00020</v>
      </c>
      <c r="E1465" s="134" t="s">
        <v>110</v>
      </c>
      <c r="F1465" s="221">
        <v>45154.0</v>
      </c>
      <c r="G1465" s="222">
        <v>0.0625</v>
      </c>
      <c r="H1465" s="134" t="s">
        <v>475</v>
      </c>
      <c r="I1465" s="223" t="s">
        <v>475</v>
      </c>
      <c r="J1465" s="223" t="b">
        <f t="shared" si="1"/>
        <v>1</v>
      </c>
      <c r="K1465" s="145" t="s">
        <v>1420</v>
      </c>
      <c r="L1465" s="156"/>
      <c r="M1465" s="134" t="s">
        <v>434</v>
      </c>
      <c r="N1465" s="150">
        <f>if(and(O1465=TRUE,P1465=TRUE), VLOOKUP($E1465,PESSOAL!$B$35:$S$45,MONTH($F1465)+6,false)*G1465*24,0)</f>
        <v>0</v>
      </c>
      <c r="O1465" s="117" t="b">
        <f t="shared" si="6"/>
        <v>1</v>
      </c>
      <c r="P1465" s="117" t="b">
        <v>0</v>
      </c>
      <c r="Q1465" s="117" t="s">
        <v>368</v>
      </c>
    </row>
    <row r="1466" hidden="1">
      <c r="A1466" s="108"/>
      <c r="B1466" s="220"/>
      <c r="C1466" s="220" t="str">
        <f t="shared" si="5"/>
        <v>INOV00001</v>
      </c>
      <c r="D1466" s="220" t="str">
        <f>vlookup(M1466,'Página10'!A:B,2,false)</f>
        <v>INOV00001</v>
      </c>
      <c r="E1466" s="134" t="s">
        <v>110</v>
      </c>
      <c r="F1466" s="221">
        <v>45155.0</v>
      </c>
      <c r="G1466" s="222">
        <v>0.0625</v>
      </c>
      <c r="H1466" s="134" t="s">
        <v>411</v>
      </c>
      <c r="I1466" s="223" t="s">
        <v>411</v>
      </c>
      <c r="J1466" s="223" t="b">
        <f t="shared" si="1"/>
        <v>1</v>
      </c>
      <c r="K1466" s="145" t="s">
        <v>1423</v>
      </c>
      <c r="L1466" s="156"/>
      <c r="M1466" s="134" t="s">
        <v>416</v>
      </c>
      <c r="N1466" s="150">
        <f>if(and(O1466=TRUE,P1466=TRUE), VLOOKUP($E1466,PESSOAL!$B$35:$S$45,MONTH($F1466)+6,false)*G1466*24,0)</f>
        <v>90.58658098</v>
      </c>
      <c r="O1466" s="117" t="b">
        <f t="shared" si="6"/>
        <v>1</v>
      </c>
      <c r="P1466" s="117" t="b">
        <v>1</v>
      </c>
      <c r="Q1466" s="117" t="s">
        <v>368</v>
      </c>
    </row>
    <row r="1467" hidden="1">
      <c r="A1467" s="108"/>
      <c r="B1467" s="220"/>
      <c r="C1467" s="220" t="str">
        <f t="shared" si="5"/>
        <v>INOV00001</v>
      </c>
      <c r="D1467" s="220" t="str">
        <f>vlookup(M1467,'Página10'!A:B,2,false)</f>
        <v>INOV00001</v>
      </c>
      <c r="E1467" s="134" t="s">
        <v>110</v>
      </c>
      <c r="F1467" s="221">
        <v>45155.0</v>
      </c>
      <c r="G1467" s="222">
        <v>0.041666666666666664</v>
      </c>
      <c r="H1467" s="134" t="s">
        <v>411</v>
      </c>
      <c r="I1467" s="223" t="s">
        <v>411</v>
      </c>
      <c r="J1467" s="223" t="b">
        <f t="shared" si="1"/>
        <v>1</v>
      </c>
      <c r="K1467" s="145" t="s">
        <v>1428</v>
      </c>
      <c r="L1467" s="156"/>
      <c r="M1467" s="134" t="s">
        <v>416</v>
      </c>
      <c r="N1467" s="150">
        <f>if(and(O1467=TRUE,P1467=TRUE), VLOOKUP($E1467,PESSOAL!$B$35:$S$45,MONTH($F1467)+6,false)*G1467*24,0)</f>
        <v>60.39105399</v>
      </c>
      <c r="O1467" s="117" t="b">
        <f t="shared" si="6"/>
        <v>1</v>
      </c>
      <c r="P1467" s="117" t="b">
        <v>1</v>
      </c>
      <c r="Q1467" s="117" t="s">
        <v>368</v>
      </c>
    </row>
    <row r="1468" hidden="1">
      <c r="A1468" s="108"/>
      <c r="B1468" s="220"/>
      <c r="C1468" s="220" t="str">
        <f t="shared" si="5"/>
        <v>INOV00001</v>
      </c>
      <c r="D1468" s="220" t="str">
        <f>vlookup(M1468,'Página10'!A:B,2,false)</f>
        <v>INOV00001</v>
      </c>
      <c r="E1468" s="134" t="s">
        <v>110</v>
      </c>
      <c r="F1468" s="221">
        <v>45156.0</v>
      </c>
      <c r="G1468" s="222">
        <v>0.19791666666666666</v>
      </c>
      <c r="H1468" s="134" t="s">
        <v>411</v>
      </c>
      <c r="I1468" s="223" t="s">
        <v>411</v>
      </c>
      <c r="J1468" s="223" t="b">
        <f t="shared" si="1"/>
        <v>1</v>
      </c>
      <c r="K1468" s="145" t="s">
        <v>1423</v>
      </c>
      <c r="L1468" s="156"/>
      <c r="M1468" s="134" t="s">
        <v>416</v>
      </c>
      <c r="N1468" s="150">
        <f>if(and(O1468=TRUE,P1468=TRUE), VLOOKUP($E1468,PESSOAL!$B$35:$S$45,MONTH($F1468)+6,false)*G1468*24,0)</f>
        <v>286.8575064</v>
      </c>
      <c r="O1468" s="117" t="b">
        <f t="shared" si="6"/>
        <v>1</v>
      </c>
      <c r="P1468" s="117" t="b">
        <v>1</v>
      </c>
      <c r="Q1468" s="117" t="s">
        <v>368</v>
      </c>
    </row>
    <row r="1469" hidden="1">
      <c r="A1469" s="108"/>
      <c r="B1469" s="220"/>
      <c r="C1469" s="220" t="str">
        <f t="shared" si="5"/>
        <v>INOV00041</v>
      </c>
      <c r="D1469" s="220" t="str">
        <f>vlookup(M1469,'Página10'!A:B,2,false)</f>
        <v>INOV00041</v>
      </c>
      <c r="E1469" s="134" t="s">
        <v>110</v>
      </c>
      <c r="F1469" s="221">
        <v>45156.0</v>
      </c>
      <c r="G1469" s="222">
        <v>0.08333333333333333</v>
      </c>
      <c r="H1469" s="134" t="s">
        <v>411</v>
      </c>
      <c r="I1469" s="223" t="s">
        <v>411</v>
      </c>
      <c r="J1469" s="223" t="b">
        <f t="shared" si="1"/>
        <v>1</v>
      </c>
      <c r="K1469" s="145" t="s">
        <v>1429</v>
      </c>
      <c r="L1469" s="156"/>
      <c r="M1469" s="134" t="s">
        <v>1388</v>
      </c>
      <c r="N1469" s="150">
        <f>if(and(O1469=TRUE,P1469=TRUE), VLOOKUP($E1469,PESSOAL!$B$35:$S$45,MONTH($F1469)+6,false)*G1469*24,0)</f>
        <v>120.782108</v>
      </c>
      <c r="O1469" s="117" t="b">
        <f t="shared" si="6"/>
        <v>1</v>
      </c>
      <c r="P1469" s="117" t="b">
        <v>1</v>
      </c>
      <c r="Q1469" s="117" t="s">
        <v>368</v>
      </c>
    </row>
    <row r="1470" hidden="1">
      <c r="A1470" s="108"/>
      <c r="B1470" s="220"/>
      <c r="C1470" s="220" t="str">
        <f t="shared" si="5"/>
        <v>INOV00001</v>
      </c>
      <c r="D1470" s="220" t="str">
        <f>vlookup(M1470,'Página10'!A:B,2,false)</f>
        <v>INOV00001</v>
      </c>
      <c r="E1470" s="134" t="s">
        <v>110</v>
      </c>
      <c r="F1470" s="221">
        <v>45159.0</v>
      </c>
      <c r="G1470" s="222">
        <v>0.041666666666666664</v>
      </c>
      <c r="H1470" s="134" t="s">
        <v>411</v>
      </c>
      <c r="I1470" s="223" t="s">
        <v>411</v>
      </c>
      <c r="J1470" s="223" t="b">
        <f t="shared" si="1"/>
        <v>1</v>
      </c>
      <c r="K1470" s="145" t="s">
        <v>1427</v>
      </c>
      <c r="L1470" s="156"/>
      <c r="M1470" s="134" t="s">
        <v>416</v>
      </c>
      <c r="N1470" s="150">
        <f>if(and(O1470=TRUE,P1470=TRUE), VLOOKUP($E1470,PESSOAL!$B$35:$S$45,MONTH($F1470)+6,false)*G1470*24,0)</f>
        <v>60.39105399</v>
      </c>
      <c r="O1470" s="117" t="b">
        <f t="shared" si="6"/>
        <v>1</v>
      </c>
      <c r="P1470" s="117" t="b">
        <v>1</v>
      </c>
      <c r="Q1470" s="117" t="s">
        <v>368</v>
      </c>
    </row>
    <row r="1471" hidden="1">
      <c r="A1471" s="108"/>
      <c r="B1471" s="220"/>
      <c r="C1471" s="220" t="str">
        <f t="shared" si="5"/>
        <v>INOV00041</v>
      </c>
      <c r="D1471" s="220" t="str">
        <f>vlookup(M1471,'Página10'!A:B,2,false)</f>
        <v>INOV00041</v>
      </c>
      <c r="E1471" s="134" t="s">
        <v>110</v>
      </c>
      <c r="F1471" s="221">
        <v>45159.0</v>
      </c>
      <c r="G1471" s="222">
        <v>0.041666666666666664</v>
      </c>
      <c r="H1471" s="134" t="s">
        <v>411</v>
      </c>
      <c r="I1471" s="223" t="s">
        <v>411</v>
      </c>
      <c r="J1471" s="223" t="b">
        <f t="shared" si="1"/>
        <v>1</v>
      </c>
      <c r="K1471" s="145" t="s">
        <v>1430</v>
      </c>
      <c r="L1471" s="156"/>
      <c r="M1471" s="134" t="s">
        <v>1388</v>
      </c>
      <c r="N1471" s="150">
        <f>if(and(O1471=TRUE,P1471=TRUE), VLOOKUP($E1471,PESSOAL!$B$35:$S$45,MONTH($F1471)+6,false)*G1471*24,0)</f>
        <v>60.39105399</v>
      </c>
      <c r="O1471" s="117" t="b">
        <f t="shared" si="6"/>
        <v>1</v>
      </c>
      <c r="P1471" s="117" t="b">
        <v>1</v>
      </c>
      <c r="Q1471" s="117" t="s">
        <v>368</v>
      </c>
    </row>
    <row r="1472" hidden="1">
      <c r="A1472" s="108"/>
      <c r="B1472" s="220"/>
      <c r="C1472" s="220" t="str">
        <f t="shared" si="5"/>
        <v>INOV00001</v>
      </c>
      <c r="D1472" s="220" t="str">
        <f>vlookup(M1472,'Página10'!A:B,2,false)</f>
        <v>INOV00001</v>
      </c>
      <c r="E1472" s="134" t="s">
        <v>110</v>
      </c>
      <c r="F1472" s="221">
        <v>45159.0</v>
      </c>
      <c r="G1472" s="222">
        <v>0.08333333333333333</v>
      </c>
      <c r="H1472" s="134" t="s">
        <v>475</v>
      </c>
      <c r="I1472" s="223" t="s">
        <v>475</v>
      </c>
      <c r="J1472" s="223" t="b">
        <f t="shared" si="1"/>
        <v>1</v>
      </c>
      <c r="K1472" s="145" t="s">
        <v>1382</v>
      </c>
      <c r="L1472" s="156"/>
      <c r="M1472" s="134" t="s">
        <v>416</v>
      </c>
      <c r="N1472" s="150">
        <f>if(and(O1472=TRUE,P1472=TRUE), VLOOKUP($E1472,PESSOAL!$B$35:$S$45,MONTH($F1472)+6,false)*G1472*24,0)</f>
        <v>120.782108</v>
      </c>
      <c r="O1472" s="117" t="b">
        <f t="shared" si="6"/>
        <v>1</v>
      </c>
      <c r="P1472" s="117" t="b">
        <v>1</v>
      </c>
      <c r="Q1472" s="117" t="s">
        <v>368</v>
      </c>
    </row>
    <row r="1473" hidden="1">
      <c r="A1473" s="108"/>
      <c r="B1473" s="220"/>
      <c r="C1473" s="220" t="str">
        <f t="shared" si="5"/>
        <v>INOV00041</v>
      </c>
      <c r="D1473" s="220" t="str">
        <f>vlookup(M1473,'Página10'!A:B,2,false)</f>
        <v>INOV00041</v>
      </c>
      <c r="E1473" s="134" t="s">
        <v>110</v>
      </c>
      <c r="F1473" s="221">
        <v>45160.0</v>
      </c>
      <c r="G1473" s="222">
        <v>0.125</v>
      </c>
      <c r="H1473" s="134" t="s">
        <v>411</v>
      </c>
      <c r="I1473" s="223" t="s">
        <v>411</v>
      </c>
      <c r="J1473" s="223" t="b">
        <f t="shared" si="1"/>
        <v>1</v>
      </c>
      <c r="K1473" s="145" t="s">
        <v>1431</v>
      </c>
      <c r="L1473" s="156"/>
      <c r="M1473" s="134" t="s">
        <v>1388</v>
      </c>
      <c r="N1473" s="150">
        <f>if(and(O1473=TRUE,P1473=TRUE), VLOOKUP($E1473,PESSOAL!$B$35:$S$45,MONTH($F1473)+6,false)*G1473*24,0)</f>
        <v>181.173162</v>
      </c>
      <c r="O1473" s="117" t="b">
        <f t="shared" si="6"/>
        <v>1</v>
      </c>
      <c r="P1473" s="117" t="b">
        <v>1</v>
      </c>
      <c r="Q1473" s="117" t="s">
        <v>368</v>
      </c>
    </row>
    <row r="1474" hidden="1">
      <c r="A1474" s="108"/>
      <c r="B1474" s="220"/>
      <c r="C1474" s="220" t="str">
        <f t="shared" si="5"/>
        <v>INOV00020</v>
      </c>
      <c r="D1474" s="220" t="str">
        <f>vlookup(M1474,'Página10'!A:B,2,false)</f>
        <v>INOV00020</v>
      </c>
      <c r="E1474" s="134" t="s">
        <v>110</v>
      </c>
      <c r="F1474" s="221">
        <v>45161.0</v>
      </c>
      <c r="G1474" s="222">
        <v>0.041666666666666664</v>
      </c>
      <c r="H1474" s="134" t="s">
        <v>475</v>
      </c>
      <c r="I1474" s="223" t="s">
        <v>475</v>
      </c>
      <c r="J1474" s="223" t="b">
        <f t="shared" si="1"/>
        <v>1</v>
      </c>
      <c r="K1474" s="145" t="s">
        <v>1420</v>
      </c>
      <c r="L1474" s="156"/>
      <c r="M1474" s="134" t="s">
        <v>434</v>
      </c>
      <c r="N1474" s="150">
        <f>if(and(O1474=TRUE,P1474=TRUE), VLOOKUP($E1474,PESSOAL!$B$35:$S$45,MONTH($F1474)+6,false)*G1474*24,0)</f>
        <v>0</v>
      </c>
      <c r="O1474" s="117" t="b">
        <f t="shared" si="6"/>
        <v>1</v>
      </c>
      <c r="P1474" s="117" t="b">
        <v>0</v>
      </c>
      <c r="Q1474" s="117" t="s">
        <v>368</v>
      </c>
    </row>
    <row r="1475" hidden="1">
      <c r="A1475" s="108"/>
      <c r="B1475" s="220"/>
      <c r="C1475" s="220" t="str">
        <f t="shared" si="5"/>
        <v>INOV00021</v>
      </c>
      <c r="D1475" s="220" t="str">
        <f>vlookup(M1475,'Página10'!A:B,2,false)</f>
        <v>INOV00021</v>
      </c>
      <c r="E1475" s="134" t="s">
        <v>110</v>
      </c>
      <c r="F1475" s="221">
        <v>45161.0</v>
      </c>
      <c r="G1475" s="222">
        <v>0.08333333333333333</v>
      </c>
      <c r="H1475" s="134" t="s">
        <v>411</v>
      </c>
      <c r="I1475" s="223" t="s">
        <v>411</v>
      </c>
      <c r="J1475" s="223" t="b">
        <f t="shared" si="1"/>
        <v>1</v>
      </c>
      <c r="K1475" s="145" t="s">
        <v>1432</v>
      </c>
      <c r="L1475" s="156"/>
      <c r="M1475" s="134" t="s">
        <v>436</v>
      </c>
      <c r="N1475" s="150">
        <f>if(and(O1475=TRUE,P1475=TRUE), VLOOKUP($E1475,PESSOAL!$B$35:$S$45,MONTH($F1475)+6,false)*G1475*24,0)</f>
        <v>120.782108</v>
      </c>
      <c r="O1475" s="117" t="b">
        <f t="shared" si="6"/>
        <v>1</v>
      </c>
      <c r="P1475" s="117" t="b">
        <v>1</v>
      </c>
      <c r="Q1475" s="117" t="s">
        <v>368</v>
      </c>
    </row>
    <row r="1476" hidden="1">
      <c r="A1476" s="108"/>
      <c r="B1476" s="220"/>
      <c r="C1476" s="220" t="str">
        <f t="shared" si="5"/>
        <v>INOV00001</v>
      </c>
      <c r="D1476" s="220" t="str">
        <f>vlookup(M1476,'Página10'!A:B,2,false)</f>
        <v>INOV00001</v>
      </c>
      <c r="E1476" s="134" t="s">
        <v>110</v>
      </c>
      <c r="F1476" s="221">
        <v>45161.0</v>
      </c>
      <c r="G1476" s="222">
        <v>0.125</v>
      </c>
      <c r="H1476" s="134" t="s">
        <v>411</v>
      </c>
      <c r="I1476" s="223" t="s">
        <v>411</v>
      </c>
      <c r="J1476" s="223" t="b">
        <f t="shared" si="1"/>
        <v>1</v>
      </c>
      <c r="K1476" s="145" t="s">
        <v>1433</v>
      </c>
      <c r="L1476" s="156"/>
      <c r="M1476" s="134" t="s">
        <v>416</v>
      </c>
      <c r="N1476" s="150">
        <f>if(and(O1476=TRUE,P1476=TRUE), VLOOKUP($E1476,PESSOAL!$B$35:$S$45,MONTH($F1476)+6,false)*G1476*24,0)</f>
        <v>181.173162</v>
      </c>
      <c r="O1476" s="117" t="b">
        <f t="shared" si="6"/>
        <v>1</v>
      </c>
      <c r="P1476" s="117" t="b">
        <v>1</v>
      </c>
      <c r="Q1476" s="117" t="s">
        <v>368</v>
      </c>
    </row>
    <row r="1477" hidden="1">
      <c r="A1477" s="108"/>
      <c r="B1477" s="220"/>
      <c r="C1477" s="220" t="str">
        <f t="shared" si="5"/>
        <v>INOV00001</v>
      </c>
      <c r="D1477" s="220" t="str">
        <f>vlookup(M1477,'Página10'!A:B,2,false)</f>
        <v>INOV00001</v>
      </c>
      <c r="E1477" s="134" t="s">
        <v>110</v>
      </c>
      <c r="F1477" s="221">
        <v>45162.0</v>
      </c>
      <c r="G1477" s="222">
        <v>0.041666666666666664</v>
      </c>
      <c r="H1477" s="134" t="s">
        <v>411</v>
      </c>
      <c r="I1477" s="223" t="s">
        <v>411</v>
      </c>
      <c r="J1477" s="223" t="b">
        <f t="shared" si="1"/>
        <v>1</v>
      </c>
      <c r="K1477" s="145" t="s">
        <v>1434</v>
      </c>
      <c r="L1477" s="156"/>
      <c r="M1477" s="134" t="s">
        <v>416</v>
      </c>
      <c r="N1477" s="150">
        <f>if(and(O1477=TRUE,P1477=TRUE), VLOOKUP($E1477,PESSOAL!$B$35:$S$45,MONTH($F1477)+6,false)*G1477*24,0)</f>
        <v>60.39105399</v>
      </c>
      <c r="O1477" s="117" t="b">
        <f t="shared" si="6"/>
        <v>1</v>
      </c>
      <c r="P1477" s="117" t="b">
        <v>1</v>
      </c>
      <c r="Q1477" s="117" t="s">
        <v>368</v>
      </c>
    </row>
    <row r="1478" hidden="1">
      <c r="A1478" s="108"/>
      <c r="B1478" s="220"/>
      <c r="C1478" s="220" t="str">
        <f t="shared" si="5"/>
        <v>INOV00041</v>
      </c>
      <c r="D1478" s="220" t="str">
        <f>vlookup(M1478,'Página10'!A:B,2,false)</f>
        <v>INOV00041</v>
      </c>
      <c r="E1478" s="134" t="s">
        <v>110</v>
      </c>
      <c r="F1478" s="221">
        <v>45162.0</v>
      </c>
      <c r="G1478" s="222">
        <v>0.041666666666666664</v>
      </c>
      <c r="H1478" s="134" t="s">
        <v>411</v>
      </c>
      <c r="I1478" s="223" t="s">
        <v>411</v>
      </c>
      <c r="J1478" s="223" t="b">
        <f t="shared" si="1"/>
        <v>1</v>
      </c>
      <c r="K1478" s="145" t="s">
        <v>1434</v>
      </c>
      <c r="L1478" s="156"/>
      <c r="M1478" s="134" t="s">
        <v>1388</v>
      </c>
      <c r="N1478" s="150">
        <f>if(and(O1478=TRUE,P1478=TRUE), VLOOKUP($E1478,PESSOAL!$B$35:$S$45,MONTH($F1478)+6,false)*G1478*24,0)</f>
        <v>60.39105399</v>
      </c>
      <c r="O1478" s="117" t="b">
        <f t="shared" si="6"/>
        <v>1</v>
      </c>
      <c r="P1478" s="117" t="b">
        <v>1</v>
      </c>
      <c r="Q1478" s="117" t="s">
        <v>368</v>
      </c>
    </row>
    <row r="1479" hidden="1">
      <c r="A1479" s="108"/>
      <c r="B1479" s="220"/>
      <c r="C1479" s="220" t="str">
        <f t="shared" si="5"/>
        <v>INOV00001</v>
      </c>
      <c r="D1479" s="220" t="str">
        <f>vlookup(M1479,'Página10'!A:B,2,false)</f>
        <v>INOV00001</v>
      </c>
      <c r="E1479" s="134" t="s">
        <v>110</v>
      </c>
      <c r="F1479" s="221">
        <v>45162.0</v>
      </c>
      <c r="G1479" s="222">
        <v>0.0625</v>
      </c>
      <c r="H1479" s="134" t="s">
        <v>411</v>
      </c>
      <c r="I1479" s="223" t="s">
        <v>411</v>
      </c>
      <c r="J1479" s="223" t="b">
        <f t="shared" si="1"/>
        <v>1</v>
      </c>
      <c r="K1479" s="145" t="s">
        <v>1435</v>
      </c>
      <c r="L1479" s="156"/>
      <c r="M1479" s="134" t="s">
        <v>416</v>
      </c>
      <c r="N1479" s="150">
        <f>if(and(O1479=TRUE,P1479=TRUE), VLOOKUP($E1479,PESSOAL!$B$35:$S$45,MONTH($F1479)+6,false)*G1479*24,0)</f>
        <v>90.58658098</v>
      </c>
      <c r="O1479" s="117" t="b">
        <f t="shared" si="6"/>
        <v>1</v>
      </c>
      <c r="P1479" s="117" t="b">
        <v>1</v>
      </c>
      <c r="Q1479" s="117" t="s">
        <v>368</v>
      </c>
    </row>
    <row r="1480" hidden="1">
      <c r="A1480" s="108"/>
      <c r="B1480" s="220"/>
      <c r="C1480" s="220" t="str">
        <f t="shared" si="5"/>
        <v>INOV00001</v>
      </c>
      <c r="D1480" s="220" t="str">
        <f>vlookup(M1480,'Página10'!A:B,2,false)</f>
        <v>INOV00001</v>
      </c>
      <c r="E1480" s="134" t="s">
        <v>110</v>
      </c>
      <c r="F1480" s="221">
        <v>45163.0</v>
      </c>
      <c r="G1480" s="222">
        <v>0.11458333333333333</v>
      </c>
      <c r="H1480" s="134" t="s">
        <v>475</v>
      </c>
      <c r="I1480" s="223" t="s">
        <v>411</v>
      </c>
      <c r="J1480" s="223" t="b">
        <f t="shared" si="1"/>
        <v>0</v>
      </c>
      <c r="K1480" s="145" t="s">
        <v>1382</v>
      </c>
      <c r="L1480" s="156"/>
      <c r="M1480" s="134" t="s">
        <v>416</v>
      </c>
      <c r="N1480" s="150">
        <f>if(and(O1480=TRUE,P1480=TRUE), VLOOKUP($E1480,PESSOAL!$B$35:$S$45,MONTH($F1480)+6,false)*G1480*24,0)</f>
        <v>166.0753985</v>
      </c>
      <c r="O1480" s="117" t="b">
        <f t="shared" si="6"/>
        <v>1</v>
      </c>
      <c r="P1480" s="117" t="b">
        <v>1</v>
      </c>
      <c r="Q1480" s="117" t="s">
        <v>368</v>
      </c>
    </row>
    <row r="1481" hidden="1">
      <c r="A1481" s="108"/>
      <c r="B1481" s="220"/>
      <c r="C1481" s="220" t="str">
        <f t="shared" si="5"/>
        <v>INOV00021</v>
      </c>
      <c r="D1481" s="220" t="str">
        <f>vlookup(M1481,'Página10'!A:B,2,false)</f>
        <v>INOV00021</v>
      </c>
      <c r="E1481" s="134" t="s">
        <v>110</v>
      </c>
      <c r="F1481" s="221">
        <v>45166.0</v>
      </c>
      <c r="G1481" s="222">
        <v>0.052083333333333336</v>
      </c>
      <c r="H1481" s="134" t="s">
        <v>411</v>
      </c>
      <c r="I1481" s="223" t="s">
        <v>411</v>
      </c>
      <c r="J1481" s="223" t="b">
        <f t="shared" si="1"/>
        <v>1</v>
      </c>
      <c r="K1481" s="145" t="s">
        <v>1436</v>
      </c>
      <c r="L1481" s="156"/>
      <c r="M1481" s="134" t="s">
        <v>436</v>
      </c>
      <c r="N1481" s="150">
        <f>if(and(O1481=TRUE,P1481=TRUE), VLOOKUP($E1481,PESSOAL!$B$35:$S$45,MONTH($F1481)+6,false)*G1481*24,0)</f>
        <v>75.48881748</v>
      </c>
      <c r="O1481" s="117" t="b">
        <f t="shared" si="6"/>
        <v>1</v>
      </c>
      <c r="P1481" s="117" t="b">
        <v>1</v>
      </c>
      <c r="Q1481" s="117" t="s">
        <v>368</v>
      </c>
    </row>
    <row r="1482" hidden="1">
      <c r="A1482" s="108"/>
      <c r="B1482" s="220"/>
      <c r="C1482" s="220" t="str">
        <f t="shared" si="5"/>
        <v>INOV00001</v>
      </c>
      <c r="D1482" s="220" t="str">
        <f>vlookup(M1482,'Página10'!A:B,2,false)</f>
        <v>INOV00001</v>
      </c>
      <c r="E1482" s="134" t="s">
        <v>110</v>
      </c>
      <c r="F1482" s="221">
        <v>45166.0</v>
      </c>
      <c r="G1482" s="222">
        <v>0.041666666666666664</v>
      </c>
      <c r="H1482" s="134" t="s">
        <v>411</v>
      </c>
      <c r="I1482" s="223" t="s">
        <v>411</v>
      </c>
      <c r="J1482" s="223" t="b">
        <f t="shared" si="1"/>
        <v>1</v>
      </c>
      <c r="K1482" s="145" t="s">
        <v>1434</v>
      </c>
      <c r="L1482" s="156"/>
      <c r="M1482" s="134" t="s">
        <v>416</v>
      </c>
      <c r="N1482" s="150">
        <f>if(and(O1482=TRUE,P1482=TRUE), VLOOKUP($E1482,PESSOAL!$B$35:$S$45,MONTH($F1482)+6,false)*G1482*24,0)</f>
        <v>60.39105399</v>
      </c>
      <c r="O1482" s="117" t="b">
        <f t="shared" si="6"/>
        <v>1</v>
      </c>
      <c r="P1482" s="117" t="b">
        <v>1</v>
      </c>
      <c r="Q1482" s="117" t="s">
        <v>368</v>
      </c>
    </row>
    <row r="1483" hidden="1">
      <c r="A1483" s="108"/>
      <c r="B1483" s="220"/>
      <c r="C1483" s="220" t="str">
        <f t="shared" si="5"/>
        <v>INOV00041</v>
      </c>
      <c r="D1483" s="220" t="str">
        <f>vlookup(M1483,'Página10'!A:B,2,false)</f>
        <v>INOV00041</v>
      </c>
      <c r="E1483" s="134" t="s">
        <v>110</v>
      </c>
      <c r="F1483" s="221">
        <v>45166.0</v>
      </c>
      <c r="G1483" s="222">
        <v>0.041666666666666664</v>
      </c>
      <c r="H1483" s="134" t="s">
        <v>411</v>
      </c>
      <c r="I1483" s="223" t="s">
        <v>411</v>
      </c>
      <c r="J1483" s="223" t="b">
        <f t="shared" si="1"/>
        <v>1</v>
      </c>
      <c r="K1483" s="145" t="s">
        <v>1434</v>
      </c>
      <c r="L1483" s="156"/>
      <c r="M1483" s="134" t="s">
        <v>1388</v>
      </c>
      <c r="N1483" s="150">
        <f>if(and(O1483=TRUE,P1483=TRUE), VLOOKUP($E1483,PESSOAL!$B$35:$S$45,MONTH($F1483)+6,false)*G1483*24,0)</f>
        <v>60.39105399</v>
      </c>
      <c r="O1483" s="117" t="b">
        <f t="shared" si="6"/>
        <v>1</v>
      </c>
      <c r="P1483" s="117" t="b">
        <v>1</v>
      </c>
      <c r="Q1483" s="117" t="s">
        <v>368</v>
      </c>
    </row>
    <row r="1484" hidden="1">
      <c r="A1484" s="108"/>
      <c r="B1484" s="220"/>
      <c r="C1484" s="220" t="str">
        <f t="shared" si="5"/>
        <v>INOV00020</v>
      </c>
      <c r="D1484" s="220" t="str">
        <f>vlookup(M1484,'Página10'!A:B,2,false)</f>
        <v>INOV00020</v>
      </c>
      <c r="E1484" s="134" t="s">
        <v>110</v>
      </c>
      <c r="F1484" s="221">
        <v>45166.0</v>
      </c>
      <c r="G1484" s="222">
        <v>0.0625</v>
      </c>
      <c r="H1484" s="134" t="s">
        <v>475</v>
      </c>
      <c r="I1484" s="223" t="s">
        <v>475</v>
      </c>
      <c r="J1484" s="223" t="b">
        <f t="shared" si="1"/>
        <v>1</v>
      </c>
      <c r="K1484" s="145" t="s">
        <v>1437</v>
      </c>
      <c r="L1484" s="156"/>
      <c r="M1484" s="134" t="s">
        <v>434</v>
      </c>
      <c r="N1484" s="150">
        <f>if(and(O1484=TRUE,P1484=TRUE), VLOOKUP($E1484,PESSOAL!$B$35:$S$45,MONTH($F1484)+6,false)*G1484*24,0)</f>
        <v>0</v>
      </c>
      <c r="O1484" s="117" t="b">
        <f t="shared" si="6"/>
        <v>1</v>
      </c>
      <c r="P1484" s="117" t="b">
        <v>0</v>
      </c>
      <c r="Q1484" s="117" t="s">
        <v>368</v>
      </c>
    </row>
    <row r="1485" hidden="1">
      <c r="A1485" s="108"/>
      <c r="B1485" s="220"/>
      <c r="C1485" s="220" t="str">
        <f t="shared" si="5"/>
        <v>INOV00001</v>
      </c>
      <c r="D1485" s="220" t="str">
        <f>vlookup(M1485,'Página10'!A:B,2,false)</f>
        <v>INOV00001</v>
      </c>
      <c r="E1485" s="134" t="s">
        <v>110</v>
      </c>
      <c r="F1485" s="221">
        <v>45167.0</v>
      </c>
      <c r="G1485" s="222">
        <v>0.041666666666666664</v>
      </c>
      <c r="H1485" s="134" t="s">
        <v>411</v>
      </c>
      <c r="I1485" s="223" t="s">
        <v>411</v>
      </c>
      <c r="J1485" s="223" t="b">
        <f t="shared" si="1"/>
        <v>1</v>
      </c>
      <c r="K1485" s="145" t="s">
        <v>1438</v>
      </c>
      <c r="L1485" s="156"/>
      <c r="M1485" s="134" t="s">
        <v>416</v>
      </c>
      <c r="N1485" s="150">
        <f>if(and(O1485=TRUE,P1485=TRUE), VLOOKUP($E1485,PESSOAL!$B$35:$S$45,MONTH($F1485)+6,false)*G1485*24,0)</f>
        <v>60.39105399</v>
      </c>
      <c r="O1485" s="117" t="b">
        <f t="shared" si="6"/>
        <v>1</v>
      </c>
      <c r="P1485" s="117" t="b">
        <v>1</v>
      </c>
      <c r="Q1485" s="117" t="s">
        <v>368</v>
      </c>
    </row>
    <row r="1486" hidden="1">
      <c r="A1486" s="108"/>
      <c r="B1486" s="220"/>
      <c r="C1486" s="220" t="str">
        <f t="shared" si="5"/>
        <v>INOV00001</v>
      </c>
      <c r="D1486" s="220" t="str">
        <f>vlookup(M1486,'Página10'!A:B,2,false)</f>
        <v>INOV00001</v>
      </c>
      <c r="E1486" s="134" t="s">
        <v>110</v>
      </c>
      <c r="F1486" s="221">
        <v>45168.0</v>
      </c>
      <c r="G1486" s="222">
        <v>0.125</v>
      </c>
      <c r="H1486" s="134" t="s">
        <v>411</v>
      </c>
      <c r="I1486" s="223" t="s">
        <v>411</v>
      </c>
      <c r="J1486" s="223" t="b">
        <f t="shared" si="1"/>
        <v>1</v>
      </c>
      <c r="K1486" s="145" t="s">
        <v>1438</v>
      </c>
      <c r="L1486" s="156"/>
      <c r="M1486" s="134" t="s">
        <v>416</v>
      </c>
      <c r="N1486" s="150">
        <f>if(and(O1486=TRUE,P1486=TRUE), VLOOKUP($E1486,PESSOAL!$B$35:$S$45,MONTH($F1486)+6,false)*G1486*24,0)</f>
        <v>181.173162</v>
      </c>
      <c r="O1486" s="117" t="b">
        <f t="shared" si="6"/>
        <v>1</v>
      </c>
      <c r="P1486" s="117" t="b">
        <v>1</v>
      </c>
      <c r="Q1486" s="117" t="s">
        <v>368</v>
      </c>
    </row>
    <row r="1487" hidden="1">
      <c r="A1487" s="108"/>
      <c r="B1487" s="220"/>
      <c r="C1487" s="220" t="str">
        <f t="shared" si="5"/>
        <v>INOV00001</v>
      </c>
      <c r="D1487" s="220" t="str">
        <f>vlookup(M1487,'Página10'!A:B,2,false)</f>
        <v>INOV00001</v>
      </c>
      <c r="E1487" s="134" t="s">
        <v>110</v>
      </c>
      <c r="F1487" s="221">
        <v>45169.0</v>
      </c>
      <c r="G1487" s="222">
        <v>0.08333333333333333</v>
      </c>
      <c r="H1487" s="134" t="s">
        <v>411</v>
      </c>
      <c r="I1487" s="223" t="s">
        <v>411</v>
      </c>
      <c r="J1487" s="223" t="b">
        <f t="shared" si="1"/>
        <v>1</v>
      </c>
      <c r="K1487" s="145" t="s">
        <v>1438</v>
      </c>
      <c r="L1487" s="156"/>
      <c r="M1487" s="134" t="s">
        <v>416</v>
      </c>
      <c r="N1487" s="150">
        <f>if(and(O1487=TRUE,P1487=TRUE), VLOOKUP($E1487,PESSOAL!$B$35:$S$45,MONTH($F1487)+6,false)*G1487*24,0)</f>
        <v>120.782108</v>
      </c>
      <c r="O1487" s="117" t="b">
        <f t="shared" si="6"/>
        <v>1</v>
      </c>
      <c r="P1487" s="117" t="b">
        <v>1</v>
      </c>
      <c r="Q1487" s="117" t="s">
        <v>368</v>
      </c>
    </row>
    <row r="1488" hidden="1">
      <c r="A1488" s="108"/>
      <c r="B1488" s="220"/>
      <c r="C1488" s="220" t="str">
        <f t="shared" si="5"/>
        <v>INOV00041</v>
      </c>
      <c r="D1488" s="220" t="str">
        <f>vlookup(M1488,'Página10'!A:B,2,false)</f>
        <v>INOV00041</v>
      </c>
      <c r="E1488" s="134" t="s">
        <v>110</v>
      </c>
      <c r="F1488" s="221">
        <v>45169.0</v>
      </c>
      <c r="G1488" s="222">
        <v>0.041666666666666664</v>
      </c>
      <c r="H1488" s="134" t="s">
        <v>411</v>
      </c>
      <c r="I1488" s="223" t="s">
        <v>411</v>
      </c>
      <c r="J1488" s="223" t="b">
        <f t="shared" si="1"/>
        <v>1</v>
      </c>
      <c r="K1488" s="145" t="s">
        <v>1438</v>
      </c>
      <c r="L1488" s="156"/>
      <c r="M1488" s="134" t="s">
        <v>1388</v>
      </c>
      <c r="N1488" s="150">
        <f>if(and(O1488=TRUE,P1488=TRUE), VLOOKUP($E1488,PESSOAL!$B$35:$S$45,MONTH($F1488)+6,false)*G1488*24,0)</f>
        <v>60.39105399</v>
      </c>
      <c r="O1488" s="117" t="b">
        <f t="shared" si="6"/>
        <v>1</v>
      </c>
      <c r="P1488" s="117" t="b">
        <v>1</v>
      </c>
      <c r="Q1488" s="117" t="s">
        <v>368</v>
      </c>
    </row>
    <row r="1489" hidden="1">
      <c r="A1489" s="108"/>
      <c r="B1489" s="220"/>
      <c r="C1489" s="220" t="str">
        <f t="shared" si="5"/>
        <v>INOV00001</v>
      </c>
      <c r="D1489" s="220" t="str">
        <f>vlookup(M1489,'Página10'!A:B,2,false)</f>
        <v>INOV00001</v>
      </c>
      <c r="E1489" s="134" t="s">
        <v>110</v>
      </c>
      <c r="F1489" s="221">
        <v>45170.0</v>
      </c>
      <c r="G1489" s="222">
        <v>0.10416666666666667</v>
      </c>
      <c r="H1489" s="134" t="s">
        <v>411</v>
      </c>
      <c r="I1489" s="223" t="s">
        <v>411</v>
      </c>
      <c r="J1489" s="223" t="b">
        <f t="shared" si="1"/>
        <v>1</v>
      </c>
      <c r="K1489" s="145" t="s">
        <v>1439</v>
      </c>
      <c r="L1489" s="156"/>
      <c r="M1489" s="134" t="s">
        <v>416</v>
      </c>
      <c r="N1489" s="150">
        <f>if(and(O1489=TRUE,P1489=TRUE), VLOOKUP($E1489,PESSOAL!$B$35:$S$45,MONTH($F1489)+6,false)*G1489*24,0)</f>
        <v>182.7624002</v>
      </c>
      <c r="O1489" s="117" t="b">
        <f t="shared" si="6"/>
        <v>1</v>
      </c>
      <c r="P1489" s="117" t="b">
        <v>1</v>
      </c>
      <c r="Q1489" s="117" t="s">
        <v>368</v>
      </c>
    </row>
    <row r="1490" hidden="1">
      <c r="A1490" s="108"/>
      <c r="B1490" s="220"/>
      <c r="C1490" s="220" t="str">
        <f t="shared" si="5"/>
        <v>INOV00001</v>
      </c>
      <c r="D1490" s="220" t="str">
        <f>vlookup(M1490,'Página10'!A:B,2,false)</f>
        <v>INOV00001</v>
      </c>
      <c r="E1490" s="134" t="s">
        <v>110</v>
      </c>
      <c r="F1490" s="221">
        <v>45170.0</v>
      </c>
      <c r="G1490" s="222">
        <v>0.041666666666666664</v>
      </c>
      <c r="H1490" s="134" t="s">
        <v>475</v>
      </c>
      <c r="I1490" s="223" t="s">
        <v>411</v>
      </c>
      <c r="J1490" s="223" t="b">
        <f t="shared" si="1"/>
        <v>0</v>
      </c>
      <c r="K1490" s="145" t="s">
        <v>1440</v>
      </c>
      <c r="L1490" s="156"/>
      <c r="M1490" s="134" t="s">
        <v>416</v>
      </c>
      <c r="N1490" s="150">
        <f>if(and(O1490=TRUE,P1490=TRUE), VLOOKUP($E1490,PESSOAL!$B$35:$S$45,MONTH($F1490)+6,false)*G1490*24,0)</f>
        <v>73.10496009</v>
      </c>
      <c r="O1490" s="117" t="b">
        <f t="shared" si="6"/>
        <v>1</v>
      </c>
      <c r="P1490" s="117" t="b">
        <v>1</v>
      </c>
      <c r="Q1490" s="117" t="s">
        <v>368</v>
      </c>
    </row>
    <row r="1491" hidden="1">
      <c r="A1491" s="108"/>
      <c r="B1491" s="220"/>
      <c r="C1491" s="220" t="str">
        <f t="shared" si="5"/>
        <v>INOV00001</v>
      </c>
      <c r="D1491" s="220" t="str">
        <f>vlookup(M1491,'Página10'!A:B,2,false)</f>
        <v>INOV00001</v>
      </c>
      <c r="E1491" s="134" t="s">
        <v>110</v>
      </c>
      <c r="F1491" s="221">
        <v>45173.0</v>
      </c>
      <c r="G1491" s="222">
        <v>0.041666666666666664</v>
      </c>
      <c r="H1491" s="134" t="s">
        <v>411</v>
      </c>
      <c r="I1491" s="223" t="s">
        <v>411</v>
      </c>
      <c r="J1491" s="223" t="b">
        <f t="shared" si="1"/>
        <v>1</v>
      </c>
      <c r="K1491" s="145" t="s">
        <v>829</v>
      </c>
      <c r="L1491" s="156"/>
      <c r="M1491" s="134" t="s">
        <v>416</v>
      </c>
      <c r="N1491" s="150">
        <f>if(and(O1491=TRUE,P1491=TRUE), VLOOKUP($E1491,PESSOAL!$B$35:$S$45,MONTH($F1491)+6,false)*G1491*24,0)</f>
        <v>73.10496009</v>
      </c>
      <c r="O1491" s="117" t="b">
        <f t="shared" si="6"/>
        <v>1</v>
      </c>
      <c r="P1491" s="117" t="b">
        <v>1</v>
      </c>
      <c r="Q1491" s="117" t="s">
        <v>368</v>
      </c>
    </row>
    <row r="1492" hidden="1">
      <c r="A1492" s="108"/>
      <c r="B1492" s="220"/>
      <c r="C1492" s="220" t="str">
        <f t="shared" si="5"/>
        <v>INOV00041</v>
      </c>
      <c r="D1492" s="220" t="str">
        <f>vlookup(M1492,'Página10'!A:B,2,false)</f>
        <v>INOV00041</v>
      </c>
      <c r="E1492" s="134" t="s">
        <v>110</v>
      </c>
      <c r="F1492" s="221">
        <v>45173.0</v>
      </c>
      <c r="G1492" s="222">
        <v>0.041666666666666664</v>
      </c>
      <c r="H1492" s="134" t="s">
        <v>411</v>
      </c>
      <c r="I1492" s="223" t="s">
        <v>411</v>
      </c>
      <c r="J1492" s="223" t="b">
        <f t="shared" si="1"/>
        <v>1</v>
      </c>
      <c r="K1492" s="145" t="s">
        <v>829</v>
      </c>
      <c r="L1492" s="156"/>
      <c r="M1492" s="134" t="s">
        <v>1388</v>
      </c>
      <c r="N1492" s="150">
        <f>if(and(O1492=TRUE,P1492=TRUE), VLOOKUP($E1492,PESSOAL!$B$35:$S$45,MONTH($F1492)+6,false)*G1492*24,0)</f>
        <v>73.10496009</v>
      </c>
      <c r="O1492" s="117" t="b">
        <f t="shared" si="6"/>
        <v>1</v>
      </c>
      <c r="P1492" s="117" t="b">
        <v>1</v>
      </c>
      <c r="Q1492" s="117" t="s">
        <v>368</v>
      </c>
    </row>
    <row r="1493" hidden="1">
      <c r="A1493" s="108"/>
      <c r="B1493" s="220"/>
      <c r="C1493" s="220" t="str">
        <f t="shared" si="5"/>
        <v>INOV00001</v>
      </c>
      <c r="D1493" s="220" t="str">
        <f>vlookup(M1493,'Página10'!A:B,2,false)</f>
        <v>INOV00001</v>
      </c>
      <c r="E1493" s="134" t="s">
        <v>110</v>
      </c>
      <c r="F1493" s="221">
        <v>45174.0</v>
      </c>
      <c r="G1493" s="222">
        <v>0.23958333333333334</v>
      </c>
      <c r="H1493" s="134" t="s">
        <v>411</v>
      </c>
      <c r="I1493" s="223" t="s">
        <v>411</v>
      </c>
      <c r="J1493" s="223" t="b">
        <f t="shared" si="1"/>
        <v>1</v>
      </c>
      <c r="K1493" s="145" t="s">
        <v>1441</v>
      </c>
      <c r="L1493" s="156"/>
      <c r="M1493" s="134" t="s">
        <v>416</v>
      </c>
      <c r="N1493" s="150">
        <f>if(and(O1493=TRUE,P1493=TRUE), VLOOKUP($E1493,PESSOAL!$B$35:$S$45,MONTH($F1493)+6,false)*G1493*24,0)</f>
        <v>420.3535205</v>
      </c>
      <c r="O1493" s="117" t="b">
        <f t="shared" si="6"/>
        <v>1</v>
      </c>
      <c r="P1493" s="117" t="b">
        <v>1</v>
      </c>
      <c r="Q1493" s="117" t="s">
        <v>368</v>
      </c>
    </row>
    <row r="1494" hidden="1">
      <c r="A1494" s="108"/>
      <c r="B1494" s="220"/>
      <c r="C1494" s="220" t="str">
        <f t="shared" si="5"/>
        <v>INOV00020</v>
      </c>
      <c r="D1494" s="220" t="str">
        <f>vlookup(M1494,'Página10'!A:B,2,false)</f>
        <v>INOV00020</v>
      </c>
      <c r="E1494" s="134" t="s">
        <v>110</v>
      </c>
      <c r="F1494" s="221">
        <v>45174.0</v>
      </c>
      <c r="G1494" s="222">
        <v>0.0625</v>
      </c>
      <c r="H1494" s="134" t="s">
        <v>475</v>
      </c>
      <c r="I1494" s="223" t="s">
        <v>475</v>
      </c>
      <c r="J1494" s="223" t="b">
        <f t="shared" si="1"/>
        <v>1</v>
      </c>
      <c r="K1494" s="145" t="s">
        <v>1442</v>
      </c>
      <c r="L1494" s="156"/>
      <c r="M1494" s="134" t="s">
        <v>434</v>
      </c>
      <c r="N1494" s="150">
        <f>if(and(O1494=TRUE,P1494=TRUE), VLOOKUP($E1494,PESSOAL!$B$35:$S$45,MONTH($F1494)+6,false)*G1494*24,0)</f>
        <v>0</v>
      </c>
      <c r="O1494" s="117" t="b">
        <f t="shared" si="6"/>
        <v>1</v>
      </c>
      <c r="P1494" s="117" t="b">
        <v>0</v>
      </c>
      <c r="Q1494" s="117" t="s">
        <v>368</v>
      </c>
    </row>
    <row r="1495" hidden="1">
      <c r="A1495" s="108"/>
      <c r="B1495" s="220"/>
      <c r="C1495" s="220" t="str">
        <f t="shared" si="5"/>
        <v>INOV00001</v>
      </c>
      <c r="D1495" s="220" t="str">
        <f>vlookup(M1495,'Página10'!A:B,2,false)</f>
        <v>INOV00001</v>
      </c>
      <c r="E1495" s="134" t="s">
        <v>110</v>
      </c>
      <c r="F1495" s="221">
        <v>45175.0</v>
      </c>
      <c r="G1495" s="222">
        <v>0.0625</v>
      </c>
      <c r="H1495" s="134" t="s">
        <v>411</v>
      </c>
      <c r="I1495" s="223" t="s">
        <v>411</v>
      </c>
      <c r="J1495" s="223" t="b">
        <f t="shared" si="1"/>
        <v>1</v>
      </c>
      <c r="K1495" s="145" t="s">
        <v>1443</v>
      </c>
      <c r="L1495" s="156"/>
      <c r="M1495" s="134" t="s">
        <v>416</v>
      </c>
      <c r="N1495" s="150">
        <f>if(and(O1495=TRUE,P1495=TRUE), VLOOKUP($E1495,PESSOAL!$B$35:$S$45,MONTH($F1495)+6,false)*G1495*24,0)</f>
        <v>109.6574401</v>
      </c>
      <c r="O1495" s="117" t="b">
        <f t="shared" si="6"/>
        <v>1</v>
      </c>
      <c r="P1495" s="117" t="b">
        <v>1</v>
      </c>
      <c r="Q1495" s="117" t="s">
        <v>368</v>
      </c>
    </row>
    <row r="1496" hidden="1">
      <c r="A1496" s="108"/>
      <c r="B1496" s="220"/>
      <c r="C1496" s="220" t="str">
        <f t="shared" si="5"/>
        <v>INOV00001</v>
      </c>
      <c r="D1496" s="220" t="str">
        <f>vlookup(M1496,'Página10'!A:B,2,false)</f>
        <v>INOV00001</v>
      </c>
      <c r="E1496" s="134" t="s">
        <v>110</v>
      </c>
      <c r="F1496" s="221">
        <v>45180.0</v>
      </c>
      <c r="G1496" s="222">
        <v>0.375</v>
      </c>
      <c r="H1496" s="134" t="s">
        <v>411</v>
      </c>
      <c r="I1496" s="223" t="s">
        <v>411</v>
      </c>
      <c r="J1496" s="223" t="b">
        <f t="shared" si="1"/>
        <v>1</v>
      </c>
      <c r="K1496" s="145" t="s">
        <v>1444</v>
      </c>
      <c r="L1496" s="156"/>
      <c r="M1496" s="134" t="s">
        <v>416</v>
      </c>
      <c r="N1496" s="150">
        <f>if(and(O1496=TRUE,P1496=TRUE), VLOOKUP($E1496,PESSOAL!$B$35:$S$45,MONTH($F1496)+6,false)*G1496*24,0)</f>
        <v>657.9446408</v>
      </c>
      <c r="O1496" s="117" t="b">
        <f t="shared" si="6"/>
        <v>1</v>
      </c>
      <c r="P1496" s="117" t="b">
        <v>1</v>
      </c>
      <c r="Q1496" s="117" t="s">
        <v>368</v>
      </c>
    </row>
    <row r="1497" hidden="1">
      <c r="A1497" s="108"/>
      <c r="B1497" s="220"/>
      <c r="C1497" s="220" t="str">
        <f t="shared" si="5"/>
        <v>INOV00001</v>
      </c>
      <c r="D1497" s="220" t="str">
        <f>vlookup(M1497,'Página10'!A:B,2,false)</f>
        <v>INOV00001</v>
      </c>
      <c r="E1497" s="134" t="s">
        <v>110</v>
      </c>
      <c r="F1497" s="221">
        <v>45181.0</v>
      </c>
      <c r="G1497" s="222">
        <v>0.40625</v>
      </c>
      <c r="H1497" s="134" t="s">
        <v>411</v>
      </c>
      <c r="I1497" s="223" t="s">
        <v>411</v>
      </c>
      <c r="J1497" s="223" t="b">
        <f t="shared" si="1"/>
        <v>1</v>
      </c>
      <c r="K1497" s="145" t="s">
        <v>1445</v>
      </c>
      <c r="L1497" s="156"/>
      <c r="M1497" s="134" t="s">
        <v>416</v>
      </c>
      <c r="N1497" s="150">
        <f>if(and(O1497=TRUE,P1497=TRUE), VLOOKUP($E1497,PESSOAL!$B$35:$S$45,MONTH($F1497)+6,false)*G1497*24,0)</f>
        <v>712.7733609</v>
      </c>
      <c r="O1497" s="117" t="b">
        <f t="shared" si="6"/>
        <v>1</v>
      </c>
      <c r="P1497" s="117" t="b">
        <v>1</v>
      </c>
      <c r="Q1497" s="117" t="s">
        <v>368</v>
      </c>
    </row>
    <row r="1498" hidden="1">
      <c r="A1498" s="108"/>
      <c r="B1498" s="220"/>
      <c r="C1498" s="220" t="str">
        <f t="shared" si="5"/>
        <v>INOV00041</v>
      </c>
      <c r="D1498" s="220" t="str">
        <f>vlookup(M1498,'Página10'!A:B,2,false)</f>
        <v>INOV00041</v>
      </c>
      <c r="E1498" s="134" t="s">
        <v>110</v>
      </c>
      <c r="F1498" s="221">
        <v>45181.0</v>
      </c>
      <c r="G1498" s="222">
        <v>0.40625</v>
      </c>
      <c r="H1498" s="134" t="s">
        <v>411</v>
      </c>
      <c r="I1498" s="223" t="s">
        <v>411</v>
      </c>
      <c r="J1498" s="223" t="b">
        <f t="shared" si="1"/>
        <v>1</v>
      </c>
      <c r="K1498" s="145" t="s">
        <v>1446</v>
      </c>
      <c r="L1498" s="156"/>
      <c r="M1498" s="134" t="s">
        <v>1388</v>
      </c>
      <c r="N1498" s="150">
        <f>if(and(O1498=TRUE,P1498=TRUE), VLOOKUP($E1498,PESSOAL!$B$35:$S$45,MONTH($F1498)+6,false)*G1498*24,0)</f>
        <v>712.7733609</v>
      </c>
      <c r="O1498" s="117" t="b">
        <f t="shared" si="6"/>
        <v>1</v>
      </c>
      <c r="P1498" s="117" t="b">
        <v>1</v>
      </c>
      <c r="Q1498" s="117" t="s">
        <v>368</v>
      </c>
    </row>
    <row r="1499" hidden="1">
      <c r="A1499" s="108"/>
      <c r="B1499" s="220"/>
      <c r="C1499" s="220" t="str">
        <f t="shared" si="5"/>
        <v>INOV00001</v>
      </c>
      <c r="D1499" s="220" t="str">
        <f>vlookup(M1499,'Página10'!A:B,2,false)</f>
        <v>INOV00001</v>
      </c>
      <c r="E1499" s="134" t="s">
        <v>110</v>
      </c>
      <c r="F1499" s="221">
        <v>45182.0</v>
      </c>
      <c r="G1499" s="222">
        <v>0.40625</v>
      </c>
      <c r="H1499" s="134" t="s">
        <v>411</v>
      </c>
      <c r="I1499" s="223" t="s">
        <v>411</v>
      </c>
      <c r="J1499" s="223" t="b">
        <f t="shared" si="1"/>
        <v>1</v>
      </c>
      <c r="K1499" s="145" t="s">
        <v>1445</v>
      </c>
      <c r="L1499" s="156"/>
      <c r="M1499" s="134" t="s">
        <v>416</v>
      </c>
      <c r="N1499" s="150">
        <f>if(and(O1499=TRUE,P1499=TRUE), VLOOKUP($E1499,PESSOAL!$B$35:$S$45,MONTH($F1499)+6,false)*G1499*24,0)</f>
        <v>712.7733609</v>
      </c>
      <c r="O1499" s="117" t="b">
        <f t="shared" si="6"/>
        <v>1</v>
      </c>
      <c r="P1499" s="117" t="b">
        <v>1</v>
      </c>
      <c r="Q1499" s="117" t="s">
        <v>368</v>
      </c>
    </row>
    <row r="1500" hidden="1">
      <c r="A1500" s="108"/>
      <c r="B1500" s="220"/>
      <c r="C1500" s="220" t="str">
        <f t="shared" si="5"/>
        <v>INOV00041</v>
      </c>
      <c r="D1500" s="220" t="str">
        <f>vlookup(M1500,'Página10'!A:B,2,false)</f>
        <v>INOV00041</v>
      </c>
      <c r="E1500" s="134" t="s">
        <v>110</v>
      </c>
      <c r="F1500" s="221">
        <v>45182.0</v>
      </c>
      <c r="G1500" s="222">
        <v>0.40625</v>
      </c>
      <c r="H1500" s="134" t="s">
        <v>411</v>
      </c>
      <c r="I1500" s="223" t="s">
        <v>411</v>
      </c>
      <c r="J1500" s="223" t="b">
        <f t="shared" si="1"/>
        <v>1</v>
      </c>
      <c r="K1500" s="145" t="s">
        <v>1446</v>
      </c>
      <c r="L1500" s="156"/>
      <c r="M1500" s="134" t="s">
        <v>1388</v>
      </c>
      <c r="N1500" s="150">
        <f>if(and(O1500=TRUE,P1500=TRUE), VLOOKUP($E1500,PESSOAL!$B$35:$S$45,MONTH($F1500)+6,false)*G1500*24,0)</f>
        <v>712.7733609</v>
      </c>
      <c r="O1500" s="117" t="b">
        <f t="shared" si="6"/>
        <v>1</v>
      </c>
      <c r="P1500" s="117" t="b">
        <v>1</v>
      </c>
      <c r="Q1500" s="117" t="s">
        <v>368</v>
      </c>
    </row>
    <row r="1501" hidden="1">
      <c r="A1501" s="108"/>
      <c r="B1501" s="220"/>
      <c r="C1501" s="220" t="str">
        <f t="shared" si="5"/>
        <v>INOV00001</v>
      </c>
      <c r="D1501" s="220" t="str">
        <f>vlookup(M1501,'Página10'!A:B,2,false)</f>
        <v>INOV00001</v>
      </c>
      <c r="E1501" s="134" t="s">
        <v>110</v>
      </c>
      <c r="F1501" s="221">
        <v>45183.0</v>
      </c>
      <c r="G1501" s="222">
        <v>0.5069444444444444</v>
      </c>
      <c r="H1501" s="134" t="s">
        <v>411</v>
      </c>
      <c r="I1501" s="223" t="s">
        <v>411</v>
      </c>
      <c r="J1501" s="223" t="b">
        <f t="shared" si="1"/>
        <v>1</v>
      </c>
      <c r="K1501" s="145" t="s">
        <v>1445</v>
      </c>
      <c r="L1501" s="156"/>
      <c r="M1501" s="134" t="s">
        <v>416</v>
      </c>
      <c r="N1501" s="150">
        <f>if(and(O1501=TRUE,P1501=TRUE), VLOOKUP($E1501,PESSOAL!$B$35:$S$45,MONTH($F1501)+6,false)*G1501*24,0)</f>
        <v>889.4436811</v>
      </c>
      <c r="O1501" s="117" t="b">
        <f t="shared" si="6"/>
        <v>1</v>
      </c>
      <c r="P1501" s="117" t="b">
        <v>1</v>
      </c>
      <c r="Q1501" s="117" t="s">
        <v>368</v>
      </c>
    </row>
    <row r="1502" hidden="1">
      <c r="A1502" s="108"/>
      <c r="B1502" s="220"/>
      <c r="C1502" s="220" t="str">
        <f t="shared" si="5"/>
        <v>INOV00001</v>
      </c>
      <c r="D1502" s="220" t="str">
        <f>vlookup(M1502,'Página10'!A:B,2,false)</f>
        <v>INOV00001</v>
      </c>
      <c r="E1502" s="134" t="s">
        <v>110</v>
      </c>
      <c r="F1502" s="221">
        <v>45184.0</v>
      </c>
      <c r="G1502" s="222">
        <v>0.19791666666666666</v>
      </c>
      <c r="H1502" s="134" t="s">
        <v>411</v>
      </c>
      <c r="I1502" s="223" t="s">
        <v>411</v>
      </c>
      <c r="J1502" s="223" t="b">
        <f t="shared" si="1"/>
        <v>1</v>
      </c>
      <c r="K1502" s="145" t="s">
        <v>1447</v>
      </c>
      <c r="L1502" s="156"/>
      <c r="M1502" s="134" t="s">
        <v>416</v>
      </c>
      <c r="N1502" s="150">
        <f>if(and(O1502=TRUE,P1502=TRUE), VLOOKUP($E1502,PESSOAL!$B$35:$S$45,MONTH($F1502)+6,false)*G1502*24,0)</f>
        <v>347.2485604</v>
      </c>
      <c r="O1502" s="117" t="b">
        <f t="shared" si="6"/>
        <v>1</v>
      </c>
      <c r="P1502" s="117" t="b">
        <v>1</v>
      </c>
      <c r="Q1502" s="117" t="s">
        <v>368</v>
      </c>
    </row>
    <row r="1503" hidden="1">
      <c r="A1503" s="108"/>
      <c r="B1503" s="220"/>
      <c r="C1503" s="220" t="str">
        <f t="shared" si="5"/>
        <v>INOV00041</v>
      </c>
      <c r="D1503" s="220" t="str">
        <f>vlookup(M1503,'Página10'!A:B,2,false)</f>
        <v>INOV00041</v>
      </c>
      <c r="E1503" s="134" t="s">
        <v>110</v>
      </c>
      <c r="F1503" s="221">
        <v>45184.0</v>
      </c>
      <c r="G1503" s="222">
        <v>0.08333333333333333</v>
      </c>
      <c r="H1503" s="134" t="s">
        <v>475</v>
      </c>
      <c r="I1503" s="223" t="s">
        <v>475</v>
      </c>
      <c r="J1503" s="223" t="b">
        <f t="shared" si="1"/>
        <v>1</v>
      </c>
      <c r="K1503" s="145" t="s">
        <v>1448</v>
      </c>
      <c r="L1503" s="156"/>
      <c r="M1503" s="134" t="s">
        <v>1388</v>
      </c>
      <c r="N1503" s="150">
        <f>if(and(O1503=TRUE,P1503=TRUE), VLOOKUP($E1503,PESSOAL!$B$35:$S$45,MONTH($F1503)+6,false)*G1503*24,0)</f>
        <v>146.2099202</v>
      </c>
      <c r="O1503" s="117" t="b">
        <f t="shared" si="6"/>
        <v>1</v>
      </c>
      <c r="P1503" s="117" t="b">
        <v>1</v>
      </c>
      <c r="Q1503" s="117" t="s">
        <v>368</v>
      </c>
    </row>
    <row r="1504" hidden="1">
      <c r="A1504" s="108"/>
      <c r="B1504" s="220"/>
      <c r="C1504" s="220" t="str">
        <f t="shared" si="5"/>
        <v>INOV00041</v>
      </c>
      <c r="D1504" s="220" t="str">
        <f>vlookup(M1504,'Página10'!A:B,2,false)</f>
        <v>INOV00041</v>
      </c>
      <c r="E1504" s="134" t="s">
        <v>110</v>
      </c>
      <c r="F1504" s="221">
        <v>45184.0</v>
      </c>
      <c r="G1504" s="222">
        <v>0.08333333333333333</v>
      </c>
      <c r="H1504" s="134" t="s">
        <v>411</v>
      </c>
      <c r="I1504" s="223" t="s">
        <v>411</v>
      </c>
      <c r="J1504" s="223" t="b">
        <f t="shared" si="1"/>
        <v>1</v>
      </c>
      <c r="K1504" s="145" t="s">
        <v>1447</v>
      </c>
      <c r="L1504" s="156"/>
      <c r="M1504" s="134" t="s">
        <v>1388</v>
      </c>
      <c r="N1504" s="150">
        <f>if(and(O1504=TRUE,P1504=TRUE), VLOOKUP($E1504,PESSOAL!$B$35:$S$45,MONTH($F1504)+6,false)*G1504*24,0)</f>
        <v>146.2099202</v>
      </c>
      <c r="O1504" s="117" t="b">
        <f t="shared" si="6"/>
        <v>1</v>
      </c>
      <c r="P1504" s="117" t="b">
        <v>1</v>
      </c>
      <c r="Q1504" s="117" t="s">
        <v>368</v>
      </c>
    </row>
    <row r="1505" hidden="1">
      <c r="A1505" s="108"/>
      <c r="B1505" s="220"/>
      <c r="C1505" s="220" t="str">
        <f t="shared" si="5"/>
        <v>INOV00001</v>
      </c>
      <c r="D1505" s="220" t="str">
        <f>vlookup(M1505,'Página10'!A:B,2,false)</f>
        <v>INOV00001</v>
      </c>
      <c r="E1505" s="134" t="s">
        <v>307</v>
      </c>
      <c r="F1505" s="221">
        <v>45160.0</v>
      </c>
      <c r="G1505" s="222">
        <v>0.041666666666666664</v>
      </c>
      <c r="H1505" s="134" t="s">
        <v>411</v>
      </c>
      <c r="I1505" s="223" t="s">
        <v>411</v>
      </c>
      <c r="J1505" s="223" t="b">
        <f t="shared" si="1"/>
        <v>1</v>
      </c>
      <c r="K1505" s="145" t="s">
        <v>1449</v>
      </c>
      <c r="L1505" s="156"/>
      <c r="M1505" s="134" t="s">
        <v>416</v>
      </c>
      <c r="N1505" s="150">
        <f>if(and(O1505=TRUE,P1505=TRUE), VLOOKUP($E1505,PESSOAL!$B$35:$S$45,MONTH($F1505)+6,false)*G1505*24,0)</f>
        <v>36.68373428</v>
      </c>
      <c r="O1505" s="117" t="b">
        <f t="shared" si="6"/>
        <v>1</v>
      </c>
      <c r="P1505" s="117" t="b">
        <v>1</v>
      </c>
      <c r="Q1505" s="117" t="s">
        <v>368</v>
      </c>
    </row>
    <row r="1506" hidden="1">
      <c r="A1506" s="108"/>
      <c r="B1506" s="220"/>
      <c r="C1506" s="220" t="s">
        <v>49</v>
      </c>
      <c r="D1506" s="220" t="str">
        <f>vlookup(M1506,'Página10'!A:B,2,false)</f>
        <v>INOV00004</v>
      </c>
      <c r="E1506" s="134" t="s">
        <v>146</v>
      </c>
      <c r="F1506" s="221">
        <v>45189.0</v>
      </c>
      <c r="G1506" s="222">
        <v>0.020833333333333332</v>
      </c>
      <c r="H1506" s="134" t="s">
        <v>411</v>
      </c>
      <c r="I1506" s="223" t="s">
        <v>411</v>
      </c>
      <c r="J1506" s="223" t="b">
        <f t="shared" si="1"/>
        <v>1</v>
      </c>
      <c r="K1506" s="145" t="s">
        <v>1450</v>
      </c>
      <c r="L1506" s="156"/>
      <c r="M1506" s="134" t="s">
        <v>421</v>
      </c>
      <c r="N1506" s="150">
        <f>if(and(O1506=TRUE,P1506=TRUE), VLOOKUP($E1506,PESSOAL!$B$35:$S$45,MONTH($F1506)+6,false)*G1506*24,0)</f>
        <v>54.25033235</v>
      </c>
      <c r="O1506" s="117" t="b">
        <f t="shared" si="6"/>
        <v>1</v>
      </c>
      <c r="P1506" s="117" t="b">
        <v>1</v>
      </c>
      <c r="Q1506" s="117" t="s">
        <v>368</v>
      </c>
    </row>
    <row r="1507" hidden="1">
      <c r="A1507" s="108"/>
      <c r="B1507" s="220"/>
      <c r="C1507" s="220" t="s">
        <v>68</v>
      </c>
      <c r="D1507" s="220" t="str">
        <f>vlookup(M1507,'Página10'!A:B,2,false)</f>
        <v>INOV00040</v>
      </c>
      <c r="E1507" s="134" t="s">
        <v>146</v>
      </c>
      <c r="F1507" s="221">
        <v>45189.0</v>
      </c>
      <c r="G1507" s="222">
        <v>0.041666666666666664</v>
      </c>
      <c r="H1507" s="134" t="s">
        <v>411</v>
      </c>
      <c r="I1507" s="223" t="s">
        <v>411</v>
      </c>
      <c r="J1507" s="223" t="b">
        <f t="shared" si="1"/>
        <v>1</v>
      </c>
      <c r="K1507" s="145" t="s">
        <v>1451</v>
      </c>
      <c r="L1507" s="156"/>
      <c r="M1507" s="134" t="s">
        <v>462</v>
      </c>
      <c r="N1507" s="150">
        <f>if(and(O1507=TRUE,P1507=TRUE), VLOOKUP($E1507,PESSOAL!$B$35:$S$45,MONTH($F1507)+6,false)*G1507*24,0)</f>
        <v>0</v>
      </c>
      <c r="O1507" s="117" t="b">
        <f t="shared" si="6"/>
        <v>1</v>
      </c>
      <c r="P1507" s="117" t="b">
        <v>0</v>
      </c>
      <c r="Q1507" s="117" t="s">
        <v>368</v>
      </c>
    </row>
    <row r="1508" hidden="1">
      <c r="A1508" s="108"/>
      <c r="B1508" s="220"/>
      <c r="C1508" s="220" t="s">
        <v>50</v>
      </c>
      <c r="D1508" s="220" t="str">
        <f>vlookup(M1508,'Página10'!A:B,2,false)</f>
        <v>INOV00006</v>
      </c>
      <c r="E1508" s="134" t="s">
        <v>146</v>
      </c>
      <c r="F1508" s="221">
        <v>45190.0</v>
      </c>
      <c r="G1508" s="222">
        <v>0.0625</v>
      </c>
      <c r="H1508" s="134" t="s">
        <v>411</v>
      </c>
      <c r="I1508" s="223" t="s">
        <v>411</v>
      </c>
      <c r="J1508" s="223" t="b">
        <f t="shared" si="1"/>
        <v>1</v>
      </c>
      <c r="K1508" s="145" t="s">
        <v>1452</v>
      </c>
      <c r="L1508" s="156"/>
      <c r="M1508" s="134" t="s">
        <v>422</v>
      </c>
      <c r="N1508" s="150">
        <f>if(and(O1508=TRUE,P1508=TRUE), VLOOKUP($E1508,PESSOAL!$B$35:$S$45,MONTH($F1508)+6,false)*G1508*24,0)</f>
        <v>162.750997</v>
      </c>
      <c r="O1508" s="117" t="b">
        <f t="shared" si="6"/>
        <v>1</v>
      </c>
      <c r="P1508" s="117" t="b">
        <v>1</v>
      </c>
      <c r="Q1508" s="117" t="s">
        <v>368</v>
      </c>
    </row>
    <row r="1509" hidden="1">
      <c r="A1509" s="108"/>
      <c r="B1509" s="220"/>
      <c r="C1509" s="220" t="s">
        <v>441</v>
      </c>
      <c r="D1509" s="220" t="str">
        <f>vlookup(M1509,'Página10'!A:B,2,false)</f>
        <v>INOV00025</v>
      </c>
      <c r="E1509" s="134" t="s">
        <v>146</v>
      </c>
      <c r="F1509" s="221">
        <v>45191.0</v>
      </c>
      <c r="G1509" s="222">
        <v>0.08333333333333333</v>
      </c>
      <c r="H1509" s="134" t="s">
        <v>411</v>
      </c>
      <c r="I1509" s="223" t="s">
        <v>411</v>
      </c>
      <c r="J1509" s="223" t="b">
        <f t="shared" si="1"/>
        <v>1</v>
      </c>
      <c r="K1509" s="145" t="s">
        <v>1453</v>
      </c>
      <c r="L1509" s="156"/>
      <c r="M1509" s="134" t="s">
        <v>440</v>
      </c>
      <c r="N1509" s="150">
        <f>if(and(O1509=TRUE,P1509=TRUE), VLOOKUP($E1509,PESSOAL!$B$35:$S$45,MONTH($F1509)+6,false)*G1509*24,0)</f>
        <v>0</v>
      </c>
      <c r="O1509" s="117" t="b">
        <f t="shared" si="6"/>
        <v>1</v>
      </c>
      <c r="P1509" s="117" t="b">
        <v>0</v>
      </c>
      <c r="Q1509" s="117" t="s">
        <v>368</v>
      </c>
    </row>
    <row r="1510" hidden="1">
      <c r="A1510" s="108"/>
      <c r="B1510" s="220"/>
      <c r="C1510" s="220" t="s">
        <v>55</v>
      </c>
      <c r="D1510" s="220" t="str">
        <f>vlookup(M1510,'Página10'!A:B,2,false)</f>
        <v>INOV00017</v>
      </c>
      <c r="E1510" s="134" t="s">
        <v>146</v>
      </c>
      <c r="F1510" s="221">
        <v>45194.0</v>
      </c>
      <c r="G1510" s="222">
        <v>0.08333333333333333</v>
      </c>
      <c r="H1510" s="134" t="s">
        <v>411</v>
      </c>
      <c r="I1510" s="223" t="s">
        <v>411</v>
      </c>
      <c r="J1510" s="223" t="b">
        <f t="shared" si="1"/>
        <v>1</v>
      </c>
      <c r="K1510" s="145" t="s">
        <v>1454</v>
      </c>
      <c r="L1510" s="156"/>
      <c r="M1510" s="134" t="s">
        <v>429</v>
      </c>
      <c r="N1510" s="150">
        <f>if(and(O1510=TRUE,P1510=TRUE), VLOOKUP($E1510,PESSOAL!$B$35:$S$45,MONTH($F1510)+6,false)*G1510*24,0)</f>
        <v>217.0013294</v>
      </c>
      <c r="O1510" s="117" t="b">
        <f t="shared" si="6"/>
        <v>1</v>
      </c>
      <c r="P1510" s="117" t="b">
        <v>1</v>
      </c>
      <c r="Q1510" s="117" t="s">
        <v>368</v>
      </c>
    </row>
    <row r="1511" hidden="1">
      <c r="A1511" s="108"/>
      <c r="B1511" s="220"/>
      <c r="C1511" s="220" t="s">
        <v>290</v>
      </c>
      <c r="D1511" s="220" t="str">
        <f>vlookup(M1511,'Página10'!A:B,2,false)</f>
        <v>INOV00001</v>
      </c>
      <c r="E1511" s="134" t="s">
        <v>146</v>
      </c>
      <c r="F1511" s="221">
        <v>45194.0</v>
      </c>
      <c r="G1511" s="222">
        <v>0.125</v>
      </c>
      <c r="H1511" s="134" t="s">
        <v>411</v>
      </c>
      <c r="I1511" s="223" t="s">
        <v>411</v>
      </c>
      <c r="J1511" s="223" t="b">
        <f t="shared" si="1"/>
        <v>1</v>
      </c>
      <c r="K1511" s="145" t="s">
        <v>1455</v>
      </c>
      <c r="L1511" s="156"/>
      <c r="M1511" s="134" t="s">
        <v>416</v>
      </c>
      <c r="N1511" s="150">
        <f>if(and(O1511=TRUE,P1511=TRUE), VLOOKUP($E1511,PESSOAL!$B$35:$S$45,MONTH($F1511)+6,false)*G1511*24,0)</f>
        <v>325.5019941</v>
      </c>
      <c r="O1511" s="117" t="b">
        <f t="shared" si="6"/>
        <v>1</v>
      </c>
      <c r="P1511" s="117" t="b">
        <v>1</v>
      </c>
      <c r="Q1511" s="117" t="s">
        <v>368</v>
      </c>
    </row>
    <row r="1512" hidden="1">
      <c r="A1512" s="108"/>
      <c r="B1512" s="220"/>
      <c r="C1512" s="220" t="s">
        <v>290</v>
      </c>
      <c r="D1512" s="220" t="str">
        <f>vlookup(M1512,'Página10'!A:B,2,false)</f>
        <v>INOV00001</v>
      </c>
      <c r="E1512" s="134" t="s">
        <v>146</v>
      </c>
      <c r="F1512" s="221">
        <v>45175.0</v>
      </c>
      <c r="G1512" s="222">
        <v>0.16666666666666666</v>
      </c>
      <c r="H1512" s="146" t="s">
        <v>411</v>
      </c>
      <c r="I1512" s="223" t="s">
        <v>411</v>
      </c>
      <c r="J1512" s="223" t="b">
        <f t="shared" si="1"/>
        <v>1</v>
      </c>
      <c r="K1512" s="145" t="s">
        <v>1456</v>
      </c>
      <c r="L1512" s="156"/>
      <c r="M1512" s="134" t="s">
        <v>416</v>
      </c>
      <c r="N1512" s="150">
        <f>if(and(O1512=TRUE,P1512=TRUE), VLOOKUP($E1512,PESSOAL!$B$35:$S$45,MONTH($F1512)+6,false)*G1512*24,0)</f>
        <v>434.0026588</v>
      </c>
      <c r="O1512" s="117" t="b">
        <f t="shared" si="6"/>
        <v>1</v>
      </c>
      <c r="P1512" s="117" t="b">
        <v>1</v>
      </c>
      <c r="Q1512" s="117" t="s">
        <v>368</v>
      </c>
    </row>
    <row r="1513" hidden="1">
      <c r="A1513" s="108"/>
      <c r="B1513" s="220"/>
      <c r="C1513" s="220" t="s">
        <v>433</v>
      </c>
      <c r="D1513" s="220" t="str">
        <f>vlookup(M1513,'Página10'!A:B,2,false)</f>
        <v>INOV00019</v>
      </c>
      <c r="E1513" s="134" t="s">
        <v>146</v>
      </c>
      <c r="F1513" s="221">
        <v>45180.0</v>
      </c>
      <c r="G1513" s="222">
        <v>0.08333333333333333</v>
      </c>
      <c r="H1513" s="134" t="s">
        <v>411</v>
      </c>
      <c r="I1513" s="223" t="s">
        <v>411</v>
      </c>
      <c r="J1513" s="223" t="b">
        <f t="shared" si="1"/>
        <v>1</v>
      </c>
      <c r="K1513" s="145" t="s">
        <v>1457</v>
      </c>
      <c r="L1513" s="156"/>
      <c r="M1513" s="134" t="s">
        <v>432</v>
      </c>
      <c r="N1513" s="150">
        <f>if(and(O1513=TRUE,P1513=TRUE), VLOOKUP($E1513,PESSOAL!$B$35:$S$45,MONTH($F1513)+6,false)*G1513*24,0)</f>
        <v>0</v>
      </c>
      <c r="O1513" s="117" t="b">
        <f t="shared" si="6"/>
        <v>1</v>
      </c>
      <c r="P1513" s="117" t="b">
        <v>0</v>
      </c>
      <c r="Q1513" s="117" t="s">
        <v>368</v>
      </c>
    </row>
    <row r="1514" hidden="1">
      <c r="A1514" s="108"/>
      <c r="B1514" s="220"/>
      <c r="C1514" s="220" t="s">
        <v>54</v>
      </c>
      <c r="D1514" s="220" t="str">
        <f>vlookup(M1514,'Página10'!A:B,2,false)</f>
        <v>INOV00016</v>
      </c>
      <c r="E1514" s="134" t="s">
        <v>146</v>
      </c>
      <c r="F1514" s="221">
        <v>45181.0</v>
      </c>
      <c r="G1514" s="222">
        <v>0.3645833333333333</v>
      </c>
      <c r="H1514" s="134" t="s">
        <v>411</v>
      </c>
      <c r="I1514" s="223" t="s">
        <v>411</v>
      </c>
      <c r="J1514" s="223" t="b">
        <f t="shared" si="1"/>
        <v>1</v>
      </c>
      <c r="K1514" s="145" t="s">
        <v>1458</v>
      </c>
      <c r="L1514" s="156"/>
      <c r="M1514" s="134" t="s">
        <v>428</v>
      </c>
      <c r="N1514" s="150">
        <f>if(and(O1514=TRUE,P1514=TRUE), VLOOKUP($E1514,PESSOAL!$B$35:$S$45,MONTH($F1514)+6,false)*G1514*24,0)</f>
        <v>949.3808161</v>
      </c>
      <c r="O1514" s="117" t="b">
        <f t="shared" si="6"/>
        <v>1</v>
      </c>
      <c r="P1514" s="117" t="b">
        <v>1</v>
      </c>
      <c r="Q1514" s="117" t="s">
        <v>368</v>
      </c>
    </row>
    <row r="1515" hidden="1">
      <c r="A1515" s="108"/>
      <c r="B1515" s="220"/>
      <c r="C1515" s="220" t="s">
        <v>54</v>
      </c>
      <c r="D1515" s="220" t="str">
        <f>vlookup(M1515,'Página10'!A:B,2,false)</f>
        <v>INOV00016</v>
      </c>
      <c r="E1515" s="134" t="s">
        <v>146</v>
      </c>
      <c r="F1515" s="221">
        <v>45183.0</v>
      </c>
      <c r="G1515" s="222">
        <v>0.14583333333333334</v>
      </c>
      <c r="H1515" s="134" t="s">
        <v>411</v>
      </c>
      <c r="I1515" s="223" t="s">
        <v>411</v>
      </c>
      <c r="J1515" s="223" t="b">
        <f t="shared" si="1"/>
        <v>1</v>
      </c>
      <c r="K1515" s="145" t="s">
        <v>1459</v>
      </c>
      <c r="L1515" s="156"/>
      <c r="M1515" s="134" t="s">
        <v>428</v>
      </c>
      <c r="N1515" s="150">
        <f>if(and(O1515=TRUE,P1515=TRUE), VLOOKUP($E1515,PESSOAL!$B$35:$S$45,MONTH($F1515)+6,false)*G1515*24,0)</f>
        <v>379.7523264</v>
      </c>
      <c r="O1515" s="117" t="b">
        <f t="shared" si="6"/>
        <v>1</v>
      </c>
      <c r="P1515" s="117" t="b">
        <v>1</v>
      </c>
      <c r="Q1515" s="117" t="s">
        <v>368</v>
      </c>
    </row>
    <row r="1516" hidden="1">
      <c r="A1516" s="108"/>
      <c r="B1516" s="220"/>
      <c r="C1516" s="220" t="s">
        <v>54</v>
      </c>
      <c r="D1516" s="220" t="str">
        <f>vlookup(M1516,'Página10'!A:B,2,false)</f>
        <v>INOV00016</v>
      </c>
      <c r="E1516" s="134" t="s">
        <v>146</v>
      </c>
      <c r="F1516" s="221">
        <v>45188.0</v>
      </c>
      <c r="G1516" s="222">
        <v>0.08333333333333333</v>
      </c>
      <c r="H1516" s="134" t="s">
        <v>411</v>
      </c>
      <c r="I1516" s="223" t="s">
        <v>411</v>
      </c>
      <c r="J1516" s="223" t="b">
        <f t="shared" si="1"/>
        <v>1</v>
      </c>
      <c r="K1516" s="145" t="s">
        <v>1460</v>
      </c>
      <c r="L1516" s="156"/>
      <c r="M1516" s="134" t="s">
        <v>428</v>
      </c>
      <c r="N1516" s="150">
        <f>if(and(O1516=TRUE,P1516=TRUE), VLOOKUP($E1516,PESSOAL!$B$35:$S$45,MONTH($F1516)+6,false)*G1516*24,0)</f>
        <v>217.0013294</v>
      </c>
      <c r="O1516" s="117" t="b">
        <f t="shared" si="6"/>
        <v>1</v>
      </c>
      <c r="P1516" s="117" t="b">
        <v>1</v>
      </c>
      <c r="Q1516" s="117" t="s">
        <v>368</v>
      </c>
    </row>
    <row r="1517" hidden="1">
      <c r="A1517" s="108"/>
      <c r="B1517" s="220"/>
      <c r="C1517" s="220" t="s">
        <v>51</v>
      </c>
      <c r="D1517" s="220" t="str">
        <f>vlookup(M1517,'Página10'!A:B,2,false)</f>
        <v>INOV00010</v>
      </c>
      <c r="E1517" s="134" t="s">
        <v>137</v>
      </c>
      <c r="F1517" s="225">
        <v>45175.0</v>
      </c>
      <c r="G1517" s="222">
        <v>0.03125</v>
      </c>
      <c r="H1517" s="134" t="s">
        <v>411</v>
      </c>
      <c r="I1517" s="223" t="s">
        <v>411</v>
      </c>
      <c r="J1517" s="223" t="b">
        <f t="shared" si="1"/>
        <v>1</v>
      </c>
      <c r="K1517" s="145" t="s">
        <v>1461</v>
      </c>
      <c r="L1517" s="156"/>
      <c r="M1517" s="134" t="s">
        <v>423</v>
      </c>
      <c r="N1517" s="150">
        <f>if(and(O1517=TRUE,P1517=TRUE), VLOOKUP($E1517,PESSOAL!$B$35:$S$45,MONTH($F1517)+6,false)*G1517*24,0)</f>
        <v>39.65126184</v>
      </c>
      <c r="O1517" s="117" t="b">
        <f t="shared" si="6"/>
        <v>1</v>
      </c>
      <c r="P1517" s="117" t="b">
        <v>1</v>
      </c>
      <c r="Q1517" s="117" t="s">
        <v>368</v>
      </c>
    </row>
    <row r="1518" hidden="1">
      <c r="A1518" s="108"/>
      <c r="B1518" s="220"/>
      <c r="C1518" s="220" t="s">
        <v>51</v>
      </c>
      <c r="D1518" s="220" t="str">
        <f>vlookup(M1518,'Página10'!A:B,2,false)</f>
        <v>INOV00010</v>
      </c>
      <c r="E1518" s="134" t="s">
        <v>137</v>
      </c>
      <c r="F1518" s="225">
        <v>45180.0</v>
      </c>
      <c r="G1518" s="222">
        <v>0.0625</v>
      </c>
      <c r="H1518" s="134" t="s">
        <v>411</v>
      </c>
      <c r="I1518" s="223" t="s">
        <v>411</v>
      </c>
      <c r="J1518" s="223" t="b">
        <f t="shared" si="1"/>
        <v>1</v>
      </c>
      <c r="K1518" s="145" t="s">
        <v>1462</v>
      </c>
      <c r="L1518" s="156"/>
      <c r="M1518" s="134" t="s">
        <v>423</v>
      </c>
      <c r="N1518" s="150">
        <f>if(and(O1518=TRUE,P1518=TRUE), VLOOKUP($E1518,PESSOAL!$B$35:$S$45,MONTH($F1518)+6,false)*G1518*24,0)</f>
        <v>79.30252368</v>
      </c>
      <c r="O1518" s="117" t="b">
        <f t="shared" si="6"/>
        <v>1</v>
      </c>
      <c r="P1518" s="117" t="b">
        <v>1</v>
      </c>
      <c r="Q1518" s="117" t="s">
        <v>368</v>
      </c>
    </row>
    <row r="1519" hidden="1">
      <c r="A1519" s="108"/>
      <c r="B1519" s="220"/>
      <c r="C1519" s="220" t="s">
        <v>453</v>
      </c>
      <c r="D1519" s="220" t="str">
        <f>vlookup(M1519,'Página10'!A:B,2,false)</f>
        <v>INOV00032</v>
      </c>
      <c r="E1519" s="134" t="s">
        <v>137</v>
      </c>
      <c r="F1519" s="225">
        <v>45181.0</v>
      </c>
      <c r="G1519" s="222">
        <v>0.08333333333333333</v>
      </c>
      <c r="H1519" s="134" t="s">
        <v>411</v>
      </c>
      <c r="I1519" s="223" t="s">
        <v>411</v>
      </c>
      <c r="J1519" s="223" t="b">
        <f t="shared" si="1"/>
        <v>1</v>
      </c>
      <c r="K1519" s="145" t="s">
        <v>1463</v>
      </c>
      <c r="L1519" s="156"/>
      <c r="M1519" s="134" t="s">
        <v>452</v>
      </c>
      <c r="N1519" s="150">
        <f>if(and(O1519=TRUE,P1519=TRUE), VLOOKUP($E1519,PESSOAL!$B$35:$S$45,MONTH($F1519)+6,false)*G1519*24,0)</f>
        <v>0</v>
      </c>
      <c r="O1519" s="117" t="b">
        <f t="shared" si="6"/>
        <v>1</v>
      </c>
      <c r="P1519" s="117" t="b">
        <v>0</v>
      </c>
      <c r="Q1519" s="117" t="s">
        <v>368</v>
      </c>
    </row>
    <row r="1520" hidden="1">
      <c r="A1520" s="108"/>
      <c r="B1520" s="220"/>
      <c r="C1520" s="220" t="s">
        <v>68</v>
      </c>
      <c r="D1520" s="220" t="str">
        <f>vlookup(M1520,'Página10'!A:B,2,false)</f>
        <v>INOV00040</v>
      </c>
      <c r="E1520" s="134" t="s">
        <v>137</v>
      </c>
      <c r="F1520" s="225">
        <v>45182.0</v>
      </c>
      <c r="G1520" s="222">
        <v>0.16666666666666666</v>
      </c>
      <c r="H1520" s="134" t="s">
        <v>411</v>
      </c>
      <c r="I1520" s="223" t="s">
        <v>411</v>
      </c>
      <c r="J1520" s="223" t="b">
        <f t="shared" si="1"/>
        <v>1</v>
      </c>
      <c r="K1520" s="145" t="s">
        <v>1464</v>
      </c>
      <c r="L1520" s="156"/>
      <c r="M1520" s="134" t="s">
        <v>462</v>
      </c>
      <c r="N1520" s="150">
        <f>if(and(O1520=TRUE,P1520=TRUE), VLOOKUP($E1520,PESSOAL!$B$35:$S$45,MONTH($F1520)+6,false)*G1520*24,0)</f>
        <v>0</v>
      </c>
      <c r="O1520" s="117" t="b">
        <f t="shared" si="6"/>
        <v>1</v>
      </c>
      <c r="P1520" s="117" t="b">
        <v>0</v>
      </c>
      <c r="Q1520" s="117" t="s">
        <v>368</v>
      </c>
    </row>
    <row r="1521" hidden="1">
      <c r="A1521" s="108"/>
      <c r="B1521" s="220"/>
      <c r="C1521" s="220" t="s">
        <v>55</v>
      </c>
      <c r="D1521" s="220" t="str">
        <f>vlookup(M1521,'Página10'!A:B,2,false)</f>
        <v>INOV00017</v>
      </c>
      <c r="E1521" s="134" t="s">
        <v>137</v>
      </c>
      <c r="F1521" s="225">
        <v>45184.0</v>
      </c>
      <c r="G1521" s="222">
        <v>0.14583333333333334</v>
      </c>
      <c r="H1521" s="134" t="s">
        <v>411</v>
      </c>
      <c r="I1521" s="223" t="s">
        <v>411</v>
      </c>
      <c r="J1521" s="223" t="b">
        <f t="shared" si="1"/>
        <v>1</v>
      </c>
      <c r="K1521" s="145" t="s">
        <v>976</v>
      </c>
      <c r="L1521" s="156"/>
      <c r="M1521" s="134" t="s">
        <v>429</v>
      </c>
      <c r="N1521" s="150">
        <f>if(and(O1521=TRUE,P1521=TRUE), VLOOKUP($E1521,PESSOAL!$B$35:$S$45,MONTH($F1521)+6,false)*G1521*24,0)</f>
        <v>185.0392219</v>
      </c>
      <c r="O1521" s="117" t="b">
        <f t="shared" si="6"/>
        <v>1</v>
      </c>
      <c r="P1521" s="117" t="b">
        <v>1</v>
      </c>
      <c r="Q1521" s="117" t="s">
        <v>368</v>
      </c>
    </row>
    <row r="1522" hidden="1">
      <c r="A1522" s="108"/>
      <c r="B1522" s="220"/>
      <c r="C1522" s="220" t="s">
        <v>51</v>
      </c>
      <c r="D1522" s="220" t="str">
        <f>vlookup(M1522,'Página10'!A:B,2,false)</f>
        <v>INOV00010</v>
      </c>
      <c r="E1522" s="134" t="s">
        <v>137</v>
      </c>
      <c r="F1522" s="225">
        <v>45188.0</v>
      </c>
      <c r="G1522" s="222">
        <v>0.041666666666666664</v>
      </c>
      <c r="H1522" s="134" t="s">
        <v>411</v>
      </c>
      <c r="I1522" s="223" t="s">
        <v>411</v>
      </c>
      <c r="J1522" s="223" t="b">
        <f t="shared" si="1"/>
        <v>1</v>
      </c>
      <c r="K1522" s="145" t="s">
        <v>1465</v>
      </c>
      <c r="L1522" s="156"/>
      <c r="M1522" s="134" t="s">
        <v>423</v>
      </c>
      <c r="N1522" s="150">
        <f>if(and(O1522=TRUE,P1522=TRUE), VLOOKUP($E1522,PESSOAL!$B$35:$S$45,MONTH($F1522)+6,false)*G1522*24,0)</f>
        <v>52.86834912</v>
      </c>
      <c r="O1522" s="117" t="b">
        <f t="shared" si="6"/>
        <v>1</v>
      </c>
      <c r="P1522" s="117" t="b">
        <v>1</v>
      </c>
      <c r="Q1522" s="117" t="s">
        <v>368</v>
      </c>
    </row>
    <row r="1523" hidden="1">
      <c r="A1523" s="108"/>
      <c r="B1523" s="220"/>
      <c r="C1523" s="220" t="s">
        <v>453</v>
      </c>
      <c r="D1523" s="220" t="str">
        <f>vlookup(M1523,'Página10'!A:B,2,false)</f>
        <v>INOV00032</v>
      </c>
      <c r="E1523" s="134" t="s">
        <v>137</v>
      </c>
      <c r="F1523" s="225">
        <v>45188.0</v>
      </c>
      <c r="G1523" s="222">
        <v>0.041666666666666664</v>
      </c>
      <c r="H1523" s="134" t="s">
        <v>411</v>
      </c>
      <c r="I1523" s="223" t="s">
        <v>411</v>
      </c>
      <c r="J1523" s="223" t="b">
        <f t="shared" si="1"/>
        <v>1</v>
      </c>
      <c r="K1523" s="145" t="s">
        <v>1466</v>
      </c>
      <c r="L1523" s="156"/>
      <c r="M1523" s="134" t="s">
        <v>452</v>
      </c>
      <c r="N1523" s="150">
        <f>if(and(O1523=TRUE,P1523=TRUE), VLOOKUP($E1523,PESSOAL!$B$35:$S$45,MONTH($F1523)+6,false)*G1523*24,0)</f>
        <v>0</v>
      </c>
      <c r="O1523" s="117" t="b">
        <f t="shared" si="6"/>
        <v>1</v>
      </c>
      <c r="P1523" s="117" t="b">
        <v>0</v>
      </c>
      <c r="Q1523" s="117" t="s">
        <v>368</v>
      </c>
    </row>
    <row r="1524" hidden="1">
      <c r="A1524" s="108"/>
      <c r="B1524" s="220"/>
      <c r="C1524" s="220" t="s">
        <v>433</v>
      </c>
      <c r="D1524" s="220" t="str">
        <f>vlookup(M1524,'Página10'!A:B,2,false)</f>
        <v>INOV00019</v>
      </c>
      <c r="E1524" s="134" t="s">
        <v>137</v>
      </c>
      <c r="F1524" s="225">
        <v>45190.0</v>
      </c>
      <c r="G1524" s="222">
        <v>0.2916666666666667</v>
      </c>
      <c r="H1524" s="134" t="s">
        <v>411</v>
      </c>
      <c r="I1524" s="223" t="s">
        <v>411</v>
      </c>
      <c r="J1524" s="223" t="b">
        <f t="shared" si="1"/>
        <v>1</v>
      </c>
      <c r="K1524" s="145" t="s">
        <v>1467</v>
      </c>
      <c r="L1524" s="156"/>
      <c r="M1524" s="134" t="s">
        <v>432</v>
      </c>
      <c r="N1524" s="150">
        <f>if(and(O1524=TRUE,P1524=TRUE), VLOOKUP($E1524,PESSOAL!$B$35:$S$45,MONTH($F1524)+6,false)*G1524*24,0)</f>
        <v>0</v>
      </c>
      <c r="O1524" s="117" t="b">
        <f t="shared" si="6"/>
        <v>1</v>
      </c>
      <c r="P1524" s="117" t="b">
        <v>0</v>
      </c>
      <c r="Q1524" s="117" t="s">
        <v>368</v>
      </c>
    </row>
    <row r="1525" hidden="1">
      <c r="A1525" s="108"/>
      <c r="B1525" s="220"/>
      <c r="C1525" s="220" t="s">
        <v>51</v>
      </c>
      <c r="D1525" s="220" t="str">
        <f>vlookup(M1525,'Página10'!A:B,2,false)</f>
        <v>INOV00010</v>
      </c>
      <c r="E1525" s="134" t="s">
        <v>137</v>
      </c>
      <c r="F1525" s="225">
        <v>45196.0</v>
      </c>
      <c r="G1525" s="222">
        <v>0.0625</v>
      </c>
      <c r="H1525" s="134" t="s">
        <v>411</v>
      </c>
      <c r="I1525" s="223" t="s">
        <v>411</v>
      </c>
      <c r="J1525" s="223" t="b">
        <f t="shared" si="1"/>
        <v>1</v>
      </c>
      <c r="K1525" s="145" t="s">
        <v>1468</v>
      </c>
      <c r="L1525" s="156"/>
      <c r="M1525" s="134" t="s">
        <v>423</v>
      </c>
      <c r="N1525" s="150">
        <f>if(and(O1525=TRUE,P1525=TRUE), VLOOKUP($E1525,PESSOAL!$B$35:$S$45,MONTH($F1525)+6,false)*G1525*24,0)</f>
        <v>79.30252368</v>
      </c>
      <c r="O1525" s="117" t="b">
        <f t="shared" si="6"/>
        <v>1</v>
      </c>
      <c r="P1525" s="117" t="b">
        <v>1</v>
      </c>
      <c r="Q1525" s="117" t="s">
        <v>368</v>
      </c>
    </row>
    <row r="1526" hidden="1">
      <c r="A1526" s="108"/>
      <c r="B1526" s="220"/>
      <c r="C1526" s="220" t="s">
        <v>55</v>
      </c>
      <c r="D1526" s="220" t="str">
        <f>vlookup(M1526,'Página10'!A:B,2,false)</f>
        <v>INOV00017</v>
      </c>
      <c r="E1526" s="134" t="s">
        <v>137</v>
      </c>
      <c r="F1526" s="225">
        <v>45194.0</v>
      </c>
      <c r="G1526" s="222">
        <v>0.041666666666666664</v>
      </c>
      <c r="H1526" s="134" t="s">
        <v>411</v>
      </c>
      <c r="I1526" s="223" t="s">
        <v>411</v>
      </c>
      <c r="J1526" s="223" t="b">
        <f t="shared" si="1"/>
        <v>1</v>
      </c>
      <c r="K1526" s="145" t="s">
        <v>1469</v>
      </c>
      <c r="L1526" s="156"/>
      <c r="M1526" s="134" t="s">
        <v>429</v>
      </c>
      <c r="N1526" s="150">
        <f>if(and(O1526=TRUE,P1526=TRUE), VLOOKUP($E1526,PESSOAL!$B$35:$S$45,MONTH($F1526)+6,false)*G1526*24,0)</f>
        <v>52.86834912</v>
      </c>
      <c r="O1526" s="117" t="b">
        <f t="shared" si="6"/>
        <v>1</v>
      </c>
      <c r="P1526" s="117" t="b">
        <v>1</v>
      </c>
      <c r="Q1526" s="117" t="s">
        <v>368</v>
      </c>
    </row>
    <row r="1527" hidden="1">
      <c r="A1527" s="108"/>
      <c r="B1527" s="220"/>
      <c r="C1527" s="220" t="s">
        <v>290</v>
      </c>
      <c r="D1527" s="220" t="str">
        <f>vlookup(M1527,'Página10'!A:B,2,false)</f>
        <v>INOV00001</v>
      </c>
      <c r="E1527" s="134" t="s">
        <v>307</v>
      </c>
      <c r="F1527" s="225">
        <v>45201.0</v>
      </c>
      <c r="G1527" s="222">
        <v>0.010416666666666666</v>
      </c>
      <c r="H1527" s="134" t="s">
        <v>479</v>
      </c>
      <c r="I1527" s="223" t="s">
        <v>479</v>
      </c>
      <c r="J1527" s="223" t="b">
        <f t="shared" si="1"/>
        <v>1</v>
      </c>
      <c r="K1527" s="145" t="s">
        <v>1289</v>
      </c>
      <c r="L1527" s="156"/>
      <c r="M1527" s="134" t="s">
        <v>416</v>
      </c>
      <c r="N1527" s="150">
        <f>if(and(O1527=TRUE,P1527=TRUE), VLOOKUP($E1527,PESSOAL!$B$35:$S$45,MONTH($F1527)+6,false)*G1527*24,0)</f>
        <v>0</v>
      </c>
      <c r="O1527" s="117" t="b">
        <f t="shared" ref="O1527:O1903" si="7">if(OR(I1527="Treinamento",I1527="Pesquisa",I1527="Desenvolvimento"),TRUE,FALSE)</f>
        <v>0</v>
      </c>
      <c r="P1527" s="117" t="b">
        <v>1</v>
      </c>
      <c r="Q1527" s="117" t="s">
        <v>368</v>
      </c>
    </row>
    <row r="1528" hidden="1">
      <c r="A1528" s="108"/>
      <c r="B1528" s="220"/>
      <c r="C1528" s="220" t="s">
        <v>290</v>
      </c>
      <c r="D1528" s="220" t="str">
        <f>vlookup(M1528,'Página10'!A:B,2,false)</f>
        <v>INOV00001</v>
      </c>
      <c r="E1528" s="134" t="s">
        <v>307</v>
      </c>
      <c r="F1528" s="225">
        <v>45202.0</v>
      </c>
      <c r="G1528" s="222">
        <v>0.017361111111111112</v>
      </c>
      <c r="H1528" s="134" t="s">
        <v>479</v>
      </c>
      <c r="I1528" s="223" t="s">
        <v>479</v>
      </c>
      <c r="J1528" s="223" t="b">
        <f t="shared" si="1"/>
        <v>1</v>
      </c>
      <c r="K1528" s="145" t="s">
        <v>1289</v>
      </c>
      <c r="L1528" s="156"/>
      <c r="M1528" s="134" t="s">
        <v>416</v>
      </c>
      <c r="N1528" s="150">
        <f>if(and(O1528=TRUE,P1528=TRUE), VLOOKUP($E1528,PESSOAL!$B$35:$S$45,MONTH($F1528)+6,false)*G1528*24,0)</f>
        <v>0</v>
      </c>
      <c r="O1528" s="117" t="b">
        <f t="shared" si="7"/>
        <v>0</v>
      </c>
      <c r="P1528" s="117" t="b">
        <v>1</v>
      </c>
      <c r="Q1528" s="117" t="s">
        <v>368</v>
      </c>
    </row>
    <row r="1529" hidden="1">
      <c r="A1529" s="108"/>
      <c r="B1529" s="220"/>
      <c r="C1529" s="220" t="s">
        <v>290</v>
      </c>
      <c r="D1529" s="220" t="str">
        <f>vlookup(M1529,'Página10'!A:B,2,false)</f>
        <v>INOV00001</v>
      </c>
      <c r="E1529" s="134" t="s">
        <v>307</v>
      </c>
      <c r="F1529" s="225">
        <v>45202.0</v>
      </c>
      <c r="G1529" s="222">
        <v>0.052083333333333336</v>
      </c>
      <c r="H1529" s="134" t="s">
        <v>411</v>
      </c>
      <c r="I1529" s="223" t="s">
        <v>411</v>
      </c>
      <c r="J1529" s="223" t="b">
        <f t="shared" si="1"/>
        <v>1</v>
      </c>
      <c r="K1529" s="145" t="s">
        <v>1323</v>
      </c>
      <c r="L1529" s="156"/>
      <c r="M1529" s="134" t="s">
        <v>416</v>
      </c>
      <c r="N1529" s="150">
        <f>if(and(O1529=TRUE,P1529=TRUE), VLOOKUP($E1529,PESSOAL!$B$35:$S$45,MONTH($F1529)+6,false)*G1529*24,0)</f>
        <v>50.22177908</v>
      </c>
      <c r="O1529" s="117" t="b">
        <f t="shared" si="7"/>
        <v>1</v>
      </c>
      <c r="P1529" s="117" t="b">
        <v>1</v>
      </c>
      <c r="Q1529" s="117" t="s">
        <v>368</v>
      </c>
    </row>
    <row r="1530" hidden="1">
      <c r="A1530" s="108"/>
      <c r="B1530" s="220"/>
      <c r="C1530" s="220" t="s">
        <v>290</v>
      </c>
      <c r="D1530" s="220" t="str">
        <f>vlookup(M1530,'Página10'!A:B,2,false)</f>
        <v>INOV00001</v>
      </c>
      <c r="E1530" s="134" t="s">
        <v>307</v>
      </c>
      <c r="F1530" s="225">
        <v>45202.0</v>
      </c>
      <c r="G1530" s="222">
        <v>0.06944444444444445</v>
      </c>
      <c r="H1530" s="134" t="s">
        <v>411</v>
      </c>
      <c r="I1530" s="223" t="s">
        <v>411</v>
      </c>
      <c r="J1530" s="223" t="b">
        <f t="shared" si="1"/>
        <v>1</v>
      </c>
      <c r="K1530" s="145" t="s">
        <v>1323</v>
      </c>
      <c r="L1530" s="156"/>
      <c r="M1530" s="134" t="s">
        <v>416</v>
      </c>
      <c r="N1530" s="150">
        <f>if(and(O1530=TRUE,P1530=TRUE), VLOOKUP($E1530,PESSOAL!$B$35:$S$45,MONTH($F1530)+6,false)*G1530*24,0)</f>
        <v>66.96237211</v>
      </c>
      <c r="O1530" s="117" t="b">
        <f t="shared" si="7"/>
        <v>1</v>
      </c>
      <c r="P1530" s="117" t="b">
        <v>1</v>
      </c>
      <c r="Q1530" s="117" t="s">
        <v>368</v>
      </c>
    </row>
    <row r="1531" hidden="1">
      <c r="A1531" s="108"/>
      <c r="B1531" s="220"/>
      <c r="C1531" s="220" t="s">
        <v>290</v>
      </c>
      <c r="D1531" s="220" t="str">
        <f>vlookup(M1531,'Página10'!A:B,2,false)</f>
        <v>INOV00001</v>
      </c>
      <c r="E1531" s="134" t="s">
        <v>307</v>
      </c>
      <c r="F1531" s="225">
        <v>45204.0</v>
      </c>
      <c r="G1531" s="222">
        <v>0.052083333333333336</v>
      </c>
      <c r="H1531" s="134" t="s">
        <v>411</v>
      </c>
      <c r="I1531" s="223" t="s">
        <v>411</v>
      </c>
      <c r="J1531" s="223" t="b">
        <f t="shared" si="1"/>
        <v>1</v>
      </c>
      <c r="K1531" s="145" t="s">
        <v>1323</v>
      </c>
      <c r="L1531" s="156"/>
      <c r="M1531" s="134" t="s">
        <v>416</v>
      </c>
      <c r="N1531" s="150">
        <f>if(and(O1531=TRUE,P1531=TRUE), VLOOKUP($E1531,PESSOAL!$B$35:$S$45,MONTH($F1531)+6,false)*G1531*24,0)</f>
        <v>50.22177908</v>
      </c>
      <c r="O1531" s="117" t="b">
        <f t="shared" si="7"/>
        <v>1</v>
      </c>
      <c r="P1531" s="117" t="b">
        <v>1</v>
      </c>
      <c r="Q1531" s="117" t="s">
        <v>368</v>
      </c>
    </row>
    <row r="1532" hidden="1">
      <c r="A1532" s="108"/>
      <c r="B1532" s="220"/>
      <c r="C1532" s="220" t="s">
        <v>290</v>
      </c>
      <c r="D1532" s="220" t="str">
        <f>vlookup(M1532,'Página10'!A:B,2,false)</f>
        <v>INOV00001</v>
      </c>
      <c r="E1532" s="134" t="s">
        <v>307</v>
      </c>
      <c r="F1532" s="225">
        <v>45204.0</v>
      </c>
      <c r="G1532" s="222">
        <v>0.06944444444444445</v>
      </c>
      <c r="H1532" s="134" t="s">
        <v>479</v>
      </c>
      <c r="I1532" s="223" t="s">
        <v>479</v>
      </c>
      <c r="J1532" s="223" t="b">
        <f t="shared" si="1"/>
        <v>1</v>
      </c>
      <c r="K1532" s="145" t="s">
        <v>1470</v>
      </c>
      <c r="L1532" s="156"/>
      <c r="M1532" s="134" t="s">
        <v>416</v>
      </c>
      <c r="N1532" s="150">
        <f>if(and(O1532=TRUE,P1532=TRUE), VLOOKUP($E1532,PESSOAL!$B$35:$S$45,MONTH($F1532)+6,false)*G1532*24,0)</f>
        <v>0</v>
      </c>
      <c r="O1532" s="117" t="b">
        <f t="shared" si="7"/>
        <v>0</v>
      </c>
      <c r="P1532" s="117" t="b">
        <v>1</v>
      </c>
      <c r="Q1532" s="117" t="s">
        <v>368</v>
      </c>
    </row>
    <row r="1533" hidden="1">
      <c r="A1533" s="108"/>
      <c r="B1533" s="220"/>
      <c r="C1533" s="220" t="s">
        <v>290</v>
      </c>
      <c r="D1533" s="220" t="str">
        <f>vlookup(M1533,'Página10'!A:B,2,false)</f>
        <v>INOV00001</v>
      </c>
      <c r="E1533" s="134" t="s">
        <v>307</v>
      </c>
      <c r="F1533" s="225">
        <v>45208.0</v>
      </c>
      <c r="G1533" s="222">
        <v>0.0625</v>
      </c>
      <c r="H1533" s="134" t="s">
        <v>411</v>
      </c>
      <c r="I1533" s="223" t="s">
        <v>411</v>
      </c>
      <c r="J1533" s="223" t="b">
        <f t="shared" si="1"/>
        <v>1</v>
      </c>
      <c r="K1533" s="145" t="s">
        <v>1323</v>
      </c>
      <c r="L1533" s="156"/>
      <c r="M1533" s="134" t="s">
        <v>416</v>
      </c>
      <c r="N1533" s="150">
        <f>if(and(O1533=TRUE,P1533=TRUE), VLOOKUP($E1533,PESSOAL!$B$35:$S$45,MONTH($F1533)+6,false)*G1533*24,0)</f>
        <v>60.2661349</v>
      </c>
      <c r="O1533" s="117" t="b">
        <f t="shared" si="7"/>
        <v>1</v>
      </c>
      <c r="P1533" s="117" t="b">
        <v>1</v>
      </c>
      <c r="Q1533" s="117" t="s">
        <v>368</v>
      </c>
    </row>
    <row r="1534" hidden="1">
      <c r="A1534" s="108"/>
      <c r="B1534" s="220"/>
      <c r="C1534" s="220" t="s">
        <v>290</v>
      </c>
      <c r="D1534" s="220" t="str">
        <f>vlookup(M1534,'Página10'!A:B,2,false)</f>
        <v>INOV00001</v>
      </c>
      <c r="E1534" s="134" t="s">
        <v>307</v>
      </c>
      <c r="F1534" s="225">
        <v>45209.0</v>
      </c>
      <c r="G1534" s="222">
        <v>0.08680555555555555</v>
      </c>
      <c r="H1534" s="134" t="s">
        <v>479</v>
      </c>
      <c r="I1534" s="223" t="s">
        <v>411</v>
      </c>
      <c r="J1534" s="223" t="b">
        <f t="shared" si="1"/>
        <v>0</v>
      </c>
      <c r="K1534" s="145" t="s">
        <v>1471</v>
      </c>
      <c r="L1534" s="156"/>
      <c r="M1534" s="134" t="s">
        <v>416</v>
      </c>
      <c r="N1534" s="150">
        <f>if(and(O1534=TRUE,P1534=TRUE), VLOOKUP($E1534,PESSOAL!$B$35:$S$45,MONTH($F1534)+6,false)*G1534*24,0)</f>
        <v>83.70296513</v>
      </c>
      <c r="O1534" s="117" t="b">
        <f t="shared" si="7"/>
        <v>1</v>
      </c>
      <c r="P1534" s="117" t="b">
        <v>1</v>
      </c>
      <c r="Q1534" s="117" t="s">
        <v>368</v>
      </c>
    </row>
    <row r="1535" hidden="1">
      <c r="A1535" s="108"/>
      <c r="B1535" s="220"/>
      <c r="C1535" s="220" t="s">
        <v>290</v>
      </c>
      <c r="D1535" s="220" t="str">
        <f>vlookup(M1535,'Página10'!A:B,2,false)</f>
        <v>INOV00001</v>
      </c>
      <c r="E1535" s="134" t="s">
        <v>307</v>
      </c>
      <c r="F1535" s="225">
        <v>45209.0</v>
      </c>
      <c r="G1535" s="222">
        <v>0.09375</v>
      </c>
      <c r="H1535" s="134" t="s">
        <v>411</v>
      </c>
      <c r="I1535" s="223" t="s">
        <v>411</v>
      </c>
      <c r="J1535" s="223" t="b">
        <f t="shared" si="1"/>
        <v>1</v>
      </c>
      <c r="K1535" s="145" t="s">
        <v>1472</v>
      </c>
      <c r="L1535" s="156"/>
      <c r="M1535" s="134" t="s">
        <v>416</v>
      </c>
      <c r="N1535" s="150">
        <f>if(and(O1535=TRUE,P1535=TRUE), VLOOKUP($E1535,PESSOAL!$B$35:$S$45,MONTH($F1535)+6,false)*G1535*24,0)</f>
        <v>90.39920234</v>
      </c>
      <c r="O1535" s="117" t="b">
        <f t="shared" si="7"/>
        <v>1</v>
      </c>
      <c r="P1535" s="117" t="b">
        <v>1</v>
      </c>
      <c r="Q1535" s="117" t="s">
        <v>368</v>
      </c>
    </row>
    <row r="1536" hidden="1">
      <c r="A1536" s="108"/>
      <c r="B1536" s="220"/>
      <c r="C1536" s="220" t="s">
        <v>290</v>
      </c>
      <c r="D1536" s="220" t="str">
        <f>vlookup(M1536,'Página10'!A:B,2,false)</f>
        <v>INOV00001</v>
      </c>
      <c r="E1536" s="134" t="s">
        <v>307</v>
      </c>
      <c r="F1536" s="225">
        <v>45210.0</v>
      </c>
      <c r="G1536" s="222">
        <v>0.052083333333333336</v>
      </c>
      <c r="H1536" s="134" t="s">
        <v>411</v>
      </c>
      <c r="I1536" s="223" t="s">
        <v>411</v>
      </c>
      <c r="J1536" s="223" t="b">
        <f t="shared" si="1"/>
        <v>1</v>
      </c>
      <c r="K1536" s="145" t="s">
        <v>1473</v>
      </c>
      <c r="L1536" s="156"/>
      <c r="M1536" s="134" t="s">
        <v>416</v>
      </c>
      <c r="N1536" s="150">
        <f>if(and(O1536=TRUE,P1536=TRUE), VLOOKUP($E1536,PESSOAL!$B$35:$S$45,MONTH($F1536)+6,false)*G1536*24,0)</f>
        <v>50.22177908</v>
      </c>
      <c r="O1536" s="117" t="b">
        <f t="shared" si="7"/>
        <v>1</v>
      </c>
      <c r="P1536" s="117" t="b">
        <v>1</v>
      </c>
      <c r="Q1536" s="117" t="s">
        <v>368</v>
      </c>
    </row>
    <row r="1537" hidden="1">
      <c r="A1537" s="108"/>
      <c r="B1537" s="220"/>
      <c r="C1537" s="220" t="s">
        <v>290</v>
      </c>
      <c r="D1537" s="220" t="str">
        <f>vlookup(M1537,'Página10'!A:B,2,false)</f>
        <v>INOV00001</v>
      </c>
      <c r="E1537" s="134" t="s">
        <v>307</v>
      </c>
      <c r="F1537" s="225">
        <v>45215.0</v>
      </c>
      <c r="G1537" s="222">
        <v>0.010416666666666666</v>
      </c>
      <c r="H1537" s="134" t="s">
        <v>479</v>
      </c>
      <c r="I1537" s="223" t="s">
        <v>479</v>
      </c>
      <c r="J1537" s="223" t="b">
        <f t="shared" si="1"/>
        <v>1</v>
      </c>
      <c r="K1537" s="145" t="s">
        <v>1289</v>
      </c>
      <c r="L1537" s="156"/>
      <c r="M1537" s="134" t="s">
        <v>416</v>
      </c>
      <c r="N1537" s="150">
        <f>if(and(O1537=TRUE,P1537=TRUE), VLOOKUP($E1537,PESSOAL!$B$35:$S$45,MONTH($F1537)+6,false)*G1537*24,0)</f>
        <v>0</v>
      </c>
      <c r="O1537" s="117" t="b">
        <f t="shared" si="7"/>
        <v>0</v>
      </c>
      <c r="P1537" s="117" t="b">
        <v>1</v>
      </c>
      <c r="Q1537" s="117" t="s">
        <v>368</v>
      </c>
    </row>
    <row r="1538" hidden="1">
      <c r="A1538" s="108"/>
      <c r="B1538" s="220"/>
      <c r="C1538" s="220" t="s">
        <v>61</v>
      </c>
      <c r="D1538" s="220" t="str">
        <f>vlookup(M1538,'Página10'!A:B,2,false)</f>
        <v>INOV00031</v>
      </c>
      <c r="E1538" s="134" t="s">
        <v>307</v>
      </c>
      <c r="F1538" s="225">
        <v>45215.0</v>
      </c>
      <c r="G1538" s="222">
        <v>0.010416666666666666</v>
      </c>
      <c r="H1538" s="134" t="s">
        <v>479</v>
      </c>
      <c r="I1538" s="223" t="s">
        <v>479</v>
      </c>
      <c r="J1538" s="223" t="b">
        <f t="shared" si="1"/>
        <v>1</v>
      </c>
      <c r="K1538" s="145" t="s">
        <v>1289</v>
      </c>
      <c r="L1538" s="156"/>
      <c r="M1538" s="134" t="s">
        <v>451</v>
      </c>
      <c r="N1538" s="150">
        <f>if(and(O1538=TRUE,P1538=TRUE), VLOOKUP($E1538,PESSOAL!$B$35:$S$45,MONTH($F1538)+6,false)*G1538*24,0)</f>
        <v>0</v>
      </c>
      <c r="O1538" s="117" t="b">
        <f t="shared" si="7"/>
        <v>0</v>
      </c>
      <c r="P1538" s="117" t="b">
        <v>1</v>
      </c>
      <c r="Q1538" s="117" t="s">
        <v>368</v>
      </c>
    </row>
    <row r="1539" hidden="1">
      <c r="A1539" s="108"/>
      <c r="B1539" s="220"/>
      <c r="C1539" s="220" t="s">
        <v>290</v>
      </c>
      <c r="D1539" s="220" t="str">
        <f>vlookup(M1539,'Página10'!A:B,2,false)</f>
        <v>INOV00001</v>
      </c>
      <c r="E1539" s="134" t="s">
        <v>307</v>
      </c>
      <c r="F1539" s="225">
        <v>45216.0</v>
      </c>
      <c r="G1539" s="222">
        <v>0.08333333333333333</v>
      </c>
      <c r="H1539" s="134" t="s">
        <v>411</v>
      </c>
      <c r="I1539" s="223" t="s">
        <v>411</v>
      </c>
      <c r="J1539" s="223" t="b">
        <f t="shared" si="1"/>
        <v>1</v>
      </c>
      <c r="K1539" s="145" t="s">
        <v>1321</v>
      </c>
      <c r="L1539" s="156"/>
      <c r="M1539" s="134" t="s">
        <v>416</v>
      </c>
      <c r="N1539" s="150">
        <f>if(and(O1539=TRUE,P1539=TRUE), VLOOKUP($E1539,PESSOAL!$B$35:$S$45,MONTH($F1539)+6,false)*G1539*24,0)</f>
        <v>80.35484653</v>
      </c>
      <c r="O1539" s="117" t="b">
        <f t="shared" si="7"/>
        <v>1</v>
      </c>
      <c r="P1539" s="117" t="b">
        <v>1</v>
      </c>
      <c r="Q1539" s="117" t="s">
        <v>368</v>
      </c>
    </row>
    <row r="1540" hidden="1">
      <c r="A1540" s="108"/>
      <c r="B1540" s="220"/>
      <c r="C1540" s="220" t="s">
        <v>51</v>
      </c>
      <c r="D1540" s="220" t="str">
        <f>vlookup(M1540,'Página10'!A:B,2,false)</f>
        <v>INOV00010</v>
      </c>
      <c r="E1540" s="134" t="s">
        <v>307</v>
      </c>
      <c r="F1540" s="225">
        <v>45218.0</v>
      </c>
      <c r="G1540" s="222">
        <v>0.041666666666666664</v>
      </c>
      <c r="H1540" s="134" t="s">
        <v>411</v>
      </c>
      <c r="I1540" s="223" t="s">
        <v>411</v>
      </c>
      <c r="J1540" s="223" t="b">
        <f t="shared" si="1"/>
        <v>1</v>
      </c>
      <c r="K1540" s="145" t="s">
        <v>1474</v>
      </c>
      <c r="L1540" s="156"/>
      <c r="M1540" s="134" t="s">
        <v>423</v>
      </c>
      <c r="N1540" s="150">
        <f>if(and(O1540=TRUE,P1540=TRUE), VLOOKUP($E1540,PESSOAL!$B$35:$S$45,MONTH($F1540)+6,false)*G1540*24,0)</f>
        <v>40.17742326</v>
      </c>
      <c r="O1540" s="117" t="b">
        <f t="shared" si="7"/>
        <v>1</v>
      </c>
      <c r="P1540" s="117" t="b">
        <v>1</v>
      </c>
      <c r="Q1540" s="117" t="s">
        <v>368</v>
      </c>
    </row>
    <row r="1541" hidden="1">
      <c r="A1541" s="108"/>
      <c r="B1541" s="220"/>
      <c r="C1541" s="220" t="s">
        <v>290</v>
      </c>
      <c r="D1541" s="220" t="str">
        <f>vlookup(M1541,'Página10'!A:B,2,false)</f>
        <v>INOV00001</v>
      </c>
      <c r="E1541" s="134" t="s">
        <v>307</v>
      </c>
      <c r="F1541" s="225">
        <v>45218.0</v>
      </c>
      <c r="G1541" s="222">
        <v>0.08333333333333333</v>
      </c>
      <c r="H1541" s="134" t="s">
        <v>475</v>
      </c>
      <c r="I1541" s="223" t="s">
        <v>475</v>
      </c>
      <c r="J1541" s="223" t="b">
        <f t="shared" si="1"/>
        <v>1</v>
      </c>
      <c r="K1541" s="145" t="s">
        <v>1475</v>
      </c>
      <c r="L1541" s="156"/>
      <c r="M1541" s="134" t="s">
        <v>416</v>
      </c>
      <c r="N1541" s="150">
        <f>if(and(O1541=TRUE,P1541=TRUE), VLOOKUP($E1541,PESSOAL!$B$35:$S$45,MONTH($F1541)+6,false)*G1541*24,0)</f>
        <v>80.35484653</v>
      </c>
      <c r="O1541" s="117" t="b">
        <f t="shared" si="7"/>
        <v>1</v>
      </c>
      <c r="P1541" s="117" t="b">
        <v>1</v>
      </c>
      <c r="Q1541" s="117" t="s">
        <v>368</v>
      </c>
    </row>
    <row r="1542" hidden="1">
      <c r="A1542" s="108"/>
      <c r="B1542" s="220"/>
      <c r="C1542" s="220" t="s">
        <v>290</v>
      </c>
      <c r="D1542" s="220" t="str">
        <f>vlookup(M1542,'Página10'!A:B,2,false)</f>
        <v>INOV00001</v>
      </c>
      <c r="E1542" s="134" t="s">
        <v>307</v>
      </c>
      <c r="F1542" s="225">
        <v>45223.0</v>
      </c>
      <c r="G1542" s="222">
        <v>0.08333333333333333</v>
      </c>
      <c r="H1542" s="134" t="s">
        <v>475</v>
      </c>
      <c r="I1542" s="223" t="s">
        <v>475</v>
      </c>
      <c r="J1542" s="223" t="b">
        <f t="shared" si="1"/>
        <v>1</v>
      </c>
      <c r="K1542" s="145" t="s">
        <v>1475</v>
      </c>
      <c r="L1542" s="156"/>
      <c r="M1542" s="134" t="s">
        <v>416</v>
      </c>
      <c r="N1542" s="150">
        <f>if(and(O1542=TRUE,P1542=TRUE), VLOOKUP($E1542,PESSOAL!$B$35:$S$45,MONTH($F1542)+6,false)*G1542*24,0)</f>
        <v>80.35484653</v>
      </c>
      <c r="O1542" s="117" t="b">
        <f t="shared" si="7"/>
        <v>1</v>
      </c>
      <c r="P1542" s="117" t="b">
        <v>1</v>
      </c>
      <c r="Q1542" s="117" t="s">
        <v>368</v>
      </c>
    </row>
    <row r="1543" hidden="1">
      <c r="A1543" s="108"/>
      <c r="B1543" s="220"/>
      <c r="C1543" s="220" t="s">
        <v>290</v>
      </c>
      <c r="D1543" s="220" t="str">
        <f>vlookup(M1543,'Página10'!A:B,2,false)</f>
        <v>INOV00001</v>
      </c>
      <c r="E1543" s="134" t="s">
        <v>307</v>
      </c>
      <c r="F1543" s="225">
        <v>45233.0</v>
      </c>
      <c r="G1543" s="222">
        <v>0.052083333333333336</v>
      </c>
      <c r="H1543" s="134" t="s">
        <v>479</v>
      </c>
      <c r="I1543" s="223" t="s">
        <v>479</v>
      </c>
      <c r="J1543" s="223" t="b">
        <f t="shared" si="1"/>
        <v>1</v>
      </c>
      <c r="K1543" s="145" t="s">
        <v>1289</v>
      </c>
      <c r="L1543" s="156"/>
      <c r="M1543" s="134" t="s">
        <v>416</v>
      </c>
      <c r="N1543" s="150">
        <f>if(and(O1543=TRUE,P1543=TRUE), VLOOKUP($E1543,PESSOAL!$B$35:$S$45,MONTH($F1543)+6,false)*G1543*24,0)</f>
        <v>0</v>
      </c>
      <c r="O1543" s="117" t="b">
        <f t="shared" si="7"/>
        <v>0</v>
      </c>
      <c r="P1543" s="117" t="b">
        <v>1</v>
      </c>
      <c r="Q1543" s="117" t="s">
        <v>368</v>
      </c>
    </row>
    <row r="1544" hidden="1">
      <c r="A1544" s="108"/>
      <c r="B1544" s="220"/>
      <c r="C1544" s="220" t="s">
        <v>290</v>
      </c>
      <c r="D1544" s="220" t="str">
        <f>vlookup(M1544,'Página10'!A:B,2,false)</f>
        <v>INOV00001</v>
      </c>
      <c r="E1544" s="134" t="s">
        <v>307</v>
      </c>
      <c r="F1544" s="225">
        <v>45243.0</v>
      </c>
      <c r="G1544" s="222">
        <v>0.006944444444444444</v>
      </c>
      <c r="H1544" s="134" t="s">
        <v>479</v>
      </c>
      <c r="I1544" s="223" t="s">
        <v>479</v>
      </c>
      <c r="J1544" s="223" t="b">
        <f t="shared" si="1"/>
        <v>1</v>
      </c>
      <c r="K1544" s="145" t="s">
        <v>1289</v>
      </c>
      <c r="L1544" s="156"/>
      <c r="M1544" s="134" t="s">
        <v>416</v>
      </c>
      <c r="N1544" s="150">
        <f>if(and(O1544=TRUE,P1544=TRUE), VLOOKUP($E1544,PESSOAL!$B$35:$S$45,MONTH($F1544)+6,false)*G1544*24,0)</f>
        <v>0</v>
      </c>
      <c r="O1544" s="117" t="b">
        <f t="shared" si="7"/>
        <v>0</v>
      </c>
      <c r="P1544" s="117" t="b">
        <v>1</v>
      </c>
      <c r="Q1544" s="117" t="s">
        <v>368</v>
      </c>
    </row>
    <row r="1545" hidden="1">
      <c r="A1545" s="108"/>
      <c r="B1545" s="220"/>
      <c r="C1545" s="220" t="s">
        <v>290</v>
      </c>
      <c r="D1545" s="220" t="str">
        <f>vlookup(M1545,'Página10'!A:B,2,false)</f>
        <v>INOV00001</v>
      </c>
      <c r="E1545" s="134" t="s">
        <v>307</v>
      </c>
      <c r="F1545" s="225">
        <v>45250.0</v>
      </c>
      <c r="G1545" s="222">
        <v>0.006944444444444444</v>
      </c>
      <c r="H1545" s="134" t="s">
        <v>479</v>
      </c>
      <c r="I1545" s="223" t="s">
        <v>479</v>
      </c>
      <c r="J1545" s="223" t="b">
        <f t="shared" si="1"/>
        <v>1</v>
      </c>
      <c r="K1545" s="145" t="s">
        <v>1289</v>
      </c>
      <c r="L1545" s="156"/>
      <c r="M1545" s="134" t="s">
        <v>416</v>
      </c>
      <c r="N1545" s="150">
        <f>if(and(O1545=TRUE,P1545=TRUE), VLOOKUP($E1545,PESSOAL!$B$35:$S$45,MONTH($F1545)+6,false)*G1545*24,0)</f>
        <v>0</v>
      </c>
      <c r="O1545" s="117" t="b">
        <f t="shared" si="7"/>
        <v>0</v>
      </c>
      <c r="P1545" s="117" t="b">
        <v>1</v>
      </c>
      <c r="Q1545" s="117" t="s">
        <v>368</v>
      </c>
    </row>
    <row r="1546" hidden="1">
      <c r="A1546" s="108"/>
      <c r="B1546" s="220"/>
      <c r="C1546" s="220" t="s">
        <v>471</v>
      </c>
      <c r="D1546" s="220" t="str">
        <f>vlookup(M1546,'Página10'!A:B,2,false)</f>
        <v>INOV00045</v>
      </c>
      <c r="E1546" s="134" t="s">
        <v>307</v>
      </c>
      <c r="F1546" s="225">
        <v>45259.0</v>
      </c>
      <c r="G1546" s="222">
        <v>0.06597222222222222</v>
      </c>
      <c r="H1546" s="134" t="s">
        <v>475</v>
      </c>
      <c r="I1546" s="223" t="s">
        <v>475</v>
      </c>
      <c r="J1546" s="223" t="b">
        <f t="shared" si="1"/>
        <v>1</v>
      </c>
      <c r="K1546" s="145" t="s">
        <v>1476</v>
      </c>
      <c r="L1546" s="156"/>
      <c r="M1546" s="134" t="s">
        <v>470</v>
      </c>
      <c r="N1546" s="150">
        <f>if(and(O1546=TRUE,P1546=TRUE), VLOOKUP($E1546,PESSOAL!$B$35:$S$45,MONTH($F1546)+6,false)*G1546*24,0)</f>
        <v>0</v>
      </c>
      <c r="O1546" s="117" t="b">
        <f t="shared" si="7"/>
        <v>1</v>
      </c>
      <c r="P1546" s="117" t="b">
        <v>0</v>
      </c>
      <c r="Q1546" s="117" t="s">
        <v>368</v>
      </c>
    </row>
    <row r="1547" hidden="1">
      <c r="A1547" s="108"/>
      <c r="B1547" s="220"/>
      <c r="C1547" s="220" t="s">
        <v>471</v>
      </c>
      <c r="D1547" s="220" t="str">
        <f>vlookup(M1547,'Página10'!A:B,2,false)</f>
        <v>INOV00045</v>
      </c>
      <c r="E1547" s="134" t="s">
        <v>307</v>
      </c>
      <c r="F1547" s="225">
        <v>45260.0</v>
      </c>
      <c r="G1547" s="222">
        <v>0.020833333333333332</v>
      </c>
      <c r="H1547" s="134" t="s">
        <v>475</v>
      </c>
      <c r="I1547" s="223" t="s">
        <v>475</v>
      </c>
      <c r="J1547" s="223" t="b">
        <f t="shared" si="1"/>
        <v>1</v>
      </c>
      <c r="K1547" s="145" t="s">
        <v>1476</v>
      </c>
      <c r="L1547" s="156"/>
      <c r="M1547" s="134" t="s">
        <v>470</v>
      </c>
      <c r="N1547" s="150">
        <f>if(and(O1547=TRUE,P1547=TRUE), VLOOKUP($E1547,PESSOAL!$B$35:$S$45,MONTH($F1547)+6,false)*G1547*24,0)</f>
        <v>0</v>
      </c>
      <c r="O1547" s="117" t="b">
        <f t="shared" si="7"/>
        <v>1</v>
      </c>
      <c r="P1547" s="117" t="b">
        <v>0</v>
      </c>
      <c r="Q1547" s="117" t="s">
        <v>368</v>
      </c>
    </row>
    <row r="1548" hidden="1">
      <c r="A1548" s="108"/>
      <c r="B1548" s="220"/>
      <c r="C1548" s="220" t="s">
        <v>471</v>
      </c>
      <c r="D1548" s="220" t="str">
        <f>vlookup(M1548,'Página10'!A:B,2,false)</f>
        <v>INOV00045</v>
      </c>
      <c r="E1548" s="134" t="s">
        <v>307</v>
      </c>
      <c r="F1548" s="225">
        <v>45260.0</v>
      </c>
      <c r="G1548" s="222">
        <v>0.09027777777777778</v>
      </c>
      <c r="H1548" s="134" t="s">
        <v>475</v>
      </c>
      <c r="I1548" s="223" t="s">
        <v>475</v>
      </c>
      <c r="J1548" s="223" t="b">
        <f t="shared" si="1"/>
        <v>1</v>
      </c>
      <c r="K1548" s="145" t="s">
        <v>1476</v>
      </c>
      <c r="L1548" s="156"/>
      <c r="M1548" s="134" t="s">
        <v>470</v>
      </c>
      <c r="N1548" s="150">
        <f>if(and(O1548=TRUE,P1548=TRUE), VLOOKUP($E1548,PESSOAL!$B$35:$S$45,MONTH($F1548)+6,false)*G1548*24,0)</f>
        <v>0</v>
      </c>
      <c r="O1548" s="117" t="b">
        <f t="shared" si="7"/>
        <v>1</v>
      </c>
      <c r="P1548" s="117" t="b">
        <v>0</v>
      </c>
      <c r="Q1548" s="117" t="s">
        <v>368</v>
      </c>
    </row>
    <row r="1549" hidden="1">
      <c r="A1549" s="108"/>
      <c r="B1549" s="220"/>
      <c r="C1549" s="220" t="s">
        <v>290</v>
      </c>
      <c r="D1549" s="220" t="str">
        <f>vlookup(M1549,'Página10'!A:B,2,false)</f>
        <v>INOV00001</v>
      </c>
      <c r="E1549" s="134" t="s">
        <v>307</v>
      </c>
      <c r="F1549" s="225">
        <v>45264.0</v>
      </c>
      <c r="G1549" s="222">
        <v>0.017361111111111112</v>
      </c>
      <c r="H1549" s="134" t="s">
        <v>479</v>
      </c>
      <c r="I1549" s="223" t="s">
        <v>479</v>
      </c>
      <c r="J1549" s="223" t="b">
        <f t="shared" si="1"/>
        <v>1</v>
      </c>
      <c r="K1549" s="145" t="s">
        <v>1289</v>
      </c>
      <c r="L1549" s="156"/>
      <c r="M1549" s="134" t="s">
        <v>416</v>
      </c>
      <c r="N1549" s="150">
        <f>if(and(O1549=TRUE,P1549=TRUE), VLOOKUP($E1549,PESSOAL!$B$35:$S$45,MONTH($F1549)+6,false)*G1549*24,0)</f>
        <v>0</v>
      </c>
      <c r="O1549" s="117" t="b">
        <f t="shared" si="7"/>
        <v>0</v>
      </c>
      <c r="P1549" s="117" t="b">
        <v>1</v>
      </c>
      <c r="Q1549" s="117" t="s">
        <v>368</v>
      </c>
    </row>
    <row r="1550" hidden="1">
      <c r="A1550" s="108"/>
      <c r="B1550" s="220"/>
      <c r="C1550" s="220" t="s">
        <v>471</v>
      </c>
      <c r="D1550" s="220" t="str">
        <f>vlookup(M1550,'Página10'!A:B,2,false)</f>
        <v>INOV00045</v>
      </c>
      <c r="E1550" s="134" t="s">
        <v>307</v>
      </c>
      <c r="F1550" s="225">
        <v>45264.0</v>
      </c>
      <c r="G1550" s="222">
        <v>0.04513888888888889</v>
      </c>
      <c r="H1550" s="134" t="s">
        <v>475</v>
      </c>
      <c r="I1550" s="223" t="s">
        <v>475</v>
      </c>
      <c r="J1550" s="223" t="b">
        <f t="shared" si="1"/>
        <v>1</v>
      </c>
      <c r="K1550" s="145" t="s">
        <v>1476</v>
      </c>
      <c r="L1550" s="156"/>
      <c r="M1550" s="134" t="s">
        <v>470</v>
      </c>
      <c r="N1550" s="150">
        <f>if(and(O1550=TRUE,P1550=TRUE), VLOOKUP($E1550,PESSOAL!$B$35:$S$45,MONTH($F1550)+6,false)*G1550*24,0)</f>
        <v>0</v>
      </c>
      <c r="O1550" s="117" t="b">
        <f t="shared" si="7"/>
        <v>1</v>
      </c>
      <c r="P1550" s="117" t="b">
        <v>0</v>
      </c>
      <c r="Q1550" s="117" t="s">
        <v>368</v>
      </c>
    </row>
    <row r="1551" hidden="1">
      <c r="A1551" s="108"/>
      <c r="B1551" s="220"/>
      <c r="C1551" s="220" t="s">
        <v>471</v>
      </c>
      <c r="D1551" s="220" t="str">
        <f>vlookup(M1551,'Página10'!A:B,2,false)</f>
        <v>INOV00045</v>
      </c>
      <c r="E1551" s="134" t="s">
        <v>307</v>
      </c>
      <c r="F1551" s="225">
        <v>45271.0</v>
      </c>
      <c r="G1551" s="222">
        <v>0.03125</v>
      </c>
      <c r="H1551" s="134" t="s">
        <v>475</v>
      </c>
      <c r="I1551" s="223" t="s">
        <v>475</v>
      </c>
      <c r="J1551" s="223" t="b">
        <f t="shared" si="1"/>
        <v>1</v>
      </c>
      <c r="K1551" s="145" t="s">
        <v>1476</v>
      </c>
      <c r="L1551" s="156"/>
      <c r="M1551" s="134" t="s">
        <v>470</v>
      </c>
      <c r="N1551" s="150">
        <f>if(and(O1551=TRUE,P1551=TRUE), VLOOKUP($E1551,PESSOAL!$B$35:$S$45,MONTH($F1551)+6,false)*G1551*24,0)</f>
        <v>0</v>
      </c>
      <c r="O1551" s="117" t="b">
        <f t="shared" si="7"/>
        <v>1</v>
      </c>
      <c r="P1551" s="117" t="b">
        <v>0</v>
      </c>
      <c r="Q1551" s="117" t="s">
        <v>368</v>
      </c>
    </row>
    <row r="1552" hidden="1">
      <c r="A1552" s="108"/>
      <c r="B1552" s="220"/>
      <c r="C1552" s="220" t="s">
        <v>471</v>
      </c>
      <c r="D1552" s="220" t="str">
        <f>vlookup(M1552,'Página10'!A:B,2,false)</f>
        <v>INOV00045</v>
      </c>
      <c r="E1552" s="134" t="s">
        <v>307</v>
      </c>
      <c r="F1552" s="225">
        <v>45271.0</v>
      </c>
      <c r="G1552" s="222">
        <v>0.08055555555555556</v>
      </c>
      <c r="H1552" s="134" t="s">
        <v>475</v>
      </c>
      <c r="I1552" s="223" t="s">
        <v>475</v>
      </c>
      <c r="J1552" s="223" t="b">
        <f t="shared" si="1"/>
        <v>1</v>
      </c>
      <c r="K1552" s="145" t="s">
        <v>1476</v>
      </c>
      <c r="L1552" s="156"/>
      <c r="M1552" s="134" t="s">
        <v>470</v>
      </c>
      <c r="N1552" s="150">
        <f>if(and(O1552=TRUE,P1552=TRUE), VLOOKUP($E1552,PESSOAL!$B$35:$S$45,MONTH($F1552)+6,false)*G1552*24,0)</f>
        <v>0</v>
      </c>
      <c r="O1552" s="117" t="b">
        <f t="shared" si="7"/>
        <v>1</v>
      </c>
      <c r="P1552" s="117" t="b">
        <v>0</v>
      </c>
      <c r="Q1552" s="117" t="s">
        <v>368</v>
      </c>
    </row>
    <row r="1553" hidden="1">
      <c r="A1553" s="108"/>
      <c r="B1553" s="220"/>
      <c r="C1553" s="220" t="s">
        <v>290</v>
      </c>
      <c r="D1553" s="220" t="str">
        <f>vlookup(M1553,'Página10'!A:B,2,false)</f>
        <v>INOV00001</v>
      </c>
      <c r="E1553" s="134" t="s">
        <v>307</v>
      </c>
      <c r="F1553" s="225">
        <v>45278.0</v>
      </c>
      <c r="G1553" s="222">
        <v>0.0625</v>
      </c>
      <c r="H1553" s="134" t="s">
        <v>479</v>
      </c>
      <c r="I1553" s="223" t="s">
        <v>411</v>
      </c>
      <c r="J1553" s="223" t="b">
        <f t="shared" si="1"/>
        <v>0</v>
      </c>
      <c r="K1553" s="145" t="s">
        <v>1471</v>
      </c>
      <c r="L1553" s="156"/>
      <c r="M1553" s="134" t="s">
        <v>416</v>
      </c>
      <c r="N1553" s="150">
        <f>if(and(O1553=TRUE,P1553=TRUE), VLOOKUP($E1553,PESSOAL!$B$35:$S$45,MONTH($F1553)+6,false)*G1553*24,0)</f>
        <v>60.2661349</v>
      </c>
      <c r="O1553" s="117" t="b">
        <f t="shared" si="7"/>
        <v>1</v>
      </c>
      <c r="P1553" s="117" t="b">
        <v>1</v>
      </c>
      <c r="Q1553" s="117" t="s">
        <v>368</v>
      </c>
    </row>
    <row r="1554" hidden="1">
      <c r="A1554" s="108"/>
      <c r="B1554" s="220"/>
      <c r="C1554" s="220" t="s">
        <v>290</v>
      </c>
      <c r="D1554" s="220" t="str">
        <f>vlookup(M1554,'Página10'!A:B,2,false)</f>
        <v>INOV00001</v>
      </c>
      <c r="E1554" s="134" t="s">
        <v>307</v>
      </c>
      <c r="F1554" s="225">
        <v>45288.0</v>
      </c>
      <c r="G1554" s="222">
        <v>0.020833333333333332</v>
      </c>
      <c r="H1554" s="134" t="s">
        <v>479</v>
      </c>
      <c r="I1554" s="223" t="s">
        <v>479</v>
      </c>
      <c r="J1554" s="223" t="b">
        <f t="shared" si="1"/>
        <v>1</v>
      </c>
      <c r="K1554" s="145" t="s">
        <v>1289</v>
      </c>
      <c r="L1554" s="156"/>
      <c r="M1554" s="134" t="s">
        <v>416</v>
      </c>
      <c r="N1554" s="150">
        <f>if(and(O1554=TRUE,P1554=TRUE), VLOOKUP($E1554,PESSOAL!$B$35:$S$45,MONTH($F1554)+6,false)*G1554*24,0)</f>
        <v>0</v>
      </c>
      <c r="O1554" s="117" t="b">
        <f t="shared" si="7"/>
        <v>0</v>
      </c>
      <c r="P1554" s="117" t="b">
        <v>1</v>
      </c>
      <c r="Q1554" s="117" t="s">
        <v>368</v>
      </c>
    </row>
    <row r="1555" hidden="1">
      <c r="A1555" s="108"/>
      <c r="B1555" s="220"/>
      <c r="C1555" s="220" t="s">
        <v>290</v>
      </c>
      <c r="D1555" s="220" t="str">
        <f>vlookup(M1555,'Página10'!A:B,2,false)</f>
        <v>INOV00001</v>
      </c>
      <c r="E1555" s="134" t="s">
        <v>113</v>
      </c>
      <c r="F1555" s="225">
        <v>45205.0</v>
      </c>
      <c r="G1555" s="222">
        <v>0.041666666666666664</v>
      </c>
      <c r="H1555" s="134" t="s">
        <v>479</v>
      </c>
      <c r="I1555" s="223" t="s">
        <v>411</v>
      </c>
      <c r="J1555" s="223" t="b">
        <f t="shared" si="1"/>
        <v>0</v>
      </c>
      <c r="K1555" s="145" t="s">
        <v>1477</v>
      </c>
      <c r="L1555" s="156"/>
      <c r="M1555" s="134" t="s">
        <v>416</v>
      </c>
      <c r="N1555" s="150">
        <f>if(and(O1555=TRUE,P1555=TRUE), VLOOKUP($E1555,PESSOAL!$B$35:$S$45,MONTH($F1555)+6,false)*G1555*24,0)</f>
        <v>204.3055736</v>
      </c>
      <c r="O1555" s="117" t="b">
        <f t="shared" si="7"/>
        <v>1</v>
      </c>
      <c r="P1555" s="117" t="b">
        <v>1</v>
      </c>
      <c r="Q1555" s="117" t="s">
        <v>368</v>
      </c>
    </row>
    <row r="1556" hidden="1">
      <c r="A1556" s="108"/>
      <c r="B1556" s="220"/>
      <c r="C1556" s="220" t="s">
        <v>69</v>
      </c>
      <c r="D1556" s="220" t="str">
        <f>vlookup(M1556,'Página10'!A:B,2,false)</f>
        <v>INOV00041</v>
      </c>
      <c r="E1556" s="134" t="s">
        <v>113</v>
      </c>
      <c r="F1556" s="225">
        <v>45217.0</v>
      </c>
      <c r="G1556" s="222">
        <v>0.041666666666666664</v>
      </c>
      <c r="H1556" s="134" t="s">
        <v>479</v>
      </c>
      <c r="I1556" s="223" t="s">
        <v>475</v>
      </c>
      <c r="J1556" s="223" t="b">
        <f t="shared" si="1"/>
        <v>0</v>
      </c>
      <c r="K1556" s="145" t="s">
        <v>1478</v>
      </c>
      <c r="L1556" s="156"/>
      <c r="M1556" s="134" t="s">
        <v>463</v>
      </c>
      <c r="N1556" s="150">
        <f>if(and(O1556=TRUE,P1556=TRUE), VLOOKUP($E1556,PESSOAL!$B$35:$S$45,MONTH($F1556)+6,false)*G1556*24,0)</f>
        <v>204.3055736</v>
      </c>
      <c r="O1556" s="117" t="b">
        <f t="shared" si="7"/>
        <v>1</v>
      </c>
      <c r="P1556" s="117" t="b">
        <v>1</v>
      </c>
      <c r="Q1556" s="117" t="s">
        <v>368</v>
      </c>
    </row>
    <row r="1557" hidden="1">
      <c r="A1557" s="108"/>
      <c r="B1557" s="220"/>
      <c r="C1557" s="220" t="s">
        <v>471</v>
      </c>
      <c r="D1557" s="220" t="str">
        <f>vlookup(M1557,'Página10'!A:B,2,false)</f>
        <v>INOV00045</v>
      </c>
      <c r="E1557" s="134" t="s">
        <v>113</v>
      </c>
      <c r="F1557" s="225">
        <v>45217.0</v>
      </c>
      <c r="G1557" s="222">
        <v>0.041666666666666664</v>
      </c>
      <c r="H1557" s="134" t="s">
        <v>479</v>
      </c>
      <c r="I1557" s="223" t="s">
        <v>479</v>
      </c>
      <c r="J1557" s="223" t="b">
        <f t="shared" si="1"/>
        <v>1</v>
      </c>
      <c r="K1557" s="145" t="s">
        <v>1479</v>
      </c>
      <c r="L1557" s="156"/>
      <c r="M1557" s="134" t="s">
        <v>470</v>
      </c>
      <c r="N1557" s="150">
        <f>if(and(O1557=TRUE,P1557=TRUE), VLOOKUP($E1557,PESSOAL!$B$35:$S$45,MONTH($F1557)+6,false)*G1557*24,0)</f>
        <v>0</v>
      </c>
      <c r="O1557" s="117" t="b">
        <f t="shared" si="7"/>
        <v>0</v>
      </c>
      <c r="P1557" s="117" t="b">
        <v>0</v>
      </c>
      <c r="Q1557" s="117" t="s">
        <v>368</v>
      </c>
    </row>
    <row r="1558" hidden="1">
      <c r="A1558" s="108"/>
      <c r="B1558" s="220"/>
      <c r="C1558" s="220" t="s">
        <v>290</v>
      </c>
      <c r="D1558" s="220" t="str">
        <f>vlookup(M1558,'Página10'!A:B,2,false)</f>
        <v>INOV00001</v>
      </c>
      <c r="E1558" s="134" t="s">
        <v>113</v>
      </c>
      <c r="F1558" s="225">
        <v>45219.0</v>
      </c>
      <c r="G1558" s="222">
        <v>0.041666666666666664</v>
      </c>
      <c r="H1558" s="134" t="s">
        <v>479</v>
      </c>
      <c r="I1558" s="223" t="s">
        <v>475</v>
      </c>
      <c r="J1558" s="223" t="b">
        <f t="shared" si="1"/>
        <v>0</v>
      </c>
      <c r="K1558" s="145" t="s">
        <v>1480</v>
      </c>
      <c r="L1558" s="156"/>
      <c r="M1558" s="134" t="s">
        <v>416</v>
      </c>
      <c r="N1558" s="150">
        <f>if(and(O1558=TRUE,P1558=TRUE), VLOOKUP($E1558,PESSOAL!$B$35:$S$45,MONTH($F1558)+6,false)*G1558*24,0)</f>
        <v>204.3055736</v>
      </c>
      <c r="O1558" s="117" t="b">
        <f t="shared" si="7"/>
        <v>1</v>
      </c>
      <c r="P1558" s="117" t="b">
        <v>1</v>
      </c>
      <c r="Q1558" s="117" t="s">
        <v>368</v>
      </c>
    </row>
    <row r="1559" hidden="1">
      <c r="A1559" s="108"/>
      <c r="B1559" s="220"/>
      <c r="C1559" s="220" t="s">
        <v>49</v>
      </c>
      <c r="D1559" s="220" t="str">
        <f>vlookup(M1559,'Página10'!A:B,2,false)</f>
        <v>INOV00004</v>
      </c>
      <c r="E1559" s="134" t="s">
        <v>113</v>
      </c>
      <c r="F1559" s="225">
        <v>45225.0</v>
      </c>
      <c r="G1559" s="222">
        <v>0.020833333333333332</v>
      </c>
      <c r="H1559" s="134" t="s">
        <v>411</v>
      </c>
      <c r="I1559" s="223" t="s">
        <v>411</v>
      </c>
      <c r="J1559" s="223" t="b">
        <f t="shared" si="1"/>
        <v>1</v>
      </c>
      <c r="K1559" s="145" t="s">
        <v>1481</v>
      </c>
      <c r="L1559" s="156"/>
      <c r="M1559" s="134" t="s">
        <v>421</v>
      </c>
      <c r="N1559" s="150">
        <f>if(and(O1559=TRUE,P1559=TRUE), VLOOKUP($E1559,PESSOAL!$B$35:$S$45,MONTH($F1559)+6,false)*G1559*24,0)</f>
        <v>102.1527868</v>
      </c>
      <c r="O1559" s="117" t="b">
        <f t="shared" si="7"/>
        <v>1</v>
      </c>
      <c r="P1559" s="117" t="b">
        <v>1</v>
      </c>
      <c r="Q1559" s="117" t="s">
        <v>368</v>
      </c>
    </row>
    <row r="1560" hidden="1">
      <c r="A1560" s="108"/>
      <c r="B1560" s="220"/>
      <c r="C1560" s="220" t="s">
        <v>290</v>
      </c>
      <c r="D1560" s="220" t="str">
        <f>vlookup(M1560,'Página10'!A:B,2,false)</f>
        <v>INOV00001</v>
      </c>
      <c r="E1560" s="134" t="s">
        <v>113</v>
      </c>
      <c r="F1560" s="225">
        <v>45230.0</v>
      </c>
      <c r="G1560" s="222">
        <v>0.041666666666666664</v>
      </c>
      <c r="H1560" s="134" t="s">
        <v>479</v>
      </c>
      <c r="I1560" s="223" t="s">
        <v>475</v>
      </c>
      <c r="J1560" s="223" t="b">
        <f t="shared" si="1"/>
        <v>0</v>
      </c>
      <c r="K1560" s="145" t="s">
        <v>1482</v>
      </c>
      <c r="L1560" s="156"/>
      <c r="M1560" s="134" t="s">
        <v>416</v>
      </c>
      <c r="N1560" s="150">
        <f>if(and(O1560=TRUE,P1560=TRUE), VLOOKUP($E1560,PESSOAL!$B$35:$S$45,MONTH($F1560)+6,false)*G1560*24,0)</f>
        <v>204.3055736</v>
      </c>
      <c r="O1560" s="117" t="b">
        <f t="shared" si="7"/>
        <v>1</v>
      </c>
      <c r="P1560" s="117" t="b">
        <v>1</v>
      </c>
      <c r="Q1560" s="117" t="s">
        <v>368</v>
      </c>
    </row>
    <row r="1561" hidden="1">
      <c r="A1561" s="108"/>
      <c r="B1561" s="220"/>
      <c r="C1561" s="220" t="s">
        <v>441</v>
      </c>
      <c r="D1561" s="220" t="str">
        <f>vlookup(M1561,'Página10'!A:B,2,false)</f>
        <v>INOV00025</v>
      </c>
      <c r="E1561" s="134" t="s">
        <v>113</v>
      </c>
      <c r="F1561" s="225">
        <v>45251.0</v>
      </c>
      <c r="G1561" s="222">
        <v>0.041666666666666664</v>
      </c>
      <c r="H1561" s="134" t="s">
        <v>411</v>
      </c>
      <c r="I1561" s="223" t="s">
        <v>411</v>
      </c>
      <c r="J1561" s="223" t="b">
        <f t="shared" si="1"/>
        <v>1</v>
      </c>
      <c r="K1561" s="145" t="s">
        <v>1483</v>
      </c>
      <c r="L1561" s="156"/>
      <c r="M1561" s="134" t="s">
        <v>440</v>
      </c>
      <c r="N1561" s="150">
        <f>if(and(O1561=TRUE,P1561=TRUE), VLOOKUP($E1561,PESSOAL!$B$35:$S$45,MONTH($F1561)+6,false)*G1561*24,0)</f>
        <v>0</v>
      </c>
      <c r="O1561" s="117" t="b">
        <f t="shared" si="7"/>
        <v>1</v>
      </c>
      <c r="P1561" s="117" t="b">
        <v>0</v>
      </c>
      <c r="Q1561" s="117" t="s">
        <v>368</v>
      </c>
    </row>
    <row r="1562" hidden="1">
      <c r="A1562" s="108"/>
      <c r="B1562" s="220"/>
      <c r="C1562" s="220" t="s">
        <v>469</v>
      </c>
      <c r="D1562" s="220" t="str">
        <f>vlookup(M1562,'Página10'!A:B,2,false)</f>
        <v>INOV00044</v>
      </c>
      <c r="E1562" s="134" t="s">
        <v>113</v>
      </c>
      <c r="F1562" s="225">
        <v>45253.0</v>
      </c>
      <c r="G1562" s="222">
        <v>0.041666666666666664</v>
      </c>
      <c r="H1562" s="134" t="s">
        <v>479</v>
      </c>
      <c r="I1562" s="223" t="s">
        <v>479</v>
      </c>
      <c r="J1562" s="223" t="b">
        <f t="shared" si="1"/>
        <v>1</v>
      </c>
      <c r="K1562" s="145" t="s">
        <v>1484</v>
      </c>
      <c r="L1562" s="156"/>
      <c r="M1562" s="134" t="s">
        <v>468</v>
      </c>
      <c r="N1562" s="150">
        <f>if(and(O1562=TRUE,P1562=TRUE), VLOOKUP($E1562,PESSOAL!$B$35:$S$45,MONTH($F1562)+6,false)*G1562*24,0)</f>
        <v>0</v>
      </c>
      <c r="O1562" s="117" t="b">
        <f t="shared" si="7"/>
        <v>0</v>
      </c>
      <c r="P1562" s="117" t="b">
        <v>0</v>
      </c>
      <c r="Q1562" s="117" t="s">
        <v>368</v>
      </c>
    </row>
    <row r="1563" hidden="1">
      <c r="A1563" s="108"/>
      <c r="B1563" s="220"/>
      <c r="C1563" s="220" t="s">
        <v>49</v>
      </c>
      <c r="D1563" s="220" t="str">
        <f>vlookup(M1563,'Página10'!A:B,2,false)</f>
        <v>INOV00004</v>
      </c>
      <c r="E1563" s="134" t="s">
        <v>113</v>
      </c>
      <c r="F1563" s="225">
        <v>45254.0</v>
      </c>
      <c r="G1563" s="222">
        <v>0.041666666666666664</v>
      </c>
      <c r="H1563" s="134" t="s">
        <v>479</v>
      </c>
      <c r="I1563" s="223" t="s">
        <v>479</v>
      </c>
      <c r="J1563" s="223" t="b">
        <f t="shared" si="1"/>
        <v>1</v>
      </c>
      <c r="K1563" s="145" t="s">
        <v>1485</v>
      </c>
      <c r="L1563" s="156"/>
      <c r="M1563" s="134" t="s">
        <v>421</v>
      </c>
      <c r="N1563" s="150">
        <f>if(and(O1563=TRUE,P1563=TRUE), VLOOKUP($E1563,PESSOAL!$B$35:$S$45,MONTH($F1563)+6,false)*G1563*24,0)</f>
        <v>0</v>
      </c>
      <c r="O1563" s="117" t="b">
        <f t="shared" si="7"/>
        <v>0</v>
      </c>
      <c r="P1563" s="117" t="b">
        <v>1</v>
      </c>
      <c r="Q1563" s="117" t="s">
        <v>368</v>
      </c>
    </row>
    <row r="1564" hidden="1">
      <c r="A1564" s="108"/>
      <c r="B1564" s="220"/>
      <c r="C1564" s="220" t="s">
        <v>290</v>
      </c>
      <c r="D1564" s="220" t="str">
        <f>vlookup(M1564,'Página10'!A:B,2,false)</f>
        <v>INOV00001</v>
      </c>
      <c r="E1564" s="134" t="s">
        <v>309</v>
      </c>
      <c r="F1564" s="225">
        <v>45205.0</v>
      </c>
      <c r="G1564" s="222">
        <v>0.041666666666666664</v>
      </c>
      <c r="H1564" s="134" t="s">
        <v>411</v>
      </c>
      <c r="I1564" s="223" t="s">
        <v>411</v>
      </c>
      <c r="J1564" s="223" t="b">
        <f t="shared" si="1"/>
        <v>1</v>
      </c>
      <c r="K1564" s="145" t="s">
        <v>1486</v>
      </c>
      <c r="L1564" s="156"/>
      <c r="M1564" s="134" t="s">
        <v>416</v>
      </c>
      <c r="N1564" s="150">
        <f>if(and(O1564=TRUE,P1564=TRUE), VLOOKUP($E1564,PESSOAL!$B$35:$S$46,MONTH($F1564)+6,false)*G1564*24,0)</f>
        <v>63.26843819</v>
      </c>
      <c r="O1564" s="117" t="b">
        <f t="shared" si="7"/>
        <v>1</v>
      </c>
      <c r="P1564" s="117" t="b">
        <v>1</v>
      </c>
      <c r="Q1564" s="117" t="s">
        <v>368</v>
      </c>
    </row>
    <row r="1565" hidden="1">
      <c r="A1565" s="108"/>
      <c r="B1565" s="220"/>
      <c r="C1565" s="220" t="s">
        <v>69</v>
      </c>
      <c r="D1565" s="220" t="str">
        <f>vlookup(M1565,'Página10'!A:B,2,false)</f>
        <v>INOV00041</v>
      </c>
      <c r="E1565" s="134" t="s">
        <v>309</v>
      </c>
      <c r="F1565" s="225">
        <v>45212.0</v>
      </c>
      <c r="G1565" s="222">
        <v>0.041666666666666664</v>
      </c>
      <c r="H1565" s="134" t="s">
        <v>474</v>
      </c>
      <c r="I1565" s="223" t="s">
        <v>474</v>
      </c>
      <c r="J1565" s="223" t="b">
        <f t="shared" si="1"/>
        <v>1</v>
      </c>
      <c r="K1565" s="145" t="s">
        <v>1487</v>
      </c>
      <c r="L1565" s="156"/>
      <c r="M1565" s="134" t="s">
        <v>463</v>
      </c>
      <c r="N1565" s="150">
        <f>if(and(O1565=TRUE,P1565=TRUE), VLOOKUP($E1565,PESSOAL!$B$35:$S$46,MONTH($F1565)+6,false)*G1565*24,0)</f>
        <v>63.26843819</v>
      </c>
      <c r="O1565" s="117" t="b">
        <f t="shared" si="7"/>
        <v>1</v>
      </c>
      <c r="P1565" s="117" t="b">
        <v>1</v>
      </c>
      <c r="Q1565" s="117" t="s">
        <v>368</v>
      </c>
    </row>
    <row r="1566" hidden="1">
      <c r="A1566" s="108"/>
      <c r="B1566" s="220"/>
      <c r="C1566" s="220" t="s">
        <v>290</v>
      </c>
      <c r="D1566" s="220" t="str">
        <f>vlookup(M1566,'Página10'!A:B,2,false)</f>
        <v>INOV00001</v>
      </c>
      <c r="E1566" s="134" t="s">
        <v>309</v>
      </c>
      <c r="F1566" s="225">
        <v>45273.0</v>
      </c>
      <c r="G1566" s="222">
        <v>0.020833333333333332</v>
      </c>
      <c r="H1566" s="134" t="s">
        <v>411</v>
      </c>
      <c r="I1566" s="223" t="s">
        <v>411</v>
      </c>
      <c r="J1566" s="223" t="b">
        <f t="shared" si="1"/>
        <v>1</v>
      </c>
      <c r="K1566" s="145" t="s">
        <v>1486</v>
      </c>
      <c r="L1566" s="156"/>
      <c r="M1566" s="134" t="s">
        <v>416</v>
      </c>
      <c r="N1566" s="150">
        <f>if(and(O1566=TRUE,P1566=TRUE), VLOOKUP($E1566,PESSOAL!$B$35:$S$46,MONTH($F1566)+6,false)*G1566*24,0)</f>
        <v>31.6342191</v>
      </c>
      <c r="O1566" s="117" t="b">
        <f t="shared" si="7"/>
        <v>1</v>
      </c>
      <c r="P1566" s="117" t="b">
        <v>1</v>
      </c>
      <c r="Q1566" s="117" t="s">
        <v>368</v>
      </c>
    </row>
    <row r="1567" hidden="1">
      <c r="A1567" s="108"/>
      <c r="B1567" s="220"/>
      <c r="C1567" s="220" t="s">
        <v>69</v>
      </c>
      <c r="D1567" s="220" t="str">
        <f>vlookup(M1567,'Página10'!A:B,2,false)</f>
        <v>INOV00041</v>
      </c>
      <c r="E1567" s="134" t="s">
        <v>309</v>
      </c>
      <c r="F1567" s="225">
        <v>45215.0</v>
      </c>
      <c r="G1567" s="222">
        <v>0.20833333333333334</v>
      </c>
      <c r="H1567" s="134" t="s">
        <v>411</v>
      </c>
      <c r="I1567" s="223" t="s">
        <v>411</v>
      </c>
      <c r="J1567" s="223" t="b">
        <f t="shared" si="1"/>
        <v>1</v>
      </c>
      <c r="K1567" s="145" t="s">
        <v>1488</v>
      </c>
      <c r="L1567" s="156"/>
      <c r="M1567" s="134" t="s">
        <v>463</v>
      </c>
      <c r="N1567" s="150">
        <f>if(and(O1567=TRUE,P1567=TRUE), VLOOKUP($E1567,PESSOAL!$B$35:$S$46,MONTH($F1567)+6,false)*G1567*24,0)</f>
        <v>316.342191</v>
      </c>
      <c r="O1567" s="117" t="b">
        <f t="shared" si="7"/>
        <v>1</v>
      </c>
      <c r="P1567" s="117" t="b">
        <v>1</v>
      </c>
      <c r="Q1567" s="117" t="s">
        <v>368</v>
      </c>
    </row>
    <row r="1568" hidden="1">
      <c r="A1568" s="108"/>
      <c r="B1568" s="220"/>
      <c r="C1568" s="220" t="s">
        <v>69</v>
      </c>
      <c r="D1568" s="220" t="str">
        <f>vlookup(M1568,'Página10'!A:B,2,false)</f>
        <v>INOV00041</v>
      </c>
      <c r="E1568" s="134" t="s">
        <v>309</v>
      </c>
      <c r="F1568" s="225">
        <v>45217.0</v>
      </c>
      <c r="G1568" s="222">
        <v>0.2916666666666667</v>
      </c>
      <c r="H1568" s="134" t="s">
        <v>475</v>
      </c>
      <c r="I1568" s="223" t="s">
        <v>475</v>
      </c>
      <c r="J1568" s="223" t="b">
        <f t="shared" si="1"/>
        <v>1</v>
      </c>
      <c r="K1568" s="145" t="s">
        <v>1489</v>
      </c>
      <c r="L1568" s="156"/>
      <c r="M1568" s="134" t="s">
        <v>463</v>
      </c>
      <c r="N1568" s="150">
        <f>if(and(O1568=TRUE,P1568=TRUE), VLOOKUP($E1568,PESSOAL!$B$35:$S$46,MONTH($F1568)+6,false)*G1568*24,0)</f>
        <v>442.8790674</v>
      </c>
      <c r="O1568" s="117" t="b">
        <f t="shared" si="7"/>
        <v>1</v>
      </c>
      <c r="P1568" s="117" t="b">
        <v>1</v>
      </c>
      <c r="Q1568" s="117" t="s">
        <v>368</v>
      </c>
    </row>
    <row r="1569" hidden="1">
      <c r="A1569" s="108"/>
      <c r="B1569" s="220"/>
      <c r="C1569" s="220" t="s">
        <v>290</v>
      </c>
      <c r="D1569" s="220" t="str">
        <f>vlookup(M1569,'Página10'!A:B,2,false)</f>
        <v>INOV00001</v>
      </c>
      <c r="E1569" s="134" t="s">
        <v>309</v>
      </c>
      <c r="F1569" s="225">
        <v>45218.0</v>
      </c>
      <c r="G1569" s="222">
        <v>0.125</v>
      </c>
      <c r="H1569" s="134" t="s">
        <v>411</v>
      </c>
      <c r="I1569" s="223" t="s">
        <v>411</v>
      </c>
      <c r="J1569" s="223" t="b">
        <f t="shared" si="1"/>
        <v>1</v>
      </c>
      <c r="K1569" s="145" t="s">
        <v>1490</v>
      </c>
      <c r="L1569" s="156"/>
      <c r="M1569" s="134" t="s">
        <v>416</v>
      </c>
      <c r="N1569" s="150">
        <f>if(and(O1569=TRUE,P1569=TRUE), VLOOKUP($E1569,PESSOAL!$B$35:$S$46,MONTH($F1569)+6,false)*G1569*24,0)</f>
        <v>189.8053146</v>
      </c>
      <c r="O1569" s="117" t="b">
        <f t="shared" si="7"/>
        <v>1</v>
      </c>
      <c r="P1569" s="117" t="b">
        <v>1</v>
      </c>
      <c r="Q1569" s="117" t="s">
        <v>368</v>
      </c>
    </row>
    <row r="1570" hidden="1">
      <c r="A1570" s="108"/>
      <c r="B1570" s="220"/>
      <c r="C1570" s="220" t="s">
        <v>290</v>
      </c>
      <c r="D1570" s="220" t="str">
        <f>vlookup(M1570,'Página10'!A:B,2,false)</f>
        <v>INOV00001</v>
      </c>
      <c r="E1570" s="134" t="s">
        <v>309</v>
      </c>
      <c r="F1570" s="225">
        <v>45219.0</v>
      </c>
      <c r="G1570" s="222">
        <v>0.0625</v>
      </c>
      <c r="H1570" s="134" t="s">
        <v>411</v>
      </c>
      <c r="I1570" s="223" t="s">
        <v>411</v>
      </c>
      <c r="J1570" s="223" t="b">
        <f t="shared" si="1"/>
        <v>1</v>
      </c>
      <c r="K1570" s="145" t="s">
        <v>1486</v>
      </c>
      <c r="L1570" s="156"/>
      <c r="M1570" s="134" t="s">
        <v>416</v>
      </c>
      <c r="N1570" s="150">
        <f>if(and(O1570=TRUE,P1570=TRUE), VLOOKUP($E1570,PESSOAL!$B$35:$S$46,MONTH($F1570)+6,false)*G1570*24,0)</f>
        <v>94.90265729</v>
      </c>
      <c r="O1570" s="117" t="b">
        <f t="shared" si="7"/>
        <v>1</v>
      </c>
      <c r="P1570" s="117" t="b">
        <v>1</v>
      </c>
      <c r="Q1570" s="117" t="s">
        <v>368</v>
      </c>
    </row>
    <row r="1571" hidden="1">
      <c r="A1571" s="108"/>
      <c r="B1571" s="220"/>
      <c r="C1571" s="220" t="s">
        <v>69</v>
      </c>
      <c r="D1571" s="220" t="str">
        <f>vlookup(M1571,'Página10'!A:B,2,false)</f>
        <v>INOV00041</v>
      </c>
      <c r="E1571" s="134" t="s">
        <v>309</v>
      </c>
      <c r="F1571" s="225">
        <v>45219.0</v>
      </c>
      <c r="G1571" s="222">
        <v>0.20833333333333334</v>
      </c>
      <c r="H1571" s="134" t="s">
        <v>411</v>
      </c>
      <c r="I1571" s="223" t="s">
        <v>411</v>
      </c>
      <c r="J1571" s="223" t="b">
        <f t="shared" si="1"/>
        <v>1</v>
      </c>
      <c r="K1571" s="145" t="s">
        <v>1488</v>
      </c>
      <c r="L1571" s="156"/>
      <c r="M1571" s="134" t="s">
        <v>463</v>
      </c>
      <c r="N1571" s="150">
        <f>if(and(O1571=TRUE,P1571=TRUE), VLOOKUP($E1571,PESSOAL!$B$35:$S$46,MONTH($F1571)+6,false)*G1571*24,0)</f>
        <v>316.342191</v>
      </c>
      <c r="O1571" s="117" t="b">
        <f t="shared" si="7"/>
        <v>1</v>
      </c>
      <c r="P1571" s="117" t="b">
        <v>1</v>
      </c>
      <c r="Q1571" s="117" t="s">
        <v>368</v>
      </c>
    </row>
    <row r="1572" hidden="1">
      <c r="A1572" s="108"/>
      <c r="B1572" s="220"/>
      <c r="C1572" s="220" t="s">
        <v>290</v>
      </c>
      <c r="D1572" s="220" t="str">
        <f>vlookup(M1572,'Página10'!A:B,2,false)</f>
        <v>INOV00001</v>
      </c>
      <c r="E1572" s="134" t="s">
        <v>309</v>
      </c>
      <c r="F1572" s="225">
        <v>45230.0</v>
      </c>
      <c r="G1572" s="222">
        <v>0.0625</v>
      </c>
      <c r="H1572" s="134" t="s">
        <v>475</v>
      </c>
      <c r="I1572" s="223" t="s">
        <v>411</v>
      </c>
      <c r="J1572" s="223" t="b">
        <f t="shared" si="1"/>
        <v>0</v>
      </c>
      <c r="K1572" s="145" t="s">
        <v>1491</v>
      </c>
      <c r="L1572" s="156"/>
      <c r="M1572" s="134" t="s">
        <v>416</v>
      </c>
      <c r="N1572" s="150">
        <f>if(and(O1572=TRUE,P1572=TRUE), VLOOKUP($E1572,PESSOAL!$B$35:$S$46,MONTH($F1572)+6,false)*G1572*24,0)</f>
        <v>94.90265729</v>
      </c>
      <c r="O1572" s="117" t="b">
        <f t="shared" si="7"/>
        <v>1</v>
      </c>
      <c r="P1572" s="117" t="b">
        <v>1</v>
      </c>
      <c r="Q1572" s="117" t="s">
        <v>368</v>
      </c>
    </row>
    <row r="1573" hidden="1">
      <c r="A1573" s="108"/>
      <c r="B1573" s="220"/>
      <c r="C1573" s="220" t="s">
        <v>290</v>
      </c>
      <c r="D1573" s="220" t="str">
        <f>vlookup(M1573,'Página10'!A:B,2,false)</f>
        <v>INOV00001</v>
      </c>
      <c r="E1573" s="134" t="s">
        <v>309</v>
      </c>
      <c r="F1573" s="225">
        <v>45237.0</v>
      </c>
      <c r="G1573" s="222">
        <v>0.020833333333333332</v>
      </c>
      <c r="H1573" s="134" t="s">
        <v>475</v>
      </c>
      <c r="I1573" s="223" t="s">
        <v>411</v>
      </c>
      <c r="J1573" s="223" t="b">
        <f t="shared" si="1"/>
        <v>0</v>
      </c>
      <c r="K1573" s="145" t="s">
        <v>1492</v>
      </c>
      <c r="L1573" s="156"/>
      <c r="M1573" s="134" t="s">
        <v>416</v>
      </c>
      <c r="N1573" s="150">
        <f>if(and(O1573=TRUE,P1573=TRUE), VLOOKUP($E1573,PESSOAL!$B$35:$S$46,MONTH($F1573)+6,false)*G1573*24,0)</f>
        <v>33.21593005</v>
      </c>
      <c r="O1573" s="117" t="b">
        <f t="shared" si="7"/>
        <v>1</v>
      </c>
      <c r="P1573" s="117" t="b">
        <v>1</v>
      </c>
      <c r="Q1573" s="117" t="s">
        <v>368</v>
      </c>
    </row>
    <row r="1574" hidden="1">
      <c r="A1574" s="108"/>
      <c r="B1574" s="220"/>
      <c r="C1574" s="220" t="s">
        <v>290</v>
      </c>
      <c r="D1574" s="220" t="str">
        <f>vlookup(M1574,'Página10'!A:B,2,false)</f>
        <v>INOV00001</v>
      </c>
      <c r="E1574" s="134" t="s">
        <v>309</v>
      </c>
      <c r="F1574" s="225">
        <v>45238.0</v>
      </c>
      <c r="G1574" s="222">
        <v>0.0625</v>
      </c>
      <c r="H1574" s="134" t="s">
        <v>411</v>
      </c>
      <c r="I1574" s="223" t="s">
        <v>411</v>
      </c>
      <c r="J1574" s="223" t="b">
        <f t="shared" si="1"/>
        <v>1</v>
      </c>
      <c r="K1574" s="145" t="s">
        <v>1493</v>
      </c>
      <c r="L1574" s="156"/>
      <c r="M1574" s="134" t="s">
        <v>416</v>
      </c>
      <c r="N1574" s="150">
        <f>if(and(O1574=TRUE,P1574=TRUE), VLOOKUP($E1574,PESSOAL!$B$35:$S$46,MONTH($F1574)+6,false)*G1574*24,0)</f>
        <v>99.64779016</v>
      </c>
      <c r="O1574" s="117" t="b">
        <f t="shared" si="7"/>
        <v>1</v>
      </c>
      <c r="P1574" s="117" t="b">
        <v>1</v>
      </c>
      <c r="Q1574" s="117" t="s">
        <v>368</v>
      </c>
    </row>
    <row r="1575" hidden="1">
      <c r="A1575" s="108"/>
      <c r="B1575" s="220"/>
      <c r="C1575" s="220" t="s">
        <v>290</v>
      </c>
      <c r="D1575" s="220" t="str">
        <f>vlookup(M1575,'Página10'!A:B,2,false)</f>
        <v>INOV00001</v>
      </c>
      <c r="E1575" s="134" t="s">
        <v>309</v>
      </c>
      <c r="F1575" s="225">
        <v>45240.0</v>
      </c>
      <c r="G1575" s="222">
        <v>0.10416666666666667</v>
      </c>
      <c r="H1575" s="134" t="s">
        <v>411</v>
      </c>
      <c r="I1575" s="223" t="s">
        <v>411</v>
      </c>
      <c r="J1575" s="223" t="b">
        <f t="shared" si="1"/>
        <v>1</v>
      </c>
      <c r="K1575" s="145" t="s">
        <v>1494</v>
      </c>
      <c r="L1575" s="156"/>
      <c r="M1575" s="134" t="s">
        <v>416</v>
      </c>
      <c r="N1575" s="150">
        <f>if(and(O1575=TRUE,P1575=TRUE), VLOOKUP($E1575,PESSOAL!$B$35:$S$46,MONTH($F1575)+6,false)*G1575*24,0)</f>
        <v>166.0796503</v>
      </c>
      <c r="O1575" s="117" t="b">
        <f t="shared" si="7"/>
        <v>1</v>
      </c>
      <c r="P1575" s="117" t="b">
        <v>1</v>
      </c>
      <c r="Q1575" s="117" t="s">
        <v>368</v>
      </c>
    </row>
    <row r="1576" hidden="1">
      <c r="A1576" s="108"/>
      <c r="B1576" s="220"/>
      <c r="C1576" s="220" t="s">
        <v>290</v>
      </c>
      <c r="D1576" s="220" t="str">
        <f>vlookup(M1576,'Página10'!A:B,2,false)</f>
        <v>INOV00001</v>
      </c>
      <c r="E1576" s="134" t="s">
        <v>309</v>
      </c>
      <c r="F1576" s="225">
        <v>45243.0</v>
      </c>
      <c r="G1576" s="222">
        <v>0.125</v>
      </c>
      <c r="H1576" s="134" t="s">
        <v>411</v>
      </c>
      <c r="I1576" s="223" t="s">
        <v>411</v>
      </c>
      <c r="J1576" s="223" t="b">
        <f t="shared" si="1"/>
        <v>1</v>
      </c>
      <c r="K1576" s="145" t="s">
        <v>1494</v>
      </c>
      <c r="L1576" s="156"/>
      <c r="M1576" s="134" t="s">
        <v>416</v>
      </c>
      <c r="N1576" s="150">
        <f>if(and(O1576=TRUE,P1576=TRUE), VLOOKUP($E1576,PESSOAL!$B$35:$S$46,MONTH($F1576)+6,false)*G1576*24,0)</f>
        <v>199.2955803</v>
      </c>
      <c r="O1576" s="117" t="b">
        <f t="shared" si="7"/>
        <v>1</v>
      </c>
      <c r="P1576" s="117" t="b">
        <v>1</v>
      </c>
      <c r="Q1576" s="117" t="s">
        <v>368</v>
      </c>
    </row>
    <row r="1577" hidden="1">
      <c r="A1577" s="108"/>
      <c r="B1577" s="220"/>
      <c r="C1577" s="220" t="s">
        <v>290</v>
      </c>
      <c r="D1577" s="220" t="str">
        <f>vlookup(M1577,'Página10'!A:B,2,false)</f>
        <v>INOV00001</v>
      </c>
      <c r="E1577" s="134" t="s">
        <v>309</v>
      </c>
      <c r="F1577" s="225">
        <v>45246.0</v>
      </c>
      <c r="G1577" s="222">
        <v>0.08333333333333333</v>
      </c>
      <c r="H1577" s="134" t="s">
        <v>411</v>
      </c>
      <c r="I1577" s="223" t="s">
        <v>411</v>
      </c>
      <c r="J1577" s="223" t="b">
        <f t="shared" si="1"/>
        <v>1</v>
      </c>
      <c r="K1577" s="145" t="s">
        <v>1495</v>
      </c>
      <c r="L1577" s="156"/>
      <c r="M1577" s="134" t="s">
        <v>416</v>
      </c>
      <c r="N1577" s="150">
        <f>if(and(O1577=TRUE,P1577=TRUE), VLOOKUP($E1577,PESSOAL!$B$35:$S$46,MONTH($F1577)+6,false)*G1577*24,0)</f>
        <v>132.8637202</v>
      </c>
      <c r="O1577" s="117" t="b">
        <f t="shared" si="7"/>
        <v>1</v>
      </c>
      <c r="P1577" s="117" t="b">
        <v>1</v>
      </c>
      <c r="Q1577" s="117" t="s">
        <v>368</v>
      </c>
    </row>
    <row r="1578" hidden="1">
      <c r="A1578" s="108"/>
      <c r="B1578" s="220"/>
      <c r="C1578" s="220" t="s">
        <v>69</v>
      </c>
      <c r="D1578" s="220" t="str">
        <f>vlookup(M1578,'Página10'!A:B,2,false)</f>
        <v>INOV00041</v>
      </c>
      <c r="E1578" s="134" t="s">
        <v>309</v>
      </c>
      <c r="F1578" s="225">
        <v>45252.0</v>
      </c>
      <c r="G1578" s="222">
        <v>0.08333333333333333</v>
      </c>
      <c r="H1578" s="134" t="s">
        <v>475</v>
      </c>
      <c r="I1578" s="223" t="s">
        <v>475</v>
      </c>
      <c r="J1578" s="223" t="b">
        <f t="shared" si="1"/>
        <v>1</v>
      </c>
      <c r="K1578" s="145" t="s">
        <v>1496</v>
      </c>
      <c r="L1578" s="156"/>
      <c r="M1578" s="134" t="s">
        <v>463</v>
      </c>
      <c r="N1578" s="150">
        <f>if(and(O1578=TRUE,P1578=TRUE), VLOOKUP($E1578,PESSOAL!$B$35:$S$46,MONTH($F1578)+6,false)*G1578*24,0)</f>
        <v>132.8637202</v>
      </c>
      <c r="O1578" s="117" t="b">
        <f t="shared" si="7"/>
        <v>1</v>
      </c>
      <c r="P1578" s="117" t="b">
        <v>1</v>
      </c>
      <c r="Q1578" s="117" t="s">
        <v>368</v>
      </c>
    </row>
    <row r="1579" hidden="1">
      <c r="A1579" s="108"/>
      <c r="B1579" s="220"/>
      <c r="C1579" s="220" t="s">
        <v>290</v>
      </c>
      <c r="D1579" s="220" t="str">
        <f>vlookup(M1579,'Página10'!A:B,2,false)</f>
        <v>INOV00001</v>
      </c>
      <c r="E1579" s="134" t="s">
        <v>309</v>
      </c>
      <c r="F1579" s="225">
        <v>45260.0</v>
      </c>
      <c r="G1579" s="222">
        <v>0.041666666666666664</v>
      </c>
      <c r="H1579" s="134" t="s">
        <v>411</v>
      </c>
      <c r="I1579" s="223" t="s">
        <v>411</v>
      </c>
      <c r="J1579" s="223" t="b">
        <f t="shared" si="1"/>
        <v>1</v>
      </c>
      <c r="K1579" s="145" t="s">
        <v>1497</v>
      </c>
      <c r="L1579" s="156"/>
      <c r="M1579" s="134" t="s">
        <v>416</v>
      </c>
      <c r="N1579" s="150">
        <f>if(and(O1579=TRUE,P1579=TRUE), VLOOKUP($E1579,PESSOAL!$B$35:$S$46,MONTH($F1579)+6,false)*G1579*24,0)</f>
        <v>66.4318601</v>
      </c>
      <c r="O1579" s="117" t="b">
        <f t="shared" si="7"/>
        <v>1</v>
      </c>
      <c r="P1579" s="117" t="b">
        <v>1</v>
      </c>
      <c r="Q1579" s="117" t="s">
        <v>368</v>
      </c>
    </row>
    <row r="1580" hidden="1">
      <c r="A1580" s="108"/>
      <c r="B1580" s="220"/>
      <c r="C1580" s="220" t="s">
        <v>290</v>
      </c>
      <c r="D1580" s="220" t="str">
        <f>vlookup(M1580,'Página10'!A:B,2,false)</f>
        <v>INOV00001</v>
      </c>
      <c r="E1580" s="134" t="s">
        <v>309</v>
      </c>
      <c r="F1580" s="225">
        <v>45260.0</v>
      </c>
      <c r="G1580" s="222">
        <v>0.125</v>
      </c>
      <c r="H1580" s="134" t="s">
        <v>475</v>
      </c>
      <c r="I1580" s="223" t="s">
        <v>475</v>
      </c>
      <c r="J1580" s="223" t="b">
        <f t="shared" si="1"/>
        <v>1</v>
      </c>
      <c r="K1580" s="145" t="s">
        <v>1498</v>
      </c>
      <c r="L1580" s="156"/>
      <c r="M1580" s="134" t="s">
        <v>416</v>
      </c>
      <c r="N1580" s="150">
        <f>if(and(O1580=TRUE,P1580=TRUE), VLOOKUP($E1580,PESSOAL!$B$35:$S$46,MONTH($F1580)+6,false)*G1580*24,0)</f>
        <v>199.2955803</v>
      </c>
      <c r="O1580" s="117" t="b">
        <f t="shared" si="7"/>
        <v>1</v>
      </c>
      <c r="P1580" s="117" t="b">
        <v>1</v>
      </c>
      <c r="Q1580" s="117" t="s">
        <v>368</v>
      </c>
    </row>
    <row r="1581" hidden="1">
      <c r="A1581" s="108"/>
      <c r="B1581" s="220"/>
      <c r="C1581" s="220" t="s">
        <v>290</v>
      </c>
      <c r="D1581" s="220" t="str">
        <f>vlookup(M1581,'Página10'!A:B,2,false)</f>
        <v>INOV00001</v>
      </c>
      <c r="E1581" s="134" t="s">
        <v>309</v>
      </c>
      <c r="F1581" s="225">
        <v>45260.0</v>
      </c>
      <c r="G1581" s="222">
        <v>0.041666666666666664</v>
      </c>
      <c r="H1581" s="134" t="s">
        <v>411</v>
      </c>
      <c r="I1581" s="223" t="s">
        <v>411</v>
      </c>
      <c r="J1581" s="223" t="b">
        <f t="shared" si="1"/>
        <v>1</v>
      </c>
      <c r="K1581" s="145" t="s">
        <v>1491</v>
      </c>
      <c r="L1581" s="156"/>
      <c r="M1581" s="134" t="s">
        <v>416</v>
      </c>
      <c r="N1581" s="150">
        <f>if(and(O1581=TRUE,P1581=TRUE), VLOOKUP($E1581,PESSOAL!$B$35:$S$46,MONTH($F1581)+6,false)*G1581*24,0)</f>
        <v>66.4318601</v>
      </c>
      <c r="O1581" s="117" t="b">
        <f t="shared" si="7"/>
        <v>1</v>
      </c>
      <c r="P1581" s="117" t="b">
        <v>1</v>
      </c>
      <c r="Q1581" s="117" t="s">
        <v>368</v>
      </c>
    </row>
    <row r="1582" hidden="1">
      <c r="A1582" s="108"/>
      <c r="B1582" s="220"/>
      <c r="C1582" s="220" t="s">
        <v>290</v>
      </c>
      <c r="D1582" s="220" t="str">
        <f>vlookup(M1582,'Página10'!A:B,2,false)</f>
        <v>INOV00001</v>
      </c>
      <c r="E1582" s="134" t="s">
        <v>309</v>
      </c>
      <c r="F1582" s="225">
        <v>45261.0</v>
      </c>
      <c r="G1582" s="222">
        <v>0.125</v>
      </c>
      <c r="H1582" s="134" t="s">
        <v>475</v>
      </c>
      <c r="I1582" s="223" t="s">
        <v>475</v>
      </c>
      <c r="J1582" s="223" t="b">
        <f t="shared" si="1"/>
        <v>1</v>
      </c>
      <c r="K1582" s="145" t="s">
        <v>1499</v>
      </c>
      <c r="L1582" s="156"/>
      <c r="M1582" s="134" t="s">
        <v>416</v>
      </c>
      <c r="N1582" s="150">
        <f>if(and(O1582=TRUE,P1582=TRUE), VLOOKUP($E1582,PESSOAL!$B$35:$S$46,MONTH($F1582)+6,false)*G1582*24,0)</f>
        <v>189.8053146</v>
      </c>
      <c r="O1582" s="117" t="b">
        <f t="shared" si="7"/>
        <v>1</v>
      </c>
      <c r="P1582" s="117" t="b">
        <v>1</v>
      </c>
      <c r="Q1582" s="117" t="s">
        <v>368</v>
      </c>
    </row>
    <row r="1583" hidden="1">
      <c r="A1583" s="108"/>
      <c r="B1583" s="220"/>
      <c r="C1583" s="220" t="s">
        <v>290</v>
      </c>
      <c r="D1583" s="220" t="str">
        <f>vlookup(M1583,'Página10'!A:B,2,false)</f>
        <v>INOV00001</v>
      </c>
      <c r="E1583" s="134" t="s">
        <v>309</v>
      </c>
      <c r="F1583" s="225">
        <v>45266.0</v>
      </c>
      <c r="G1583" s="222">
        <v>0.125</v>
      </c>
      <c r="H1583" s="134" t="s">
        <v>411</v>
      </c>
      <c r="I1583" s="223" t="s">
        <v>411</v>
      </c>
      <c r="J1583" s="223" t="b">
        <f t="shared" si="1"/>
        <v>1</v>
      </c>
      <c r="K1583" s="145" t="s">
        <v>1500</v>
      </c>
      <c r="L1583" s="156"/>
      <c r="M1583" s="134" t="s">
        <v>416</v>
      </c>
      <c r="N1583" s="150">
        <f>if(and(O1583=TRUE,P1583=TRUE), VLOOKUP($E1583,PESSOAL!$B$35:$S$46,MONTH($F1583)+6,false)*G1583*24,0)</f>
        <v>189.8053146</v>
      </c>
      <c r="O1583" s="117" t="b">
        <f t="shared" si="7"/>
        <v>1</v>
      </c>
      <c r="P1583" s="117" t="b">
        <v>1</v>
      </c>
      <c r="Q1583" s="117" t="s">
        <v>368</v>
      </c>
    </row>
    <row r="1584" hidden="1">
      <c r="A1584" s="108"/>
      <c r="B1584" s="220"/>
      <c r="C1584" s="220" t="s">
        <v>290</v>
      </c>
      <c r="D1584" s="220" t="str">
        <f>vlookup(M1584,'Página10'!A:B,2,false)</f>
        <v>INOV00001</v>
      </c>
      <c r="E1584" s="134" t="s">
        <v>309</v>
      </c>
      <c r="F1584" s="225">
        <v>45266.0</v>
      </c>
      <c r="G1584" s="222">
        <v>0.03125</v>
      </c>
      <c r="H1584" s="134" t="s">
        <v>411</v>
      </c>
      <c r="I1584" s="223" t="s">
        <v>411</v>
      </c>
      <c r="J1584" s="223" t="b">
        <f t="shared" si="1"/>
        <v>1</v>
      </c>
      <c r="K1584" s="145" t="s">
        <v>1501</v>
      </c>
      <c r="L1584" s="156"/>
      <c r="M1584" s="134" t="s">
        <v>416</v>
      </c>
      <c r="N1584" s="150">
        <f>if(and(O1584=TRUE,P1584=TRUE), VLOOKUP($E1584,PESSOAL!$B$35:$S$46,MONTH($F1584)+6,false)*G1584*24,0)</f>
        <v>47.45132865</v>
      </c>
      <c r="O1584" s="117" t="b">
        <f t="shared" si="7"/>
        <v>1</v>
      </c>
      <c r="P1584" s="117" t="b">
        <v>1</v>
      </c>
      <c r="Q1584" s="117" t="s">
        <v>368</v>
      </c>
    </row>
    <row r="1585" hidden="1">
      <c r="A1585" s="108"/>
      <c r="B1585" s="220"/>
      <c r="C1585" s="220" t="s">
        <v>290</v>
      </c>
      <c r="D1585" s="220" t="str">
        <f>vlookup(M1585,'Página10'!A:B,2,false)</f>
        <v>INOV00001</v>
      </c>
      <c r="E1585" s="134" t="s">
        <v>309</v>
      </c>
      <c r="F1585" s="225">
        <v>45271.0</v>
      </c>
      <c r="G1585" s="222">
        <v>0.041666666666666664</v>
      </c>
      <c r="H1585" s="134" t="s">
        <v>475</v>
      </c>
      <c r="I1585" s="223" t="s">
        <v>475</v>
      </c>
      <c r="J1585" s="223" t="b">
        <f t="shared" si="1"/>
        <v>1</v>
      </c>
      <c r="K1585" s="145" t="s">
        <v>1502</v>
      </c>
      <c r="L1585" s="156"/>
      <c r="M1585" s="134" t="s">
        <v>416</v>
      </c>
      <c r="N1585" s="150">
        <f>if(and(O1585=TRUE,P1585=TRUE), VLOOKUP($E1585,PESSOAL!$B$35:$S$46,MONTH($F1585)+6,false)*G1585*24,0)</f>
        <v>63.26843819</v>
      </c>
      <c r="O1585" s="117" t="b">
        <f t="shared" si="7"/>
        <v>1</v>
      </c>
      <c r="P1585" s="117" t="b">
        <v>1</v>
      </c>
      <c r="Q1585" s="117" t="s">
        <v>368</v>
      </c>
    </row>
    <row r="1586" hidden="1">
      <c r="A1586" s="108"/>
      <c r="B1586" s="220"/>
      <c r="C1586" s="220" t="s">
        <v>69</v>
      </c>
      <c r="D1586" s="220" t="str">
        <f>vlookup(M1586,'Página10'!A:B,2,false)</f>
        <v>INOV00041</v>
      </c>
      <c r="E1586" s="134" t="s">
        <v>309</v>
      </c>
      <c r="F1586" s="225">
        <v>45278.0</v>
      </c>
      <c r="G1586" s="222">
        <v>0.041666666666666664</v>
      </c>
      <c r="H1586" s="134" t="s">
        <v>475</v>
      </c>
      <c r="I1586" s="223" t="s">
        <v>475</v>
      </c>
      <c r="J1586" s="223" t="b">
        <f t="shared" si="1"/>
        <v>1</v>
      </c>
      <c r="K1586" s="145" t="s">
        <v>1503</v>
      </c>
      <c r="L1586" s="156"/>
      <c r="M1586" s="134" t="s">
        <v>463</v>
      </c>
      <c r="N1586" s="150">
        <f>if(and(O1586=TRUE,P1586=TRUE), VLOOKUP($E1586,PESSOAL!$B$35:$S$46,MONTH($F1586)+6,false)*G1586*24,0)</f>
        <v>63.26843819</v>
      </c>
      <c r="O1586" s="117" t="b">
        <f t="shared" si="7"/>
        <v>1</v>
      </c>
      <c r="P1586" s="117" t="b">
        <v>1</v>
      </c>
      <c r="Q1586" s="117" t="s">
        <v>368</v>
      </c>
    </row>
    <row r="1587" hidden="1">
      <c r="A1587" s="108"/>
      <c r="B1587" s="220"/>
      <c r="C1587" s="220" t="s">
        <v>290</v>
      </c>
      <c r="D1587" s="220" t="str">
        <f>vlookup(M1587,'Página10'!A:B,2,false)</f>
        <v>INOV00001</v>
      </c>
      <c r="E1587" s="134" t="s">
        <v>309</v>
      </c>
      <c r="F1587" s="225">
        <v>45279.0</v>
      </c>
      <c r="G1587" s="222">
        <v>0.08333333333333333</v>
      </c>
      <c r="H1587" s="134" t="s">
        <v>479</v>
      </c>
      <c r="I1587" s="223" t="s">
        <v>479</v>
      </c>
      <c r="J1587" s="223" t="b">
        <f t="shared" si="1"/>
        <v>1</v>
      </c>
      <c r="K1587" s="145" t="s">
        <v>1504</v>
      </c>
      <c r="L1587" s="156"/>
      <c r="M1587" s="134" t="s">
        <v>416</v>
      </c>
      <c r="N1587" s="150">
        <f>if(and(O1587=TRUE,P1587=TRUE), VLOOKUP($E1587,PESSOAL!$B$35:$S$46,MONTH($F1587)+6,false)*G1587*24,0)</f>
        <v>0</v>
      </c>
      <c r="O1587" s="117" t="b">
        <f t="shared" si="7"/>
        <v>0</v>
      </c>
      <c r="P1587" s="117" t="b">
        <v>1</v>
      </c>
      <c r="Q1587" s="117" t="s">
        <v>368</v>
      </c>
    </row>
    <row r="1588" hidden="1">
      <c r="A1588" s="108"/>
      <c r="B1588" s="220"/>
      <c r="C1588" s="220" t="s">
        <v>290</v>
      </c>
      <c r="D1588" s="220" t="str">
        <f>vlookup(M1588,'Página10'!A:B,2,false)</f>
        <v>INOV00001</v>
      </c>
      <c r="E1588" s="134" t="s">
        <v>309</v>
      </c>
      <c r="F1588" s="225">
        <v>45280.0</v>
      </c>
      <c r="G1588" s="222">
        <v>0.020833333333333332</v>
      </c>
      <c r="H1588" s="134" t="s">
        <v>411</v>
      </c>
      <c r="I1588" s="223" t="s">
        <v>411</v>
      </c>
      <c r="J1588" s="223" t="b">
        <f t="shared" si="1"/>
        <v>1</v>
      </c>
      <c r="K1588" s="145" t="s">
        <v>1505</v>
      </c>
      <c r="L1588" s="156"/>
      <c r="M1588" s="134" t="s">
        <v>416</v>
      </c>
      <c r="N1588" s="150">
        <f>if(and(O1588=TRUE,P1588=TRUE), VLOOKUP($E1588,PESSOAL!$B$35:$S$46,MONTH($F1588)+6,false)*G1588*24,0)</f>
        <v>31.6342191</v>
      </c>
      <c r="O1588" s="117" t="b">
        <f t="shared" si="7"/>
        <v>1</v>
      </c>
      <c r="P1588" s="117" t="b">
        <v>1</v>
      </c>
      <c r="Q1588" s="117" t="s">
        <v>368</v>
      </c>
    </row>
    <row r="1589" hidden="1">
      <c r="A1589" s="108"/>
      <c r="B1589" s="220"/>
      <c r="C1589" s="220" t="s">
        <v>290</v>
      </c>
      <c r="D1589" s="220" t="str">
        <f>vlookup(M1589,'Página10'!A:B,2,false)</f>
        <v>INOV00001</v>
      </c>
      <c r="E1589" s="134" t="s">
        <v>309</v>
      </c>
      <c r="F1589" s="225">
        <v>45282.0</v>
      </c>
      <c r="G1589" s="222">
        <v>0.020833333333333332</v>
      </c>
      <c r="H1589" s="134" t="s">
        <v>411</v>
      </c>
      <c r="I1589" s="223" t="s">
        <v>411</v>
      </c>
      <c r="J1589" s="223" t="b">
        <f t="shared" si="1"/>
        <v>1</v>
      </c>
      <c r="K1589" s="145" t="s">
        <v>1505</v>
      </c>
      <c r="L1589" s="156"/>
      <c r="M1589" s="134" t="s">
        <v>416</v>
      </c>
      <c r="N1589" s="150">
        <f>if(and(O1589=TRUE,P1589=TRUE), VLOOKUP($E1589,PESSOAL!$B$35:$S$46,MONTH($F1589)+6,false)*G1589*24,0)</f>
        <v>31.6342191</v>
      </c>
      <c r="O1589" s="117" t="b">
        <f t="shared" si="7"/>
        <v>1</v>
      </c>
      <c r="P1589" s="117" t="b">
        <v>1</v>
      </c>
      <c r="Q1589" s="117" t="s">
        <v>368</v>
      </c>
    </row>
    <row r="1590" hidden="1">
      <c r="A1590" s="108"/>
      <c r="B1590" s="220"/>
      <c r="C1590" s="220" t="s">
        <v>67</v>
      </c>
      <c r="D1590" s="220" t="str">
        <f>vlookup(M1590,'Página10'!A:B,2,false)</f>
        <v>INOV00039</v>
      </c>
      <c r="E1590" s="134" t="s">
        <v>144</v>
      </c>
      <c r="F1590" s="225">
        <v>45201.0</v>
      </c>
      <c r="G1590" s="222">
        <v>0.125</v>
      </c>
      <c r="H1590" s="134" t="s">
        <v>475</v>
      </c>
      <c r="I1590" s="223" t="s">
        <v>475</v>
      </c>
      <c r="J1590" s="223" t="b">
        <f t="shared" si="1"/>
        <v>1</v>
      </c>
      <c r="K1590" s="145" t="s">
        <v>962</v>
      </c>
      <c r="L1590" s="156"/>
      <c r="M1590" s="134" t="s">
        <v>461</v>
      </c>
      <c r="N1590" s="150">
        <f>if(and(O1590=TRUE,P1590=TRUE), VLOOKUP($E1590,PESSOAL!$B$35:$S$45,MONTH($F1590)+6,false)*G1590*24,0)</f>
        <v>161.1744045</v>
      </c>
      <c r="O1590" s="117" t="b">
        <f t="shared" si="7"/>
        <v>1</v>
      </c>
      <c r="P1590" s="117" t="b">
        <v>1</v>
      </c>
      <c r="Q1590" s="117" t="s">
        <v>368</v>
      </c>
    </row>
    <row r="1591" hidden="1">
      <c r="A1591" s="108"/>
      <c r="B1591" s="220"/>
      <c r="C1591" s="220" t="s">
        <v>290</v>
      </c>
      <c r="D1591" s="220" t="str">
        <f>vlookup(M1591,'Página10'!A:B,2,false)</f>
        <v>INOV00001</v>
      </c>
      <c r="E1591" s="134" t="s">
        <v>144</v>
      </c>
      <c r="F1591" s="225">
        <v>45201.0</v>
      </c>
      <c r="G1591" s="222">
        <v>0.125</v>
      </c>
      <c r="H1591" s="134" t="s">
        <v>475</v>
      </c>
      <c r="I1591" s="223" t="s">
        <v>475</v>
      </c>
      <c r="J1591" s="223" t="b">
        <f t="shared" si="1"/>
        <v>1</v>
      </c>
      <c r="K1591" s="145" t="s">
        <v>518</v>
      </c>
      <c r="L1591" s="156"/>
      <c r="M1591" s="134" t="s">
        <v>416</v>
      </c>
      <c r="N1591" s="150">
        <f>if(and(O1591=TRUE,P1591=TRUE), VLOOKUP($E1591,PESSOAL!$B$35:$S$45,MONTH($F1591)+6,false)*G1591*24,0)</f>
        <v>161.1744045</v>
      </c>
      <c r="O1591" s="117" t="b">
        <f t="shared" si="7"/>
        <v>1</v>
      </c>
      <c r="P1591" s="117" t="b">
        <v>1</v>
      </c>
      <c r="Q1591" s="117" t="s">
        <v>368</v>
      </c>
    </row>
    <row r="1592" hidden="1">
      <c r="A1592" s="108"/>
      <c r="B1592" s="220"/>
      <c r="C1592" s="220" t="s">
        <v>57</v>
      </c>
      <c r="D1592" s="220" t="str">
        <f>vlookup(M1592,'Página10'!A:B,2,false)</f>
        <v>INOV00022</v>
      </c>
      <c r="E1592" s="134" t="s">
        <v>144</v>
      </c>
      <c r="F1592" s="225">
        <v>45201.0</v>
      </c>
      <c r="G1592" s="222">
        <v>0.125</v>
      </c>
      <c r="H1592" s="134" t="s">
        <v>475</v>
      </c>
      <c r="I1592" s="223" t="s">
        <v>475</v>
      </c>
      <c r="J1592" s="223" t="b">
        <f t="shared" si="1"/>
        <v>1</v>
      </c>
      <c r="K1592" s="145" t="s">
        <v>963</v>
      </c>
      <c r="L1592" s="156"/>
      <c r="M1592" s="134" t="s">
        <v>437</v>
      </c>
      <c r="N1592" s="150">
        <f>if(and(O1592=TRUE,P1592=TRUE), VLOOKUP($E1592,PESSOAL!$B$35:$S$45,MONTH($F1592)+6,false)*G1592*24,0)</f>
        <v>161.1744045</v>
      </c>
      <c r="O1592" s="117" t="b">
        <f t="shared" si="7"/>
        <v>1</v>
      </c>
      <c r="P1592" s="117" t="b">
        <v>1</v>
      </c>
      <c r="Q1592" s="117" t="s">
        <v>368</v>
      </c>
    </row>
    <row r="1593" hidden="1">
      <c r="A1593" s="108"/>
      <c r="B1593" s="220"/>
      <c r="C1593" s="220" t="s">
        <v>290</v>
      </c>
      <c r="D1593" s="220" t="str">
        <f>vlookup(M1593,'Página10'!A:B,2,false)</f>
        <v>INOV00001</v>
      </c>
      <c r="E1593" s="134" t="s">
        <v>144</v>
      </c>
      <c r="F1593" s="225">
        <v>45202.0</v>
      </c>
      <c r="G1593" s="222">
        <v>0.20833333333333334</v>
      </c>
      <c r="H1593" s="134" t="s">
        <v>411</v>
      </c>
      <c r="I1593" s="223" t="s">
        <v>475</v>
      </c>
      <c r="J1593" s="223" t="b">
        <f t="shared" si="1"/>
        <v>0</v>
      </c>
      <c r="K1593" s="145" t="s">
        <v>518</v>
      </c>
      <c r="L1593" s="156"/>
      <c r="M1593" s="134" t="s">
        <v>416</v>
      </c>
      <c r="N1593" s="150">
        <f>if(and(O1593=TRUE,P1593=TRUE), VLOOKUP($E1593,PESSOAL!$B$35:$S$45,MONTH($F1593)+6,false)*G1593*24,0)</f>
        <v>268.6240074</v>
      </c>
      <c r="O1593" s="117" t="b">
        <f t="shared" si="7"/>
        <v>1</v>
      </c>
      <c r="P1593" s="117" t="b">
        <v>1</v>
      </c>
      <c r="Q1593" s="117" t="s">
        <v>368</v>
      </c>
    </row>
    <row r="1594" hidden="1">
      <c r="A1594" s="108"/>
      <c r="B1594" s="220"/>
      <c r="C1594" s="220" t="s">
        <v>57</v>
      </c>
      <c r="D1594" s="220" t="str">
        <f>vlookup(M1594,'Página10'!A:B,2,false)</f>
        <v>INOV00022</v>
      </c>
      <c r="E1594" s="134" t="s">
        <v>144</v>
      </c>
      <c r="F1594" s="225">
        <v>45202.0</v>
      </c>
      <c r="G1594" s="222">
        <v>0.16666666666666666</v>
      </c>
      <c r="H1594" s="134" t="s">
        <v>475</v>
      </c>
      <c r="I1594" s="223" t="s">
        <v>475</v>
      </c>
      <c r="J1594" s="223" t="b">
        <f t="shared" si="1"/>
        <v>1</v>
      </c>
      <c r="K1594" s="145" t="s">
        <v>963</v>
      </c>
      <c r="L1594" s="156"/>
      <c r="M1594" s="134" t="s">
        <v>437</v>
      </c>
      <c r="N1594" s="150">
        <f>if(and(O1594=TRUE,P1594=TRUE), VLOOKUP($E1594,PESSOAL!$B$35:$S$45,MONTH($F1594)+6,false)*G1594*24,0)</f>
        <v>214.899206</v>
      </c>
      <c r="O1594" s="117" t="b">
        <f t="shared" si="7"/>
        <v>1</v>
      </c>
      <c r="P1594" s="117" t="b">
        <v>1</v>
      </c>
      <c r="Q1594" s="117" t="s">
        <v>368</v>
      </c>
    </row>
    <row r="1595" hidden="1">
      <c r="A1595" s="108"/>
      <c r="B1595" s="220"/>
      <c r="C1595" s="220" t="s">
        <v>57</v>
      </c>
      <c r="D1595" s="220" t="str">
        <f>vlookup(M1595,'Página10'!A:B,2,false)</f>
        <v>INOV00022</v>
      </c>
      <c r="E1595" s="134" t="s">
        <v>144</v>
      </c>
      <c r="F1595" s="225">
        <v>45203.0</v>
      </c>
      <c r="G1595" s="222">
        <v>0.20833333333333334</v>
      </c>
      <c r="H1595" s="134" t="s">
        <v>475</v>
      </c>
      <c r="I1595" s="223" t="s">
        <v>475</v>
      </c>
      <c r="J1595" s="223" t="b">
        <f t="shared" si="1"/>
        <v>1</v>
      </c>
      <c r="K1595" s="145" t="s">
        <v>962</v>
      </c>
      <c r="L1595" s="156"/>
      <c r="M1595" s="134" t="s">
        <v>437</v>
      </c>
      <c r="N1595" s="150">
        <f>if(and(O1595=TRUE,P1595=TRUE), VLOOKUP($E1595,PESSOAL!$B$35:$S$45,MONTH($F1595)+6,false)*G1595*24,0)</f>
        <v>268.6240074</v>
      </c>
      <c r="O1595" s="117" t="b">
        <f t="shared" si="7"/>
        <v>1</v>
      </c>
      <c r="P1595" s="117" t="b">
        <v>1</v>
      </c>
      <c r="Q1595" s="117" t="s">
        <v>368</v>
      </c>
    </row>
    <row r="1596" hidden="1">
      <c r="A1596" s="108"/>
      <c r="B1596" s="220"/>
      <c r="C1596" s="220" t="s">
        <v>65</v>
      </c>
      <c r="D1596" s="220" t="str">
        <f>vlookup(M1596,'Página10'!A:B,2,false)</f>
        <v>INOV00037</v>
      </c>
      <c r="E1596" s="134" t="s">
        <v>144</v>
      </c>
      <c r="F1596" s="225">
        <v>45203.0</v>
      </c>
      <c r="G1596" s="222">
        <v>0.16666666666666666</v>
      </c>
      <c r="H1596" s="134" t="s">
        <v>475</v>
      </c>
      <c r="I1596" s="223" t="s">
        <v>475</v>
      </c>
      <c r="J1596" s="223" t="b">
        <f t="shared" si="1"/>
        <v>1</v>
      </c>
      <c r="K1596" s="145" t="s">
        <v>517</v>
      </c>
      <c r="L1596" s="156"/>
      <c r="M1596" s="134" t="s">
        <v>459</v>
      </c>
      <c r="N1596" s="150">
        <f>if(and(O1596=TRUE,P1596=TRUE), VLOOKUP($E1596,PESSOAL!$B$35:$S$45,MONTH($F1596)+6,false)*G1596*24,0)</f>
        <v>214.899206</v>
      </c>
      <c r="O1596" s="117" t="b">
        <f t="shared" si="7"/>
        <v>1</v>
      </c>
      <c r="P1596" s="117" t="b">
        <v>1</v>
      </c>
      <c r="Q1596" s="117" t="s">
        <v>368</v>
      </c>
    </row>
    <row r="1597" hidden="1">
      <c r="A1597" s="108"/>
      <c r="B1597" s="220"/>
      <c r="C1597" s="220" t="s">
        <v>58</v>
      </c>
      <c r="D1597" s="220" t="str">
        <f>vlookup(M1597,'Página10'!A:B,2,false)</f>
        <v>INOV00023</v>
      </c>
      <c r="E1597" s="134" t="s">
        <v>144</v>
      </c>
      <c r="F1597" s="225">
        <v>45204.0</v>
      </c>
      <c r="G1597" s="222">
        <v>0.16666666666666666</v>
      </c>
      <c r="H1597" s="134" t="s">
        <v>475</v>
      </c>
      <c r="I1597" s="223" t="s">
        <v>475</v>
      </c>
      <c r="J1597" s="223" t="b">
        <f t="shared" si="1"/>
        <v>1</v>
      </c>
      <c r="K1597" s="145" t="s">
        <v>963</v>
      </c>
      <c r="L1597" s="156"/>
      <c r="M1597" s="134" t="s">
        <v>438</v>
      </c>
      <c r="N1597" s="150">
        <f>if(and(O1597=TRUE,P1597=TRUE), VLOOKUP($E1597,PESSOAL!$B$35:$S$45,MONTH($F1597)+6,false)*G1597*24,0)</f>
        <v>214.899206</v>
      </c>
      <c r="O1597" s="117" t="b">
        <f t="shared" si="7"/>
        <v>1</v>
      </c>
      <c r="P1597" s="117" t="b">
        <v>1</v>
      </c>
      <c r="Q1597" s="117" t="s">
        <v>368</v>
      </c>
    </row>
    <row r="1598" hidden="1">
      <c r="A1598" s="108"/>
      <c r="B1598" s="220"/>
      <c r="C1598" s="220" t="s">
        <v>57</v>
      </c>
      <c r="D1598" s="220" t="str">
        <f>vlookup(M1598,'Página10'!A:B,2,false)</f>
        <v>INOV00022</v>
      </c>
      <c r="E1598" s="134" t="s">
        <v>144</v>
      </c>
      <c r="F1598" s="225">
        <v>45204.0</v>
      </c>
      <c r="G1598" s="222">
        <v>0.20833333333333334</v>
      </c>
      <c r="H1598" s="134" t="s">
        <v>475</v>
      </c>
      <c r="I1598" s="223" t="s">
        <v>475</v>
      </c>
      <c r="J1598" s="223" t="b">
        <f t="shared" si="1"/>
        <v>1</v>
      </c>
      <c r="K1598" s="145" t="s">
        <v>517</v>
      </c>
      <c r="L1598" s="156"/>
      <c r="M1598" s="134" t="s">
        <v>437</v>
      </c>
      <c r="N1598" s="150">
        <f>if(and(O1598=TRUE,P1598=TRUE), VLOOKUP($E1598,PESSOAL!$B$35:$S$45,MONTH($F1598)+6,false)*G1598*24,0)</f>
        <v>268.6240074</v>
      </c>
      <c r="O1598" s="117" t="b">
        <f t="shared" si="7"/>
        <v>1</v>
      </c>
      <c r="P1598" s="117" t="b">
        <v>1</v>
      </c>
      <c r="Q1598" s="117" t="s">
        <v>368</v>
      </c>
    </row>
    <row r="1599" hidden="1">
      <c r="A1599" s="108"/>
      <c r="B1599" s="220"/>
      <c r="C1599" s="220" t="s">
        <v>57</v>
      </c>
      <c r="D1599" s="220" t="str">
        <f>vlookup(M1599,'Página10'!A:B,2,false)</f>
        <v>INOV00022</v>
      </c>
      <c r="E1599" s="134" t="s">
        <v>144</v>
      </c>
      <c r="F1599" s="225">
        <v>45205.0</v>
      </c>
      <c r="G1599" s="222">
        <v>0.20833333333333334</v>
      </c>
      <c r="H1599" s="134" t="s">
        <v>475</v>
      </c>
      <c r="I1599" s="223" t="s">
        <v>475</v>
      </c>
      <c r="J1599" s="223" t="b">
        <f t="shared" si="1"/>
        <v>1</v>
      </c>
      <c r="K1599" s="145" t="s">
        <v>963</v>
      </c>
      <c r="L1599" s="156"/>
      <c r="M1599" s="134" t="s">
        <v>437</v>
      </c>
      <c r="N1599" s="150">
        <f>if(and(O1599=TRUE,P1599=TRUE), VLOOKUP($E1599,PESSOAL!$B$35:$S$45,MONTH($F1599)+6,false)*G1599*24,0)</f>
        <v>268.6240074</v>
      </c>
      <c r="O1599" s="117" t="b">
        <f t="shared" si="7"/>
        <v>1</v>
      </c>
      <c r="P1599" s="117" t="b">
        <v>1</v>
      </c>
      <c r="Q1599" s="117" t="s">
        <v>368</v>
      </c>
    </row>
    <row r="1600" hidden="1">
      <c r="A1600" s="108"/>
      <c r="B1600" s="220"/>
      <c r="C1600" s="220" t="s">
        <v>65</v>
      </c>
      <c r="D1600" s="220" t="str">
        <f>vlookup(M1600,'Página10'!A:B,2,false)</f>
        <v>INOV00037</v>
      </c>
      <c r="E1600" s="134" t="s">
        <v>144</v>
      </c>
      <c r="F1600" s="225">
        <v>45205.0</v>
      </c>
      <c r="G1600" s="222">
        <v>0.16666666666666666</v>
      </c>
      <c r="H1600" s="134" t="s">
        <v>475</v>
      </c>
      <c r="I1600" s="223" t="s">
        <v>475</v>
      </c>
      <c r="J1600" s="223" t="b">
        <f t="shared" si="1"/>
        <v>1</v>
      </c>
      <c r="K1600" s="145" t="s">
        <v>520</v>
      </c>
      <c r="L1600" s="156"/>
      <c r="M1600" s="134" t="s">
        <v>459</v>
      </c>
      <c r="N1600" s="150">
        <f>if(and(O1600=TRUE,P1600=TRUE), VLOOKUP($E1600,PESSOAL!$B$35:$S$45,MONTH($F1600)+6,false)*G1600*24,0)</f>
        <v>214.899206</v>
      </c>
      <c r="O1600" s="117" t="b">
        <f t="shared" si="7"/>
        <v>1</v>
      </c>
      <c r="P1600" s="117" t="b">
        <v>1</v>
      </c>
      <c r="Q1600" s="117" t="s">
        <v>368</v>
      </c>
    </row>
    <row r="1601" hidden="1">
      <c r="A1601" s="108"/>
      <c r="B1601" s="220"/>
      <c r="C1601" s="220" t="s">
        <v>290</v>
      </c>
      <c r="D1601" s="220" t="str">
        <f>vlookup(M1601,'Página10'!A:B,2,false)</f>
        <v>INOV00001</v>
      </c>
      <c r="E1601" s="134" t="s">
        <v>144</v>
      </c>
      <c r="F1601" s="225">
        <v>45208.0</v>
      </c>
      <c r="G1601" s="222">
        <v>0.16666666666666666</v>
      </c>
      <c r="H1601" s="134" t="s">
        <v>475</v>
      </c>
      <c r="I1601" s="223" t="s">
        <v>475</v>
      </c>
      <c r="J1601" s="223" t="b">
        <f t="shared" si="1"/>
        <v>1</v>
      </c>
      <c r="K1601" s="145" t="s">
        <v>518</v>
      </c>
      <c r="L1601" s="156"/>
      <c r="M1601" s="134" t="s">
        <v>416</v>
      </c>
      <c r="N1601" s="150">
        <f>if(and(O1601=TRUE,P1601=TRUE), VLOOKUP($E1601,PESSOAL!$B$35:$S$45,MONTH($F1601)+6,false)*G1601*24,0)</f>
        <v>214.899206</v>
      </c>
      <c r="O1601" s="117" t="b">
        <f t="shared" si="7"/>
        <v>1</v>
      </c>
      <c r="P1601" s="117" t="b">
        <v>1</v>
      </c>
      <c r="Q1601" s="117" t="s">
        <v>368</v>
      </c>
    </row>
    <row r="1602" hidden="1">
      <c r="A1602" s="108"/>
      <c r="B1602" s="220"/>
      <c r="C1602" s="220" t="s">
        <v>57</v>
      </c>
      <c r="D1602" s="220" t="str">
        <f>vlookup(M1602,'Página10'!A:B,2,false)</f>
        <v>INOV00022</v>
      </c>
      <c r="E1602" s="134" t="s">
        <v>144</v>
      </c>
      <c r="F1602" s="225">
        <v>45208.0</v>
      </c>
      <c r="G1602" s="222">
        <v>0.125</v>
      </c>
      <c r="H1602" s="134" t="s">
        <v>475</v>
      </c>
      <c r="I1602" s="223" t="s">
        <v>475</v>
      </c>
      <c r="J1602" s="223" t="b">
        <f t="shared" si="1"/>
        <v>1</v>
      </c>
      <c r="K1602" s="145" t="s">
        <v>963</v>
      </c>
      <c r="L1602" s="156"/>
      <c r="M1602" s="134" t="s">
        <v>437</v>
      </c>
      <c r="N1602" s="150">
        <f>if(and(O1602=TRUE,P1602=TRUE), VLOOKUP($E1602,PESSOAL!$B$35:$S$45,MONTH($F1602)+6,false)*G1602*24,0)</f>
        <v>161.1744045</v>
      </c>
      <c r="O1602" s="117" t="b">
        <f t="shared" si="7"/>
        <v>1</v>
      </c>
      <c r="P1602" s="117" t="b">
        <v>1</v>
      </c>
      <c r="Q1602" s="117" t="s">
        <v>368</v>
      </c>
    </row>
    <row r="1603" hidden="1">
      <c r="A1603" s="108"/>
      <c r="B1603" s="220"/>
      <c r="C1603" s="220" t="s">
        <v>59</v>
      </c>
      <c r="D1603" s="220" t="str">
        <f>vlookup(M1603,'Página10'!A:B,2,false)</f>
        <v>INOV00024</v>
      </c>
      <c r="E1603" s="134" t="s">
        <v>144</v>
      </c>
      <c r="F1603" s="225">
        <v>45208.0</v>
      </c>
      <c r="G1603" s="222">
        <v>0.08333333333333333</v>
      </c>
      <c r="H1603" s="134" t="s">
        <v>475</v>
      </c>
      <c r="I1603" s="223" t="s">
        <v>475</v>
      </c>
      <c r="J1603" s="223" t="b">
        <f t="shared" si="1"/>
        <v>1</v>
      </c>
      <c r="K1603" s="145" t="s">
        <v>1506</v>
      </c>
      <c r="L1603" s="156"/>
      <c r="M1603" s="134" t="s">
        <v>439</v>
      </c>
      <c r="N1603" s="150">
        <f>if(and(O1603=TRUE,P1603=TRUE), VLOOKUP($E1603,PESSOAL!$B$35:$S$45,MONTH($F1603)+6,false)*G1603*24,0)</f>
        <v>107.449603</v>
      </c>
      <c r="O1603" s="117" t="b">
        <f t="shared" si="7"/>
        <v>1</v>
      </c>
      <c r="P1603" s="117" t="b">
        <v>1</v>
      </c>
      <c r="Q1603" s="117" t="s">
        <v>368</v>
      </c>
    </row>
    <row r="1604" hidden="1">
      <c r="A1604" s="108"/>
      <c r="B1604" s="220"/>
      <c r="C1604" s="220" t="s">
        <v>290</v>
      </c>
      <c r="D1604" s="220" t="str">
        <f>vlookup(M1604,'Página10'!A:B,2,false)</f>
        <v>INOV00001</v>
      </c>
      <c r="E1604" s="134" t="s">
        <v>144</v>
      </c>
      <c r="F1604" s="225">
        <v>45209.0</v>
      </c>
      <c r="G1604" s="222">
        <v>0.20833333333333334</v>
      </c>
      <c r="H1604" s="134" t="s">
        <v>411</v>
      </c>
      <c r="I1604" s="223" t="s">
        <v>475</v>
      </c>
      <c r="J1604" s="223" t="b">
        <f t="shared" si="1"/>
        <v>0</v>
      </c>
      <c r="K1604" s="145" t="s">
        <v>518</v>
      </c>
      <c r="L1604" s="156"/>
      <c r="M1604" s="134" t="s">
        <v>416</v>
      </c>
      <c r="N1604" s="150">
        <f>if(and(O1604=TRUE,P1604=TRUE), VLOOKUP($E1604,PESSOAL!$B$35:$S$45,MONTH($F1604)+6,false)*G1604*24,0)</f>
        <v>268.6240074</v>
      </c>
      <c r="O1604" s="117" t="b">
        <f t="shared" si="7"/>
        <v>1</v>
      </c>
      <c r="P1604" s="117" t="b">
        <v>1</v>
      </c>
      <c r="Q1604" s="117" t="s">
        <v>368</v>
      </c>
    </row>
    <row r="1605" hidden="1">
      <c r="A1605" s="108"/>
      <c r="B1605" s="220"/>
      <c r="C1605" s="220" t="s">
        <v>57</v>
      </c>
      <c r="D1605" s="220" t="str">
        <f>vlookup(M1605,'Página10'!A:B,2,false)</f>
        <v>INOV00022</v>
      </c>
      <c r="E1605" s="134" t="s">
        <v>144</v>
      </c>
      <c r="F1605" s="225">
        <v>45209.0</v>
      </c>
      <c r="G1605" s="222">
        <v>0.16666666666666666</v>
      </c>
      <c r="H1605" s="134" t="s">
        <v>475</v>
      </c>
      <c r="I1605" s="223" t="s">
        <v>475</v>
      </c>
      <c r="J1605" s="223" t="b">
        <f t="shared" si="1"/>
        <v>1</v>
      </c>
      <c r="K1605" s="145" t="s">
        <v>963</v>
      </c>
      <c r="L1605" s="156"/>
      <c r="M1605" s="134" t="s">
        <v>437</v>
      </c>
      <c r="N1605" s="150">
        <f>if(and(O1605=TRUE,P1605=TRUE), VLOOKUP($E1605,PESSOAL!$B$35:$S$45,MONTH($F1605)+6,false)*G1605*24,0)</f>
        <v>214.899206</v>
      </c>
      <c r="O1605" s="117" t="b">
        <f t="shared" si="7"/>
        <v>1</v>
      </c>
      <c r="P1605" s="117" t="b">
        <v>1</v>
      </c>
      <c r="Q1605" s="117" t="s">
        <v>368</v>
      </c>
    </row>
    <row r="1606" hidden="1">
      <c r="A1606" s="108"/>
      <c r="B1606" s="220"/>
      <c r="C1606" s="220" t="s">
        <v>290</v>
      </c>
      <c r="D1606" s="220" t="str">
        <f>vlookup(M1606,'Página10'!A:B,2,false)</f>
        <v>INOV00001</v>
      </c>
      <c r="E1606" s="134" t="s">
        <v>144</v>
      </c>
      <c r="F1606" s="225">
        <v>45210.0</v>
      </c>
      <c r="G1606" s="222">
        <v>0.16666666666666666</v>
      </c>
      <c r="H1606" s="134" t="s">
        <v>411</v>
      </c>
      <c r="I1606" s="223" t="s">
        <v>475</v>
      </c>
      <c r="J1606" s="223" t="b">
        <f t="shared" si="1"/>
        <v>0</v>
      </c>
      <c r="K1606" s="145" t="s">
        <v>518</v>
      </c>
      <c r="L1606" s="156"/>
      <c r="M1606" s="134" t="s">
        <v>416</v>
      </c>
      <c r="N1606" s="150">
        <f>if(and(O1606=TRUE,P1606=TRUE), VLOOKUP($E1606,PESSOAL!$B$35:$S$45,MONTH($F1606)+6,false)*G1606*24,0)</f>
        <v>214.899206</v>
      </c>
      <c r="O1606" s="117" t="b">
        <f t="shared" si="7"/>
        <v>1</v>
      </c>
      <c r="P1606" s="117" t="b">
        <v>1</v>
      </c>
      <c r="Q1606" s="117" t="s">
        <v>368</v>
      </c>
    </row>
    <row r="1607" hidden="1">
      <c r="A1607" s="108"/>
      <c r="B1607" s="220"/>
      <c r="C1607" s="220" t="s">
        <v>57</v>
      </c>
      <c r="D1607" s="220" t="str">
        <f>vlookup(M1607,'Página10'!A:B,2,false)</f>
        <v>INOV00022</v>
      </c>
      <c r="E1607" s="134" t="s">
        <v>144</v>
      </c>
      <c r="F1607" s="225">
        <v>45210.0</v>
      </c>
      <c r="G1607" s="222">
        <v>0.16666666666666666</v>
      </c>
      <c r="H1607" s="134" t="s">
        <v>475</v>
      </c>
      <c r="I1607" s="223" t="s">
        <v>475</v>
      </c>
      <c r="J1607" s="223" t="b">
        <f t="shared" si="1"/>
        <v>1</v>
      </c>
      <c r="K1607" s="145" t="s">
        <v>963</v>
      </c>
      <c r="L1607" s="156"/>
      <c r="M1607" s="134" t="s">
        <v>437</v>
      </c>
      <c r="N1607" s="150">
        <f>if(and(O1607=TRUE,P1607=TRUE), VLOOKUP($E1607,PESSOAL!$B$35:$S$45,MONTH($F1607)+6,false)*G1607*24,0)</f>
        <v>214.899206</v>
      </c>
      <c r="O1607" s="117" t="b">
        <f t="shared" si="7"/>
        <v>1</v>
      </c>
      <c r="P1607" s="117" t="b">
        <v>1</v>
      </c>
      <c r="Q1607" s="117" t="s">
        <v>368</v>
      </c>
    </row>
    <row r="1608" hidden="1">
      <c r="A1608" s="108"/>
      <c r="B1608" s="220"/>
      <c r="C1608" s="220" t="s">
        <v>290</v>
      </c>
      <c r="D1608" s="220" t="str">
        <f>vlookup(M1608,'Página10'!A:B,2,false)</f>
        <v>INOV00001</v>
      </c>
      <c r="E1608" s="134" t="s">
        <v>144</v>
      </c>
      <c r="F1608" s="225">
        <v>45212.0</v>
      </c>
      <c r="G1608" s="222">
        <v>0.4166666666666667</v>
      </c>
      <c r="H1608" s="134" t="s">
        <v>475</v>
      </c>
      <c r="I1608" s="223" t="s">
        <v>475</v>
      </c>
      <c r="J1608" s="223" t="b">
        <f t="shared" si="1"/>
        <v>1</v>
      </c>
      <c r="K1608" s="145" t="s">
        <v>1507</v>
      </c>
      <c r="L1608" s="156"/>
      <c r="M1608" s="134" t="s">
        <v>416</v>
      </c>
      <c r="N1608" s="150">
        <f>if(and(O1608=TRUE,P1608=TRUE), VLOOKUP($E1608,PESSOAL!$B$35:$S$45,MONTH($F1608)+6,false)*G1608*24,0)</f>
        <v>537.2480149</v>
      </c>
      <c r="O1608" s="117" t="b">
        <f t="shared" si="7"/>
        <v>1</v>
      </c>
      <c r="P1608" s="117" t="b">
        <v>1</v>
      </c>
      <c r="Q1608" s="117" t="s">
        <v>368</v>
      </c>
    </row>
    <row r="1609" hidden="1">
      <c r="A1609" s="108"/>
      <c r="B1609" s="220"/>
      <c r="C1609" s="220" t="s">
        <v>290</v>
      </c>
      <c r="D1609" s="220" t="str">
        <f>vlookup(M1609,'Página10'!A:B,2,false)</f>
        <v>INOV00001</v>
      </c>
      <c r="E1609" s="134" t="s">
        <v>144</v>
      </c>
      <c r="F1609" s="225">
        <v>45215.0</v>
      </c>
      <c r="G1609" s="222">
        <v>0.4166666666666667</v>
      </c>
      <c r="H1609" s="134" t="s">
        <v>475</v>
      </c>
      <c r="I1609" s="223" t="s">
        <v>475</v>
      </c>
      <c r="J1609" s="223" t="b">
        <f t="shared" si="1"/>
        <v>1</v>
      </c>
      <c r="K1609" s="145" t="s">
        <v>1507</v>
      </c>
      <c r="L1609" s="156"/>
      <c r="M1609" s="134" t="s">
        <v>416</v>
      </c>
      <c r="N1609" s="150">
        <f>if(and(O1609=TRUE,P1609=TRUE), VLOOKUP($E1609,PESSOAL!$B$35:$S$45,MONTH($F1609)+6,false)*G1609*24,0)</f>
        <v>537.2480149</v>
      </c>
      <c r="O1609" s="117" t="b">
        <f t="shared" si="7"/>
        <v>1</v>
      </c>
      <c r="P1609" s="117" t="b">
        <v>1</v>
      </c>
      <c r="Q1609" s="117" t="s">
        <v>368</v>
      </c>
    </row>
    <row r="1610" hidden="1">
      <c r="A1610" s="108"/>
      <c r="B1610" s="220"/>
      <c r="C1610" s="220" t="s">
        <v>290</v>
      </c>
      <c r="D1610" s="220" t="str">
        <f>vlookup(M1610,'Página10'!A:B,2,false)</f>
        <v>INOV00001</v>
      </c>
      <c r="E1610" s="134" t="s">
        <v>144</v>
      </c>
      <c r="F1610" s="225">
        <v>45216.0</v>
      </c>
      <c r="G1610" s="222">
        <v>0.4166666666666667</v>
      </c>
      <c r="H1610" s="134" t="s">
        <v>475</v>
      </c>
      <c r="I1610" s="223" t="s">
        <v>475</v>
      </c>
      <c r="J1610" s="223" t="b">
        <f t="shared" si="1"/>
        <v>1</v>
      </c>
      <c r="K1610" s="145" t="s">
        <v>1507</v>
      </c>
      <c r="L1610" s="156"/>
      <c r="M1610" s="134" t="s">
        <v>416</v>
      </c>
      <c r="N1610" s="150">
        <f>if(and(O1610=TRUE,P1610=TRUE), VLOOKUP($E1610,PESSOAL!$B$35:$S$45,MONTH($F1610)+6,false)*G1610*24,0)</f>
        <v>537.2480149</v>
      </c>
      <c r="O1610" s="117" t="b">
        <f t="shared" si="7"/>
        <v>1</v>
      </c>
      <c r="P1610" s="117" t="b">
        <v>1</v>
      </c>
      <c r="Q1610" s="117" t="s">
        <v>368</v>
      </c>
    </row>
    <row r="1611" hidden="1">
      <c r="A1611" s="108"/>
      <c r="B1611" s="220"/>
      <c r="C1611" s="220" t="s">
        <v>290</v>
      </c>
      <c r="D1611" s="220" t="str">
        <f>vlookup(M1611,'Página10'!A:B,2,false)</f>
        <v>INOV00001</v>
      </c>
      <c r="E1611" s="134" t="s">
        <v>144</v>
      </c>
      <c r="F1611" s="225">
        <v>45217.0</v>
      </c>
      <c r="G1611" s="222">
        <v>0.4166666666666667</v>
      </c>
      <c r="H1611" s="134" t="s">
        <v>475</v>
      </c>
      <c r="I1611" s="223" t="s">
        <v>475</v>
      </c>
      <c r="J1611" s="223" t="b">
        <f t="shared" si="1"/>
        <v>1</v>
      </c>
      <c r="K1611" s="145" t="s">
        <v>1507</v>
      </c>
      <c r="L1611" s="156"/>
      <c r="M1611" s="134" t="s">
        <v>416</v>
      </c>
      <c r="N1611" s="150">
        <f>if(and(O1611=TRUE,P1611=TRUE), VLOOKUP($E1611,PESSOAL!$B$35:$S$45,MONTH($F1611)+6,false)*G1611*24,0)</f>
        <v>537.2480149</v>
      </c>
      <c r="O1611" s="117" t="b">
        <f t="shared" si="7"/>
        <v>1</v>
      </c>
      <c r="P1611" s="117" t="b">
        <v>1</v>
      </c>
      <c r="Q1611" s="117" t="s">
        <v>368</v>
      </c>
    </row>
    <row r="1612" hidden="1">
      <c r="A1612" s="108"/>
      <c r="B1612" s="220"/>
      <c r="C1612" s="220" t="s">
        <v>290</v>
      </c>
      <c r="D1612" s="220" t="str">
        <f>vlookup(M1612,'Página10'!A:B,2,false)</f>
        <v>INOV00001</v>
      </c>
      <c r="E1612" s="134" t="s">
        <v>144</v>
      </c>
      <c r="F1612" s="225">
        <v>45218.0</v>
      </c>
      <c r="G1612" s="222">
        <v>0.4166666666666667</v>
      </c>
      <c r="H1612" s="134" t="s">
        <v>475</v>
      </c>
      <c r="I1612" s="223" t="s">
        <v>475</v>
      </c>
      <c r="J1612" s="223" t="b">
        <f t="shared" si="1"/>
        <v>1</v>
      </c>
      <c r="K1612" s="145" t="s">
        <v>1507</v>
      </c>
      <c r="L1612" s="156"/>
      <c r="M1612" s="134" t="s">
        <v>416</v>
      </c>
      <c r="N1612" s="150">
        <f>if(and(O1612=TRUE,P1612=TRUE), VLOOKUP($E1612,PESSOAL!$B$35:$S$45,MONTH($F1612)+6,false)*G1612*24,0)</f>
        <v>537.2480149</v>
      </c>
      <c r="O1612" s="117" t="b">
        <f t="shared" si="7"/>
        <v>1</v>
      </c>
      <c r="P1612" s="117" t="b">
        <v>1</v>
      </c>
      <c r="Q1612" s="117" t="s">
        <v>368</v>
      </c>
    </row>
    <row r="1613" hidden="1">
      <c r="A1613" s="108"/>
      <c r="B1613" s="220"/>
      <c r="C1613" s="220" t="s">
        <v>290</v>
      </c>
      <c r="D1613" s="220" t="str">
        <f>vlookup(M1613,'Página10'!A:B,2,false)</f>
        <v>INOV00001</v>
      </c>
      <c r="E1613" s="134" t="s">
        <v>144</v>
      </c>
      <c r="F1613" s="225">
        <v>45219.0</v>
      </c>
      <c r="G1613" s="222">
        <v>0.20833333333333334</v>
      </c>
      <c r="H1613" s="134" t="s">
        <v>475</v>
      </c>
      <c r="I1613" s="223" t="s">
        <v>475</v>
      </c>
      <c r="J1613" s="223" t="b">
        <f t="shared" si="1"/>
        <v>1</v>
      </c>
      <c r="K1613" s="145" t="s">
        <v>1507</v>
      </c>
      <c r="L1613" s="156"/>
      <c r="M1613" s="134" t="s">
        <v>416</v>
      </c>
      <c r="N1613" s="150">
        <f>if(and(O1613=TRUE,P1613=TRUE), VLOOKUP($E1613,PESSOAL!$B$35:$S$45,MONTH($F1613)+6,false)*G1613*24,0)</f>
        <v>268.6240074</v>
      </c>
      <c r="O1613" s="117" t="b">
        <f t="shared" si="7"/>
        <v>1</v>
      </c>
      <c r="P1613" s="117" t="b">
        <v>1</v>
      </c>
      <c r="Q1613" s="117" t="s">
        <v>368</v>
      </c>
    </row>
    <row r="1614" hidden="1">
      <c r="A1614" s="108"/>
      <c r="B1614" s="220"/>
      <c r="C1614" s="220" t="s">
        <v>57</v>
      </c>
      <c r="D1614" s="220" t="str">
        <f>vlookup(M1614,'Página10'!A:B,2,false)</f>
        <v>INOV00022</v>
      </c>
      <c r="E1614" s="134" t="s">
        <v>144</v>
      </c>
      <c r="F1614" s="225">
        <v>45219.0</v>
      </c>
      <c r="G1614" s="222">
        <v>0.16666666666666666</v>
      </c>
      <c r="H1614" s="134" t="s">
        <v>475</v>
      </c>
      <c r="I1614" s="223" t="s">
        <v>475</v>
      </c>
      <c r="J1614" s="223" t="b">
        <f t="shared" si="1"/>
        <v>1</v>
      </c>
      <c r="K1614" s="145" t="s">
        <v>963</v>
      </c>
      <c r="L1614" s="156"/>
      <c r="M1614" s="134" t="s">
        <v>437</v>
      </c>
      <c r="N1614" s="150">
        <f>if(and(O1614=TRUE,P1614=TRUE), VLOOKUP($E1614,PESSOAL!$B$35:$S$45,MONTH($F1614)+6,false)*G1614*24,0)</f>
        <v>214.899206</v>
      </c>
      <c r="O1614" s="117" t="b">
        <f t="shared" si="7"/>
        <v>1</v>
      </c>
      <c r="P1614" s="117" t="b">
        <v>1</v>
      </c>
      <c r="Q1614" s="117" t="s">
        <v>368</v>
      </c>
    </row>
    <row r="1615" hidden="1">
      <c r="A1615" s="108"/>
      <c r="B1615" s="220"/>
      <c r="C1615" s="220" t="s">
        <v>57</v>
      </c>
      <c r="D1615" s="220" t="str">
        <f>vlookup(M1615,'Página10'!A:B,2,false)</f>
        <v>INOV00022</v>
      </c>
      <c r="E1615" s="134" t="s">
        <v>144</v>
      </c>
      <c r="F1615" s="225">
        <v>45222.0</v>
      </c>
      <c r="G1615" s="222">
        <v>0.16666666666666666</v>
      </c>
      <c r="H1615" s="134" t="s">
        <v>475</v>
      </c>
      <c r="I1615" s="223" t="s">
        <v>475</v>
      </c>
      <c r="J1615" s="223" t="b">
        <f t="shared" si="1"/>
        <v>1</v>
      </c>
      <c r="K1615" s="145" t="s">
        <v>963</v>
      </c>
      <c r="L1615" s="156"/>
      <c r="M1615" s="134" t="s">
        <v>437</v>
      </c>
      <c r="N1615" s="150">
        <f>if(and(O1615=TRUE,P1615=TRUE), VLOOKUP($E1615,PESSOAL!$B$35:$S$45,MONTH($F1615)+6,false)*G1615*24,0)</f>
        <v>214.899206</v>
      </c>
      <c r="O1615" s="117" t="b">
        <f t="shared" si="7"/>
        <v>1</v>
      </c>
      <c r="P1615" s="117" t="b">
        <v>1</v>
      </c>
      <c r="Q1615" s="117" t="s">
        <v>368</v>
      </c>
    </row>
    <row r="1616" hidden="1">
      <c r="A1616" s="108"/>
      <c r="B1616" s="220"/>
      <c r="C1616" s="220" t="s">
        <v>59</v>
      </c>
      <c r="D1616" s="220" t="str">
        <f>vlookup(M1616,'Página10'!A:B,2,false)</f>
        <v>INOV00024</v>
      </c>
      <c r="E1616" s="134" t="s">
        <v>144</v>
      </c>
      <c r="F1616" s="225">
        <v>45222.0</v>
      </c>
      <c r="G1616" s="222">
        <v>0.16666666666666666</v>
      </c>
      <c r="H1616" s="134" t="s">
        <v>475</v>
      </c>
      <c r="I1616" s="223" t="s">
        <v>475</v>
      </c>
      <c r="J1616" s="223" t="b">
        <f t="shared" si="1"/>
        <v>1</v>
      </c>
      <c r="K1616" s="145" t="s">
        <v>1506</v>
      </c>
      <c r="L1616" s="156"/>
      <c r="M1616" s="134" t="s">
        <v>439</v>
      </c>
      <c r="N1616" s="150">
        <f>if(and(O1616=TRUE,P1616=TRUE), VLOOKUP($E1616,PESSOAL!$B$35:$S$45,MONTH($F1616)+6,false)*G1616*24,0)</f>
        <v>214.899206</v>
      </c>
      <c r="O1616" s="117" t="b">
        <f t="shared" si="7"/>
        <v>1</v>
      </c>
      <c r="P1616" s="117" t="b">
        <v>1</v>
      </c>
      <c r="Q1616" s="117" t="s">
        <v>368</v>
      </c>
    </row>
    <row r="1617" hidden="1">
      <c r="A1617" s="108"/>
      <c r="B1617" s="220"/>
      <c r="C1617" s="220" t="s">
        <v>290</v>
      </c>
      <c r="D1617" s="220" t="str">
        <f>vlookup(M1617,'Página10'!A:B,2,false)</f>
        <v>INOV00001</v>
      </c>
      <c r="E1617" s="134" t="s">
        <v>144</v>
      </c>
      <c r="F1617" s="225">
        <v>45223.0</v>
      </c>
      <c r="G1617" s="222">
        <v>0.4166666666666667</v>
      </c>
      <c r="H1617" s="134" t="s">
        <v>411</v>
      </c>
      <c r="I1617" s="223" t="s">
        <v>475</v>
      </c>
      <c r="J1617" s="223" t="b">
        <f t="shared" si="1"/>
        <v>0</v>
      </c>
      <c r="K1617" s="145" t="s">
        <v>518</v>
      </c>
      <c r="L1617" s="156"/>
      <c r="M1617" s="134" t="s">
        <v>416</v>
      </c>
      <c r="N1617" s="150">
        <f>if(and(O1617=TRUE,P1617=TRUE), VLOOKUP($E1617,PESSOAL!$B$35:$S$45,MONTH($F1617)+6,false)*G1617*24,0)</f>
        <v>537.2480149</v>
      </c>
      <c r="O1617" s="117" t="b">
        <f t="shared" si="7"/>
        <v>1</v>
      </c>
      <c r="P1617" s="117" t="b">
        <v>1</v>
      </c>
      <c r="Q1617" s="117" t="s">
        <v>368</v>
      </c>
    </row>
    <row r="1618" hidden="1">
      <c r="A1618" s="108"/>
      <c r="B1618" s="220"/>
      <c r="C1618" s="220" t="s">
        <v>290</v>
      </c>
      <c r="D1618" s="220" t="str">
        <f>vlookup(M1618,'Página10'!A:B,2,false)</f>
        <v>INOV00001</v>
      </c>
      <c r="E1618" s="134" t="s">
        <v>144</v>
      </c>
      <c r="F1618" s="225">
        <v>45224.0</v>
      </c>
      <c r="G1618" s="222">
        <v>0.16666666666666666</v>
      </c>
      <c r="H1618" s="134" t="s">
        <v>411</v>
      </c>
      <c r="I1618" s="223" t="s">
        <v>475</v>
      </c>
      <c r="J1618" s="223" t="b">
        <f t="shared" si="1"/>
        <v>0</v>
      </c>
      <c r="K1618" s="145" t="s">
        <v>518</v>
      </c>
      <c r="L1618" s="156"/>
      <c r="M1618" s="134" t="s">
        <v>416</v>
      </c>
      <c r="N1618" s="150">
        <f>if(and(O1618=TRUE,P1618=TRUE), VLOOKUP($E1618,PESSOAL!$B$35:$S$45,MONTH($F1618)+6,false)*G1618*24,0)</f>
        <v>214.899206</v>
      </c>
      <c r="O1618" s="117" t="b">
        <f t="shared" si="7"/>
        <v>1</v>
      </c>
      <c r="P1618" s="117" t="b">
        <v>1</v>
      </c>
      <c r="Q1618" s="117" t="s">
        <v>368</v>
      </c>
    </row>
    <row r="1619" hidden="1">
      <c r="A1619" s="108"/>
      <c r="B1619" s="220"/>
      <c r="C1619" s="220" t="s">
        <v>57</v>
      </c>
      <c r="D1619" s="220" t="str">
        <f>vlookup(M1619,'Página10'!A:B,2,false)</f>
        <v>INOV00022</v>
      </c>
      <c r="E1619" s="134" t="s">
        <v>144</v>
      </c>
      <c r="F1619" s="225">
        <v>45224.0</v>
      </c>
      <c r="G1619" s="222">
        <v>0.16666666666666666</v>
      </c>
      <c r="H1619" s="134" t="s">
        <v>475</v>
      </c>
      <c r="I1619" s="223" t="s">
        <v>475</v>
      </c>
      <c r="J1619" s="223" t="b">
        <f t="shared" si="1"/>
        <v>1</v>
      </c>
      <c r="K1619" s="145" t="s">
        <v>963</v>
      </c>
      <c r="L1619" s="156"/>
      <c r="M1619" s="134" t="s">
        <v>437</v>
      </c>
      <c r="N1619" s="150">
        <f>if(and(O1619=TRUE,P1619=TRUE), VLOOKUP($E1619,PESSOAL!$B$35:$S$45,MONTH($F1619)+6,false)*G1619*24,0)</f>
        <v>214.899206</v>
      </c>
      <c r="O1619" s="117" t="b">
        <f t="shared" si="7"/>
        <v>1</v>
      </c>
      <c r="P1619" s="117" t="b">
        <v>1</v>
      </c>
      <c r="Q1619" s="117" t="s">
        <v>368</v>
      </c>
    </row>
    <row r="1620" hidden="1">
      <c r="A1620" s="108"/>
      <c r="B1620" s="220"/>
      <c r="C1620" s="220" t="s">
        <v>69</v>
      </c>
      <c r="D1620" s="220" t="str">
        <f>vlookup(M1620,'Página10'!A:B,2,false)</f>
        <v>INOV00041</v>
      </c>
      <c r="E1620" s="134" t="s">
        <v>144</v>
      </c>
      <c r="F1620" s="225">
        <v>45225.0</v>
      </c>
      <c r="G1620" s="222">
        <v>0.20833333333333334</v>
      </c>
      <c r="H1620" s="134" t="s">
        <v>411</v>
      </c>
      <c r="I1620" s="223" t="s">
        <v>475</v>
      </c>
      <c r="J1620" s="223" t="b">
        <f t="shared" si="1"/>
        <v>0</v>
      </c>
      <c r="K1620" s="145" t="s">
        <v>518</v>
      </c>
      <c r="L1620" s="156"/>
      <c r="M1620" s="134" t="s">
        <v>463</v>
      </c>
      <c r="N1620" s="150">
        <f>if(and(O1620=TRUE,P1620=TRUE), VLOOKUP($E1620,PESSOAL!$B$35:$S$45,MONTH($F1620)+6,false)*G1620*24,0)</f>
        <v>268.6240074</v>
      </c>
      <c r="O1620" s="117" t="b">
        <f t="shared" si="7"/>
        <v>1</v>
      </c>
      <c r="P1620" s="117" t="b">
        <v>1</v>
      </c>
      <c r="Q1620" s="117" t="s">
        <v>368</v>
      </c>
    </row>
    <row r="1621" hidden="1">
      <c r="A1621" s="108"/>
      <c r="B1621" s="220"/>
      <c r="C1621" s="220" t="s">
        <v>290</v>
      </c>
      <c r="D1621" s="220" t="str">
        <f>vlookup(M1621,'Página10'!A:B,2,false)</f>
        <v>INOV00001</v>
      </c>
      <c r="E1621" s="134" t="s">
        <v>144</v>
      </c>
      <c r="F1621" s="225">
        <v>45225.0</v>
      </c>
      <c r="G1621" s="222">
        <v>0.16666666666666666</v>
      </c>
      <c r="H1621" s="134" t="s">
        <v>411</v>
      </c>
      <c r="I1621" s="223" t="s">
        <v>475</v>
      </c>
      <c r="J1621" s="223" t="b">
        <f t="shared" si="1"/>
        <v>0</v>
      </c>
      <c r="K1621" s="145" t="s">
        <v>518</v>
      </c>
      <c r="L1621" s="156"/>
      <c r="M1621" s="134" t="s">
        <v>416</v>
      </c>
      <c r="N1621" s="150">
        <f>if(and(O1621=TRUE,P1621=TRUE), VLOOKUP($E1621,PESSOAL!$B$35:$S$45,MONTH($F1621)+6,false)*G1621*24,0)</f>
        <v>214.899206</v>
      </c>
      <c r="O1621" s="117" t="b">
        <f t="shared" si="7"/>
        <v>1</v>
      </c>
      <c r="P1621" s="117" t="b">
        <v>1</v>
      </c>
      <c r="Q1621" s="117" t="s">
        <v>368</v>
      </c>
    </row>
    <row r="1622" hidden="1">
      <c r="A1622" s="108"/>
      <c r="B1622" s="220"/>
      <c r="C1622" s="220" t="s">
        <v>290</v>
      </c>
      <c r="D1622" s="220" t="str">
        <f>vlookup(M1622,'Página10'!A:B,2,false)</f>
        <v>INOV00001</v>
      </c>
      <c r="E1622" s="134" t="s">
        <v>144</v>
      </c>
      <c r="F1622" s="225">
        <v>45226.0</v>
      </c>
      <c r="G1622" s="222">
        <v>0.20833333333333334</v>
      </c>
      <c r="H1622" s="134" t="s">
        <v>411</v>
      </c>
      <c r="I1622" s="223" t="s">
        <v>475</v>
      </c>
      <c r="J1622" s="223" t="b">
        <f t="shared" si="1"/>
        <v>0</v>
      </c>
      <c r="K1622" s="145" t="s">
        <v>518</v>
      </c>
      <c r="L1622" s="156"/>
      <c r="M1622" s="134" t="s">
        <v>416</v>
      </c>
      <c r="N1622" s="150">
        <f>if(and(O1622=TRUE,P1622=TRUE), VLOOKUP($E1622,PESSOAL!$B$35:$S$45,MONTH($F1622)+6,false)*G1622*24,0)</f>
        <v>268.6240074</v>
      </c>
      <c r="O1622" s="117" t="b">
        <f t="shared" si="7"/>
        <v>1</v>
      </c>
      <c r="P1622" s="117" t="b">
        <v>1</v>
      </c>
      <c r="Q1622" s="117" t="s">
        <v>368</v>
      </c>
    </row>
    <row r="1623" hidden="1">
      <c r="A1623" s="108"/>
      <c r="B1623" s="220"/>
      <c r="C1623" s="220" t="s">
        <v>57</v>
      </c>
      <c r="D1623" s="220" t="str">
        <f>vlookup(M1623,'Página10'!A:B,2,false)</f>
        <v>INOV00022</v>
      </c>
      <c r="E1623" s="134" t="s">
        <v>144</v>
      </c>
      <c r="F1623" s="225">
        <v>45226.0</v>
      </c>
      <c r="G1623" s="222">
        <v>0.16666666666666666</v>
      </c>
      <c r="H1623" s="134" t="s">
        <v>475</v>
      </c>
      <c r="I1623" s="223" t="s">
        <v>475</v>
      </c>
      <c r="J1623" s="223" t="b">
        <f t="shared" si="1"/>
        <v>1</v>
      </c>
      <c r="K1623" s="145" t="s">
        <v>963</v>
      </c>
      <c r="L1623" s="156"/>
      <c r="M1623" s="134" t="s">
        <v>437</v>
      </c>
      <c r="N1623" s="150">
        <f>if(and(O1623=TRUE,P1623=TRUE), VLOOKUP($E1623,PESSOAL!$B$35:$S$45,MONTH($F1623)+6,false)*G1623*24,0)</f>
        <v>214.899206</v>
      </c>
      <c r="O1623" s="117" t="b">
        <f t="shared" si="7"/>
        <v>1</v>
      </c>
      <c r="P1623" s="117" t="b">
        <v>1</v>
      </c>
      <c r="Q1623" s="117" t="s">
        <v>368</v>
      </c>
    </row>
    <row r="1624" hidden="1">
      <c r="A1624" s="108"/>
      <c r="B1624" s="220"/>
      <c r="C1624" s="220" t="s">
        <v>290</v>
      </c>
      <c r="D1624" s="220" t="str">
        <f>vlookup(M1624,'Página10'!A:B,2,false)</f>
        <v>INOV00001</v>
      </c>
      <c r="E1624" s="134" t="s">
        <v>144</v>
      </c>
      <c r="F1624" s="225">
        <v>45229.0</v>
      </c>
      <c r="G1624" s="222">
        <v>0.4166666666666667</v>
      </c>
      <c r="H1624" s="134" t="s">
        <v>411</v>
      </c>
      <c r="I1624" s="223" t="s">
        <v>475</v>
      </c>
      <c r="J1624" s="223" t="b">
        <f t="shared" si="1"/>
        <v>0</v>
      </c>
      <c r="K1624" s="145" t="s">
        <v>518</v>
      </c>
      <c r="L1624" s="156"/>
      <c r="M1624" s="134" t="s">
        <v>416</v>
      </c>
      <c r="N1624" s="150">
        <f>if(and(O1624=TRUE,P1624=TRUE), VLOOKUP($E1624,PESSOAL!$B$35:$S$45,MONTH($F1624)+6,false)*G1624*24,0)</f>
        <v>537.2480149</v>
      </c>
      <c r="O1624" s="117" t="b">
        <f t="shared" si="7"/>
        <v>1</v>
      </c>
      <c r="P1624" s="117" t="b">
        <v>1</v>
      </c>
      <c r="Q1624" s="117" t="s">
        <v>368</v>
      </c>
    </row>
    <row r="1625" hidden="1">
      <c r="A1625" s="108"/>
      <c r="B1625" s="220"/>
      <c r="C1625" s="220" t="s">
        <v>57</v>
      </c>
      <c r="D1625" s="220" t="str">
        <f>vlookup(M1625,'Página10'!A:B,2,false)</f>
        <v>INOV00022</v>
      </c>
      <c r="E1625" s="134" t="s">
        <v>144</v>
      </c>
      <c r="F1625" s="225">
        <v>45230.0</v>
      </c>
      <c r="G1625" s="222">
        <v>0.4166666666666667</v>
      </c>
      <c r="H1625" s="134" t="s">
        <v>475</v>
      </c>
      <c r="I1625" s="223" t="s">
        <v>475</v>
      </c>
      <c r="J1625" s="223" t="b">
        <f t="shared" si="1"/>
        <v>1</v>
      </c>
      <c r="K1625" s="145" t="s">
        <v>963</v>
      </c>
      <c r="L1625" s="156"/>
      <c r="M1625" s="134" t="s">
        <v>437</v>
      </c>
      <c r="N1625" s="150">
        <f>if(and(O1625=TRUE,P1625=TRUE), VLOOKUP($E1625,PESSOAL!$B$35:$S$45,MONTH($F1625)+6,false)*G1625*24,0)</f>
        <v>537.2480149</v>
      </c>
      <c r="O1625" s="117" t="b">
        <f t="shared" si="7"/>
        <v>1</v>
      </c>
      <c r="P1625" s="117" t="b">
        <v>1</v>
      </c>
      <c r="Q1625" s="117" t="s">
        <v>368</v>
      </c>
    </row>
    <row r="1626" hidden="1">
      <c r="A1626" s="108"/>
      <c r="B1626" s="220"/>
      <c r="C1626" s="220" t="s">
        <v>65</v>
      </c>
      <c r="D1626" s="220" t="str">
        <f>vlookup(M1626,'Página10'!A:B,2,false)</f>
        <v>INOV00037</v>
      </c>
      <c r="E1626" s="134" t="s">
        <v>144</v>
      </c>
      <c r="F1626" s="225">
        <v>45231.0</v>
      </c>
      <c r="G1626" s="222">
        <v>0.125</v>
      </c>
      <c r="H1626" s="134" t="s">
        <v>475</v>
      </c>
      <c r="I1626" s="223" t="s">
        <v>475</v>
      </c>
      <c r="J1626" s="223" t="b">
        <f t="shared" si="1"/>
        <v>1</v>
      </c>
      <c r="K1626" s="145" t="s">
        <v>517</v>
      </c>
      <c r="L1626" s="156"/>
      <c r="M1626" s="134" t="s">
        <v>459</v>
      </c>
      <c r="N1626" s="150">
        <f>if(and(O1626=TRUE,P1626=TRUE), VLOOKUP($E1626,PESSOAL!$B$35:$S$45,MONTH($F1626)+6,false)*G1626*24,0)</f>
        <v>169.2331247</v>
      </c>
      <c r="O1626" s="117" t="b">
        <f t="shared" si="7"/>
        <v>1</v>
      </c>
      <c r="P1626" s="117" t="b">
        <v>1</v>
      </c>
      <c r="Q1626" s="117" t="s">
        <v>368</v>
      </c>
    </row>
    <row r="1627" hidden="1">
      <c r="A1627" s="108"/>
      <c r="B1627" s="220"/>
      <c r="C1627" s="220" t="s">
        <v>57</v>
      </c>
      <c r="D1627" s="220" t="str">
        <f>vlookup(M1627,'Página10'!A:B,2,false)</f>
        <v>INOV00022</v>
      </c>
      <c r="E1627" s="134" t="s">
        <v>144</v>
      </c>
      <c r="F1627" s="225">
        <v>45231.0</v>
      </c>
      <c r="G1627" s="222">
        <v>0.125</v>
      </c>
      <c r="H1627" s="134" t="s">
        <v>475</v>
      </c>
      <c r="I1627" s="223" t="s">
        <v>475</v>
      </c>
      <c r="J1627" s="223" t="b">
        <f t="shared" si="1"/>
        <v>1</v>
      </c>
      <c r="K1627" s="145" t="s">
        <v>962</v>
      </c>
      <c r="L1627" s="156"/>
      <c r="M1627" s="134" t="s">
        <v>437</v>
      </c>
      <c r="N1627" s="150">
        <f>if(and(O1627=TRUE,P1627=TRUE), VLOOKUP($E1627,PESSOAL!$B$35:$S$45,MONTH($F1627)+6,false)*G1627*24,0)</f>
        <v>169.2331247</v>
      </c>
      <c r="O1627" s="117" t="b">
        <f t="shared" si="7"/>
        <v>1</v>
      </c>
      <c r="P1627" s="117" t="b">
        <v>1</v>
      </c>
      <c r="Q1627" s="117" t="s">
        <v>368</v>
      </c>
    </row>
    <row r="1628" hidden="1">
      <c r="A1628" s="108"/>
      <c r="B1628" s="220"/>
      <c r="C1628" s="220" t="s">
        <v>57</v>
      </c>
      <c r="D1628" s="220" t="str">
        <f>vlookup(M1628,'Página10'!A:B,2,false)</f>
        <v>INOV00022</v>
      </c>
      <c r="E1628" s="134" t="s">
        <v>144</v>
      </c>
      <c r="F1628" s="225">
        <v>45233.0</v>
      </c>
      <c r="G1628" s="222">
        <v>0.125</v>
      </c>
      <c r="H1628" s="134" t="s">
        <v>475</v>
      </c>
      <c r="I1628" s="223" t="s">
        <v>475</v>
      </c>
      <c r="J1628" s="223" t="b">
        <f t="shared" si="1"/>
        <v>1</v>
      </c>
      <c r="K1628" s="145" t="s">
        <v>962</v>
      </c>
      <c r="L1628" s="156"/>
      <c r="M1628" s="134" t="s">
        <v>437</v>
      </c>
      <c r="N1628" s="150">
        <f>if(and(O1628=TRUE,P1628=TRUE), VLOOKUP($E1628,PESSOAL!$B$35:$S$45,MONTH($F1628)+6,false)*G1628*24,0)</f>
        <v>169.2331247</v>
      </c>
      <c r="O1628" s="117" t="b">
        <f t="shared" si="7"/>
        <v>1</v>
      </c>
      <c r="P1628" s="117" t="b">
        <v>1</v>
      </c>
      <c r="Q1628" s="117" t="s">
        <v>368</v>
      </c>
    </row>
    <row r="1629" hidden="1">
      <c r="A1629" s="108"/>
      <c r="B1629" s="220"/>
      <c r="C1629" s="220" t="s">
        <v>290</v>
      </c>
      <c r="D1629" s="220" t="str">
        <f>vlookup(M1629,'Página10'!A:B,2,false)</f>
        <v>INOV00001</v>
      </c>
      <c r="E1629" s="134" t="s">
        <v>144</v>
      </c>
      <c r="F1629" s="225">
        <v>45233.0</v>
      </c>
      <c r="G1629" s="222">
        <v>0.16666666666666666</v>
      </c>
      <c r="H1629" s="134" t="s">
        <v>411</v>
      </c>
      <c r="I1629" s="223" t="s">
        <v>475</v>
      </c>
      <c r="J1629" s="223" t="b">
        <f t="shared" si="1"/>
        <v>0</v>
      </c>
      <c r="K1629" s="145" t="s">
        <v>518</v>
      </c>
      <c r="L1629" s="156"/>
      <c r="M1629" s="134" t="s">
        <v>416</v>
      </c>
      <c r="N1629" s="150">
        <f>if(and(O1629=TRUE,P1629=TRUE), VLOOKUP($E1629,PESSOAL!$B$35:$S$45,MONTH($F1629)+6,false)*G1629*24,0)</f>
        <v>225.6441663</v>
      </c>
      <c r="O1629" s="117" t="b">
        <f t="shared" si="7"/>
        <v>1</v>
      </c>
      <c r="P1629" s="117" t="b">
        <v>1</v>
      </c>
      <c r="Q1629" s="117" t="s">
        <v>368</v>
      </c>
    </row>
    <row r="1630" hidden="1">
      <c r="A1630" s="108"/>
      <c r="B1630" s="220"/>
      <c r="C1630" s="220" t="s">
        <v>59</v>
      </c>
      <c r="D1630" s="220" t="str">
        <f>vlookup(M1630,'Página10'!A:B,2,false)</f>
        <v>INOV00024</v>
      </c>
      <c r="E1630" s="134" t="s">
        <v>144</v>
      </c>
      <c r="F1630" s="225">
        <v>45236.0</v>
      </c>
      <c r="G1630" s="222">
        <v>0.08333333333333333</v>
      </c>
      <c r="H1630" s="134" t="s">
        <v>475</v>
      </c>
      <c r="I1630" s="223" t="s">
        <v>475</v>
      </c>
      <c r="J1630" s="223" t="b">
        <f t="shared" si="1"/>
        <v>1</v>
      </c>
      <c r="K1630" s="145" t="s">
        <v>519</v>
      </c>
      <c r="L1630" s="156"/>
      <c r="M1630" s="134" t="s">
        <v>439</v>
      </c>
      <c r="N1630" s="150">
        <f>if(and(O1630=TRUE,P1630=TRUE), VLOOKUP($E1630,PESSOAL!$B$35:$S$45,MONTH($F1630)+6,false)*G1630*24,0)</f>
        <v>112.8220831</v>
      </c>
      <c r="O1630" s="117" t="b">
        <f t="shared" si="7"/>
        <v>1</v>
      </c>
      <c r="P1630" s="117" t="b">
        <v>1</v>
      </c>
      <c r="Q1630" s="117" t="s">
        <v>368</v>
      </c>
    </row>
    <row r="1631" hidden="1">
      <c r="A1631" s="108"/>
      <c r="B1631" s="220"/>
      <c r="C1631" s="220" t="s">
        <v>65</v>
      </c>
      <c r="D1631" s="220" t="str">
        <f>vlookup(M1631,'Página10'!A:B,2,false)</f>
        <v>INOV00037</v>
      </c>
      <c r="E1631" s="134" t="s">
        <v>144</v>
      </c>
      <c r="F1631" s="225">
        <v>45236.0</v>
      </c>
      <c r="G1631" s="222">
        <v>0.08333333333333333</v>
      </c>
      <c r="H1631" s="134" t="s">
        <v>475</v>
      </c>
      <c r="I1631" s="223" t="s">
        <v>475</v>
      </c>
      <c r="J1631" s="223" t="b">
        <f t="shared" si="1"/>
        <v>1</v>
      </c>
      <c r="K1631" s="145" t="s">
        <v>963</v>
      </c>
      <c r="L1631" s="156"/>
      <c r="M1631" s="134" t="s">
        <v>459</v>
      </c>
      <c r="N1631" s="150">
        <f>if(and(O1631=TRUE,P1631=TRUE), VLOOKUP($E1631,PESSOAL!$B$35:$S$45,MONTH($F1631)+6,false)*G1631*24,0)</f>
        <v>112.8220831</v>
      </c>
      <c r="O1631" s="117" t="b">
        <f t="shared" si="7"/>
        <v>1</v>
      </c>
      <c r="P1631" s="117" t="b">
        <v>1</v>
      </c>
      <c r="Q1631" s="117" t="s">
        <v>368</v>
      </c>
    </row>
    <row r="1632" hidden="1">
      <c r="A1632" s="108"/>
      <c r="B1632" s="220"/>
      <c r="C1632" s="220" t="s">
        <v>67</v>
      </c>
      <c r="D1632" s="220" t="str">
        <f>vlookup(M1632,'Página10'!A:B,2,false)</f>
        <v>INOV00039</v>
      </c>
      <c r="E1632" s="134" t="s">
        <v>144</v>
      </c>
      <c r="F1632" s="225">
        <v>45236.0</v>
      </c>
      <c r="G1632" s="222">
        <v>0.125</v>
      </c>
      <c r="H1632" s="134" t="s">
        <v>475</v>
      </c>
      <c r="I1632" s="223" t="s">
        <v>475</v>
      </c>
      <c r="J1632" s="223" t="b">
        <f t="shared" si="1"/>
        <v>1</v>
      </c>
      <c r="K1632" s="145" t="s">
        <v>962</v>
      </c>
      <c r="L1632" s="156"/>
      <c r="M1632" s="134" t="s">
        <v>461</v>
      </c>
      <c r="N1632" s="150">
        <f>if(and(O1632=TRUE,P1632=TRUE), VLOOKUP($E1632,PESSOAL!$B$35:$S$45,MONTH($F1632)+6,false)*G1632*24,0)</f>
        <v>169.2331247</v>
      </c>
      <c r="O1632" s="117" t="b">
        <f t="shared" si="7"/>
        <v>1</v>
      </c>
      <c r="P1632" s="117" t="b">
        <v>1</v>
      </c>
      <c r="Q1632" s="117" t="s">
        <v>368</v>
      </c>
    </row>
    <row r="1633" hidden="1">
      <c r="A1633" s="108"/>
      <c r="B1633" s="220"/>
      <c r="C1633" s="220" t="s">
        <v>69</v>
      </c>
      <c r="D1633" s="220" t="str">
        <f>vlookup(M1633,'Página10'!A:B,2,false)</f>
        <v>INOV00041</v>
      </c>
      <c r="E1633" s="134" t="s">
        <v>144</v>
      </c>
      <c r="F1633" s="225">
        <v>45237.0</v>
      </c>
      <c r="G1633" s="222">
        <v>0.20833333333333334</v>
      </c>
      <c r="H1633" s="134" t="s">
        <v>411</v>
      </c>
      <c r="I1633" s="223" t="s">
        <v>475</v>
      </c>
      <c r="J1633" s="223" t="b">
        <f t="shared" si="1"/>
        <v>0</v>
      </c>
      <c r="K1633" s="145" t="s">
        <v>518</v>
      </c>
      <c r="L1633" s="156"/>
      <c r="M1633" s="134" t="s">
        <v>463</v>
      </c>
      <c r="N1633" s="150">
        <f>if(and(O1633=TRUE,P1633=TRUE), VLOOKUP($E1633,PESSOAL!$B$35:$S$45,MONTH($F1633)+6,false)*G1633*24,0)</f>
        <v>282.0552078</v>
      </c>
      <c r="O1633" s="117" t="b">
        <f t="shared" si="7"/>
        <v>1</v>
      </c>
      <c r="P1633" s="117" t="b">
        <v>1</v>
      </c>
      <c r="Q1633" s="117" t="s">
        <v>368</v>
      </c>
    </row>
    <row r="1634" hidden="1">
      <c r="A1634" s="108"/>
      <c r="B1634" s="220"/>
      <c r="C1634" s="220" t="s">
        <v>65</v>
      </c>
      <c r="D1634" s="220" t="str">
        <f>vlookup(M1634,'Página10'!A:B,2,false)</f>
        <v>INOV00037</v>
      </c>
      <c r="E1634" s="134" t="s">
        <v>144</v>
      </c>
      <c r="F1634" s="225">
        <v>45237.0</v>
      </c>
      <c r="G1634" s="222">
        <v>0.16666666666666666</v>
      </c>
      <c r="H1634" s="134" t="s">
        <v>475</v>
      </c>
      <c r="I1634" s="223" t="s">
        <v>475</v>
      </c>
      <c r="J1634" s="223" t="b">
        <f t="shared" si="1"/>
        <v>1</v>
      </c>
      <c r="K1634" s="145" t="s">
        <v>517</v>
      </c>
      <c r="L1634" s="156"/>
      <c r="M1634" s="134" t="s">
        <v>459</v>
      </c>
      <c r="N1634" s="150">
        <f>if(and(O1634=TRUE,P1634=TRUE), VLOOKUP($E1634,PESSOAL!$B$35:$S$45,MONTH($F1634)+6,false)*G1634*24,0)</f>
        <v>225.6441663</v>
      </c>
      <c r="O1634" s="117" t="b">
        <f t="shared" si="7"/>
        <v>1</v>
      </c>
      <c r="P1634" s="117" t="b">
        <v>1</v>
      </c>
      <c r="Q1634" s="117" t="s">
        <v>368</v>
      </c>
    </row>
    <row r="1635" hidden="1">
      <c r="A1635" s="108"/>
      <c r="B1635" s="220"/>
      <c r="C1635" s="220" t="s">
        <v>290</v>
      </c>
      <c r="D1635" s="220" t="str">
        <f>vlookup(M1635,'Página10'!A:B,2,false)</f>
        <v>INOV00001</v>
      </c>
      <c r="E1635" s="134" t="s">
        <v>144</v>
      </c>
      <c r="F1635" s="225">
        <v>45238.0</v>
      </c>
      <c r="G1635" s="222">
        <v>0.16666666666666666</v>
      </c>
      <c r="H1635" s="134" t="s">
        <v>411</v>
      </c>
      <c r="I1635" s="223" t="s">
        <v>475</v>
      </c>
      <c r="J1635" s="223" t="b">
        <f t="shared" si="1"/>
        <v>0</v>
      </c>
      <c r="K1635" s="145" t="s">
        <v>518</v>
      </c>
      <c r="L1635" s="156"/>
      <c r="M1635" s="134" t="s">
        <v>416</v>
      </c>
      <c r="N1635" s="150">
        <f>if(and(O1635=TRUE,P1635=TRUE), VLOOKUP($E1635,PESSOAL!$B$35:$S$45,MONTH($F1635)+6,false)*G1635*24,0)</f>
        <v>225.6441663</v>
      </c>
      <c r="O1635" s="117" t="b">
        <f t="shared" si="7"/>
        <v>1</v>
      </c>
      <c r="P1635" s="117" t="b">
        <v>1</v>
      </c>
      <c r="Q1635" s="117" t="s">
        <v>368</v>
      </c>
    </row>
    <row r="1636" hidden="1">
      <c r="A1636" s="108"/>
      <c r="B1636" s="220"/>
      <c r="C1636" s="220" t="s">
        <v>57</v>
      </c>
      <c r="D1636" s="220" t="str">
        <f>vlookup(M1636,'Página10'!A:B,2,false)</f>
        <v>INOV00022</v>
      </c>
      <c r="E1636" s="134" t="s">
        <v>144</v>
      </c>
      <c r="F1636" s="225">
        <v>45238.0</v>
      </c>
      <c r="G1636" s="222">
        <v>0.20833333333333334</v>
      </c>
      <c r="H1636" s="134" t="s">
        <v>475</v>
      </c>
      <c r="I1636" s="223" t="s">
        <v>475</v>
      </c>
      <c r="J1636" s="223" t="b">
        <f t="shared" si="1"/>
        <v>1</v>
      </c>
      <c r="K1636" s="145" t="s">
        <v>962</v>
      </c>
      <c r="L1636" s="156"/>
      <c r="M1636" s="134" t="s">
        <v>437</v>
      </c>
      <c r="N1636" s="150">
        <f>if(and(O1636=TRUE,P1636=TRUE), VLOOKUP($E1636,PESSOAL!$B$35:$S$45,MONTH($F1636)+6,false)*G1636*24,0)</f>
        <v>282.0552078</v>
      </c>
      <c r="O1636" s="117" t="b">
        <f t="shared" si="7"/>
        <v>1</v>
      </c>
      <c r="P1636" s="117" t="b">
        <v>1</v>
      </c>
      <c r="Q1636" s="117" t="s">
        <v>368</v>
      </c>
    </row>
    <row r="1637" hidden="1">
      <c r="A1637" s="108"/>
      <c r="B1637" s="220"/>
      <c r="C1637" s="220" t="s">
        <v>58</v>
      </c>
      <c r="D1637" s="220" t="str">
        <f>vlookup(M1637,'Página10'!A:B,2,false)</f>
        <v>INOV00023</v>
      </c>
      <c r="E1637" s="134" t="s">
        <v>144</v>
      </c>
      <c r="F1637" s="225">
        <v>45239.0</v>
      </c>
      <c r="G1637" s="222">
        <v>0.125</v>
      </c>
      <c r="H1637" s="134" t="s">
        <v>475</v>
      </c>
      <c r="I1637" s="223" t="s">
        <v>475</v>
      </c>
      <c r="J1637" s="223" t="b">
        <f t="shared" si="1"/>
        <v>1</v>
      </c>
      <c r="K1637" s="145" t="s">
        <v>962</v>
      </c>
      <c r="L1637" s="156"/>
      <c r="M1637" s="134" t="s">
        <v>438</v>
      </c>
      <c r="N1637" s="150">
        <f>if(and(O1637=TRUE,P1637=TRUE), VLOOKUP($E1637,PESSOAL!$B$35:$S$45,MONTH($F1637)+6,false)*G1637*24,0)</f>
        <v>169.2331247</v>
      </c>
      <c r="O1637" s="117" t="b">
        <f t="shared" si="7"/>
        <v>1</v>
      </c>
      <c r="P1637" s="117" t="b">
        <v>1</v>
      </c>
      <c r="Q1637" s="117" t="s">
        <v>368</v>
      </c>
    </row>
    <row r="1638" hidden="1">
      <c r="A1638" s="108"/>
      <c r="B1638" s="220"/>
      <c r="C1638" s="220" t="s">
        <v>67</v>
      </c>
      <c r="D1638" s="220" t="str">
        <f>vlookup(M1638,'Página10'!A:B,2,false)</f>
        <v>INOV00039</v>
      </c>
      <c r="E1638" s="134" t="s">
        <v>144</v>
      </c>
      <c r="F1638" s="225">
        <v>45239.0</v>
      </c>
      <c r="G1638" s="222">
        <v>0.08333333333333333</v>
      </c>
      <c r="H1638" s="134" t="s">
        <v>475</v>
      </c>
      <c r="I1638" s="223" t="s">
        <v>475</v>
      </c>
      <c r="J1638" s="223" t="b">
        <f t="shared" si="1"/>
        <v>1</v>
      </c>
      <c r="K1638" s="145" t="s">
        <v>517</v>
      </c>
      <c r="L1638" s="156"/>
      <c r="M1638" s="134" t="s">
        <v>461</v>
      </c>
      <c r="N1638" s="150">
        <f>if(and(O1638=TRUE,P1638=TRUE), VLOOKUP($E1638,PESSOAL!$B$35:$S$45,MONTH($F1638)+6,false)*G1638*24,0)</f>
        <v>112.8220831</v>
      </c>
      <c r="O1638" s="117" t="b">
        <f t="shared" si="7"/>
        <v>1</v>
      </c>
      <c r="P1638" s="117" t="b">
        <v>1</v>
      </c>
      <c r="Q1638" s="117" t="s">
        <v>368</v>
      </c>
    </row>
    <row r="1639" hidden="1">
      <c r="A1639" s="108"/>
      <c r="B1639" s="220"/>
      <c r="C1639" s="220" t="s">
        <v>69</v>
      </c>
      <c r="D1639" s="220" t="str">
        <f>vlookup(M1639,'Página10'!A:B,2,false)</f>
        <v>INOV00041</v>
      </c>
      <c r="E1639" s="134" t="s">
        <v>144</v>
      </c>
      <c r="F1639" s="225">
        <v>45239.0</v>
      </c>
      <c r="G1639" s="222">
        <v>0.08333333333333333</v>
      </c>
      <c r="H1639" s="134" t="s">
        <v>411</v>
      </c>
      <c r="I1639" s="223" t="s">
        <v>475</v>
      </c>
      <c r="J1639" s="223" t="b">
        <f t="shared" si="1"/>
        <v>0</v>
      </c>
      <c r="K1639" s="145" t="s">
        <v>1508</v>
      </c>
      <c r="L1639" s="156"/>
      <c r="M1639" s="134" t="s">
        <v>463</v>
      </c>
      <c r="N1639" s="150">
        <f>if(and(O1639=TRUE,P1639=TRUE), VLOOKUP($E1639,PESSOAL!$B$35:$S$45,MONTH($F1639)+6,false)*G1639*24,0)</f>
        <v>112.8220831</v>
      </c>
      <c r="O1639" s="117" t="b">
        <f t="shared" si="7"/>
        <v>1</v>
      </c>
      <c r="P1639" s="117" t="b">
        <v>1</v>
      </c>
      <c r="Q1639" s="117" t="s">
        <v>368</v>
      </c>
    </row>
    <row r="1640" hidden="1">
      <c r="A1640" s="108"/>
      <c r="B1640" s="220"/>
      <c r="C1640" s="220" t="s">
        <v>290</v>
      </c>
      <c r="D1640" s="220" t="str">
        <f>vlookup(M1640,'Página10'!A:B,2,false)</f>
        <v>INOV00001</v>
      </c>
      <c r="E1640" s="134" t="s">
        <v>144</v>
      </c>
      <c r="F1640" s="225">
        <v>45240.0</v>
      </c>
      <c r="G1640" s="222">
        <v>0.16666666666666666</v>
      </c>
      <c r="H1640" s="134" t="s">
        <v>411</v>
      </c>
      <c r="I1640" s="223" t="s">
        <v>475</v>
      </c>
      <c r="J1640" s="223" t="b">
        <f t="shared" si="1"/>
        <v>0</v>
      </c>
      <c r="K1640" s="145" t="s">
        <v>518</v>
      </c>
      <c r="L1640" s="156"/>
      <c r="M1640" s="134" t="s">
        <v>416</v>
      </c>
      <c r="N1640" s="150">
        <f>if(and(O1640=TRUE,P1640=TRUE), VLOOKUP($E1640,PESSOAL!$B$35:$S$45,MONTH($F1640)+6,false)*G1640*24,0)</f>
        <v>225.6441663</v>
      </c>
      <c r="O1640" s="117" t="b">
        <f t="shared" si="7"/>
        <v>1</v>
      </c>
      <c r="P1640" s="117" t="b">
        <v>1</v>
      </c>
      <c r="Q1640" s="117" t="s">
        <v>368</v>
      </c>
    </row>
    <row r="1641" hidden="1">
      <c r="A1641" s="108"/>
      <c r="B1641" s="220"/>
      <c r="C1641" s="220" t="s">
        <v>69</v>
      </c>
      <c r="D1641" s="220" t="str">
        <f>vlookup(M1641,'Página10'!A:B,2,false)</f>
        <v>INOV00041</v>
      </c>
      <c r="E1641" s="134" t="s">
        <v>144</v>
      </c>
      <c r="F1641" s="225">
        <v>45240.0</v>
      </c>
      <c r="G1641" s="222">
        <v>0.16666666666666666</v>
      </c>
      <c r="H1641" s="134" t="s">
        <v>411</v>
      </c>
      <c r="I1641" s="223" t="s">
        <v>475</v>
      </c>
      <c r="J1641" s="223" t="b">
        <f t="shared" si="1"/>
        <v>0</v>
      </c>
      <c r="K1641" s="145" t="s">
        <v>518</v>
      </c>
      <c r="L1641" s="156"/>
      <c r="M1641" s="134" t="s">
        <v>463</v>
      </c>
      <c r="N1641" s="150">
        <f>if(and(O1641=TRUE,P1641=TRUE), VLOOKUP($E1641,PESSOAL!$B$35:$S$45,MONTH($F1641)+6,false)*G1641*24,0)</f>
        <v>225.6441663</v>
      </c>
      <c r="O1641" s="117" t="b">
        <f t="shared" si="7"/>
        <v>1</v>
      </c>
      <c r="P1641" s="117" t="b">
        <v>1</v>
      </c>
      <c r="Q1641" s="117" t="s">
        <v>368</v>
      </c>
    </row>
    <row r="1642" hidden="1">
      <c r="A1642" s="108"/>
      <c r="B1642" s="220"/>
      <c r="C1642" s="220" t="s">
        <v>57</v>
      </c>
      <c r="D1642" s="220" t="str">
        <f>vlookup(M1642,'Página10'!A:B,2,false)</f>
        <v>INOV00022</v>
      </c>
      <c r="E1642" s="134" t="s">
        <v>144</v>
      </c>
      <c r="F1642" s="225">
        <v>45243.0</v>
      </c>
      <c r="G1642" s="222">
        <v>0.20833333333333334</v>
      </c>
      <c r="H1642" s="134" t="s">
        <v>475</v>
      </c>
      <c r="I1642" s="223" t="s">
        <v>475</v>
      </c>
      <c r="J1642" s="223" t="b">
        <f t="shared" si="1"/>
        <v>1</v>
      </c>
      <c r="K1642" s="145" t="s">
        <v>517</v>
      </c>
      <c r="L1642" s="156"/>
      <c r="M1642" s="134" t="s">
        <v>437</v>
      </c>
      <c r="N1642" s="150">
        <f>if(and(O1642=TRUE,P1642=TRUE), VLOOKUP($E1642,PESSOAL!$B$35:$S$45,MONTH($F1642)+6,false)*G1642*24,0)</f>
        <v>282.0552078</v>
      </c>
      <c r="O1642" s="117" t="b">
        <f t="shared" si="7"/>
        <v>1</v>
      </c>
      <c r="P1642" s="117" t="b">
        <v>1</v>
      </c>
      <c r="Q1642" s="117" t="s">
        <v>368</v>
      </c>
    </row>
    <row r="1643" hidden="1">
      <c r="A1643" s="108"/>
      <c r="B1643" s="220"/>
      <c r="C1643" s="220" t="s">
        <v>65</v>
      </c>
      <c r="D1643" s="220" t="str">
        <f>vlookup(M1643,'Página10'!A:B,2,false)</f>
        <v>INOV00037</v>
      </c>
      <c r="E1643" s="134" t="s">
        <v>144</v>
      </c>
      <c r="F1643" s="225">
        <v>45243.0</v>
      </c>
      <c r="G1643" s="222">
        <v>0.08333333333333333</v>
      </c>
      <c r="H1643" s="134" t="s">
        <v>475</v>
      </c>
      <c r="I1643" s="223" t="s">
        <v>475</v>
      </c>
      <c r="J1643" s="223" t="b">
        <f t="shared" si="1"/>
        <v>1</v>
      </c>
      <c r="K1643" s="145" t="s">
        <v>962</v>
      </c>
      <c r="L1643" s="156"/>
      <c r="M1643" s="134" t="s">
        <v>459</v>
      </c>
      <c r="N1643" s="150">
        <f>if(and(O1643=TRUE,P1643=TRUE), VLOOKUP($E1643,PESSOAL!$B$35:$S$45,MONTH($F1643)+6,false)*G1643*24,0)</f>
        <v>112.8220831</v>
      </c>
      <c r="O1643" s="117" t="b">
        <f t="shared" si="7"/>
        <v>1</v>
      </c>
      <c r="P1643" s="117" t="b">
        <v>1</v>
      </c>
      <c r="Q1643" s="117" t="s">
        <v>368</v>
      </c>
    </row>
    <row r="1644" hidden="1">
      <c r="A1644" s="108"/>
      <c r="B1644" s="220"/>
      <c r="C1644" s="220" t="s">
        <v>58</v>
      </c>
      <c r="D1644" s="220" t="str">
        <f>vlookup(M1644,'Página10'!A:B,2,false)</f>
        <v>INOV00023</v>
      </c>
      <c r="E1644" s="134" t="s">
        <v>144</v>
      </c>
      <c r="F1644" s="225">
        <v>45243.0</v>
      </c>
      <c r="G1644" s="222">
        <v>0.08333333333333333</v>
      </c>
      <c r="H1644" s="134" t="s">
        <v>475</v>
      </c>
      <c r="I1644" s="223" t="s">
        <v>475</v>
      </c>
      <c r="J1644" s="223" t="b">
        <f t="shared" si="1"/>
        <v>1</v>
      </c>
      <c r="K1644" s="145" t="s">
        <v>962</v>
      </c>
      <c r="L1644" s="156"/>
      <c r="M1644" s="134" t="s">
        <v>438</v>
      </c>
      <c r="N1644" s="150">
        <f>if(and(O1644=TRUE,P1644=TRUE), VLOOKUP($E1644,PESSOAL!$B$35:$S$45,MONTH($F1644)+6,false)*G1644*24,0)</f>
        <v>112.8220831</v>
      </c>
      <c r="O1644" s="117" t="b">
        <f t="shared" si="7"/>
        <v>1</v>
      </c>
      <c r="P1644" s="117" t="b">
        <v>1</v>
      </c>
      <c r="Q1644" s="117" t="s">
        <v>368</v>
      </c>
    </row>
    <row r="1645" hidden="1">
      <c r="A1645" s="108"/>
      <c r="B1645" s="220"/>
      <c r="C1645" s="220" t="s">
        <v>57</v>
      </c>
      <c r="D1645" s="220" t="str">
        <f>vlookup(M1645,'Página10'!A:B,2,false)</f>
        <v>INOV00022</v>
      </c>
      <c r="E1645" s="134" t="s">
        <v>144</v>
      </c>
      <c r="F1645" s="225">
        <v>45244.0</v>
      </c>
      <c r="G1645" s="222">
        <v>0.16666666666666666</v>
      </c>
      <c r="H1645" s="134" t="s">
        <v>475</v>
      </c>
      <c r="I1645" s="223" t="s">
        <v>475</v>
      </c>
      <c r="J1645" s="223" t="b">
        <f t="shared" si="1"/>
        <v>1</v>
      </c>
      <c r="K1645" s="145" t="s">
        <v>517</v>
      </c>
      <c r="L1645" s="156"/>
      <c r="M1645" s="134" t="s">
        <v>437</v>
      </c>
      <c r="N1645" s="150">
        <f>if(and(O1645=TRUE,P1645=TRUE), VLOOKUP($E1645,PESSOAL!$B$35:$S$45,MONTH($F1645)+6,false)*G1645*24,0)</f>
        <v>225.6441663</v>
      </c>
      <c r="O1645" s="117" t="b">
        <f t="shared" si="7"/>
        <v>1</v>
      </c>
      <c r="P1645" s="117" t="b">
        <v>1</v>
      </c>
      <c r="Q1645" s="117" t="s">
        <v>368</v>
      </c>
    </row>
    <row r="1646" hidden="1">
      <c r="A1646" s="108"/>
      <c r="B1646" s="220"/>
      <c r="C1646" s="220" t="s">
        <v>290</v>
      </c>
      <c r="D1646" s="220" t="str">
        <f>vlookup(M1646,'Página10'!A:B,2,false)</f>
        <v>INOV00001</v>
      </c>
      <c r="E1646" s="134" t="s">
        <v>144</v>
      </c>
      <c r="F1646" s="225">
        <v>45244.0</v>
      </c>
      <c r="G1646" s="222">
        <v>0.125</v>
      </c>
      <c r="H1646" s="134" t="s">
        <v>411</v>
      </c>
      <c r="I1646" s="223" t="s">
        <v>475</v>
      </c>
      <c r="J1646" s="223" t="b">
        <f t="shared" si="1"/>
        <v>0</v>
      </c>
      <c r="K1646" s="145" t="s">
        <v>518</v>
      </c>
      <c r="L1646" s="156"/>
      <c r="M1646" s="134" t="s">
        <v>416</v>
      </c>
      <c r="N1646" s="150">
        <f>if(and(O1646=TRUE,P1646=TRUE), VLOOKUP($E1646,PESSOAL!$B$35:$S$45,MONTH($F1646)+6,false)*G1646*24,0)</f>
        <v>169.2331247</v>
      </c>
      <c r="O1646" s="117" t="b">
        <f t="shared" si="7"/>
        <v>1</v>
      </c>
      <c r="P1646" s="117" t="b">
        <v>1</v>
      </c>
      <c r="Q1646" s="117" t="s">
        <v>368</v>
      </c>
    </row>
    <row r="1647" hidden="1">
      <c r="A1647" s="108"/>
      <c r="B1647" s="220"/>
      <c r="C1647" s="220" t="s">
        <v>57</v>
      </c>
      <c r="D1647" s="220" t="str">
        <f>vlookup(M1647,'Página10'!A:B,2,false)</f>
        <v>INOV00022</v>
      </c>
      <c r="E1647" s="134" t="s">
        <v>144</v>
      </c>
      <c r="F1647" s="225">
        <v>45246.0</v>
      </c>
      <c r="G1647" s="222">
        <v>0.25</v>
      </c>
      <c r="H1647" s="134" t="s">
        <v>475</v>
      </c>
      <c r="I1647" s="223" t="s">
        <v>475</v>
      </c>
      <c r="J1647" s="223" t="b">
        <f t="shared" si="1"/>
        <v>1</v>
      </c>
      <c r="K1647" s="145" t="s">
        <v>517</v>
      </c>
      <c r="L1647" s="156"/>
      <c r="M1647" s="134" t="s">
        <v>437</v>
      </c>
      <c r="N1647" s="150">
        <f>if(and(O1647=TRUE,P1647=TRUE), VLOOKUP($E1647,PESSOAL!$B$35:$S$45,MONTH($F1647)+6,false)*G1647*24,0)</f>
        <v>338.4662494</v>
      </c>
      <c r="O1647" s="117" t="b">
        <f t="shared" si="7"/>
        <v>1</v>
      </c>
      <c r="P1647" s="117" t="b">
        <v>1</v>
      </c>
      <c r="Q1647" s="117" t="s">
        <v>368</v>
      </c>
    </row>
    <row r="1648" hidden="1">
      <c r="A1648" s="108"/>
      <c r="B1648" s="220"/>
      <c r="C1648" s="220" t="s">
        <v>65</v>
      </c>
      <c r="D1648" s="220" t="str">
        <f>vlookup(M1648,'Página10'!A:B,2,false)</f>
        <v>INOV00037</v>
      </c>
      <c r="E1648" s="134" t="s">
        <v>144</v>
      </c>
      <c r="F1648" s="225">
        <v>45246.0</v>
      </c>
      <c r="G1648" s="222">
        <v>0.125</v>
      </c>
      <c r="H1648" s="134" t="s">
        <v>475</v>
      </c>
      <c r="I1648" s="223" t="s">
        <v>475</v>
      </c>
      <c r="J1648" s="223" t="b">
        <f t="shared" si="1"/>
        <v>1</v>
      </c>
      <c r="K1648" s="145" t="s">
        <v>962</v>
      </c>
      <c r="L1648" s="156"/>
      <c r="M1648" s="134" t="s">
        <v>459</v>
      </c>
      <c r="N1648" s="150">
        <f>if(and(O1648=TRUE,P1648=TRUE), VLOOKUP($E1648,PESSOAL!$B$35:$S$45,MONTH($F1648)+6,false)*G1648*24,0)</f>
        <v>169.2331247</v>
      </c>
      <c r="O1648" s="117" t="b">
        <f t="shared" si="7"/>
        <v>1</v>
      </c>
      <c r="P1648" s="117" t="b">
        <v>1</v>
      </c>
      <c r="Q1648" s="117" t="s">
        <v>368</v>
      </c>
    </row>
    <row r="1649" hidden="1">
      <c r="A1649" s="108"/>
      <c r="B1649" s="220"/>
      <c r="C1649" s="220" t="s">
        <v>67</v>
      </c>
      <c r="D1649" s="220" t="str">
        <f>vlookup(M1649,'Página10'!A:B,2,false)</f>
        <v>INOV00039</v>
      </c>
      <c r="E1649" s="134" t="s">
        <v>144</v>
      </c>
      <c r="F1649" s="225">
        <v>45247.0</v>
      </c>
      <c r="G1649" s="222">
        <v>0.125</v>
      </c>
      <c r="H1649" s="134" t="s">
        <v>475</v>
      </c>
      <c r="I1649" s="223" t="s">
        <v>475</v>
      </c>
      <c r="J1649" s="223" t="b">
        <f t="shared" si="1"/>
        <v>1</v>
      </c>
      <c r="K1649" s="145" t="s">
        <v>517</v>
      </c>
      <c r="L1649" s="156"/>
      <c r="M1649" s="134" t="s">
        <v>461</v>
      </c>
      <c r="N1649" s="150">
        <f>if(and(O1649=TRUE,P1649=TRUE), VLOOKUP($E1649,PESSOAL!$B$35:$S$45,MONTH($F1649)+6,false)*G1649*24,0)</f>
        <v>169.2331247</v>
      </c>
      <c r="O1649" s="117" t="b">
        <f t="shared" si="7"/>
        <v>1</v>
      </c>
      <c r="P1649" s="117" t="b">
        <v>1</v>
      </c>
      <c r="Q1649" s="117" t="s">
        <v>368</v>
      </c>
    </row>
    <row r="1650" hidden="1">
      <c r="A1650" s="108"/>
      <c r="B1650" s="220"/>
      <c r="C1650" s="220" t="s">
        <v>59</v>
      </c>
      <c r="D1650" s="220" t="str">
        <f>vlookup(M1650,'Página10'!A:B,2,false)</f>
        <v>INOV00024</v>
      </c>
      <c r="E1650" s="134" t="s">
        <v>144</v>
      </c>
      <c r="F1650" s="225">
        <v>45247.0</v>
      </c>
      <c r="G1650" s="222">
        <v>0.16666666666666666</v>
      </c>
      <c r="H1650" s="134" t="s">
        <v>475</v>
      </c>
      <c r="I1650" s="223" t="s">
        <v>475</v>
      </c>
      <c r="J1650" s="223" t="b">
        <f t="shared" si="1"/>
        <v>1</v>
      </c>
      <c r="K1650" s="145" t="s">
        <v>962</v>
      </c>
      <c r="L1650" s="156"/>
      <c r="M1650" s="134" t="s">
        <v>439</v>
      </c>
      <c r="N1650" s="150">
        <f>if(and(O1650=TRUE,P1650=TRUE), VLOOKUP($E1650,PESSOAL!$B$35:$S$45,MONTH($F1650)+6,false)*G1650*24,0)</f>
        <v>225.6441663</v>
      </c>
      <c r="O1650" s="117" t="b">
        <f t="shared" si="7"/>
        <v>1</v>
      </c>
      <c r="P1650" s="117" t="b">
        <v>1</v>
      </c>
      <c r="Q1650" s="117" t="s">
        <v>368</v>
      </c>
    </row>
    <row r="1651" hidden="1">
      <c r="A1651" s="108"/>
      <c r="B1651" s="220"/>
      <c r="C1651" s="220" t="s">
        <v>67</v>
      </c>
      <c r="D1651" s="220" t="str">
        <f>vlookup(M1651,'Página10'!A:B,2,false)</f>
        <v>INOV00039</v>
      </c>
      <c r="E1651" s="134" t="s">
        <v>144</v>
      </c>
      <c r="F1651" s="225">
        <v>45271.0</v>
      </c>
      <c r="G1651" s="222">
        <v>0.125</v>
      </c>
      <c r="H1651" s="134" t="s">
        <v>475</v>
      </c>
      <c r="I1651" s="223" t="s">
        <v>475</v>
      </c>
      <c r="J1651" s="223" t="b">
        <f t="shared" si="1"/>
        <v>1</v>
      </c>
      <c r="K1651" s="145" t="s">
        <v>963</v>
      </c>
      <c r="L1651" s="156"/>
      <c r="M1651" s="134" t="s">
        <v>461</v>
      </c>
      <c r="N1651" s="150">
        <f>if(and(O1651=TRUE,P1651=TRUE), VLOOKUP($E1651,PESSOAL!$B$35:$S$45,MONTH($F1651)+6,false)*G1651*24,0)</f>
        <v>161.1744045</v>
      </c>
      <c r="O1651" s="117" t="b">
        <f t="shared" si="7"/>
        <v>1</v>
      </c>
      <c r="P1651" s="117" t="b">
        <v>1</v>
      </c>
      <c r="Q1651" s="117" t="s">
        <v>368</v>
      </c>
    </row>
    <row r="1652" hidden="1">
      <c r="A1652" s="108"/>
      <c r="B1652" s="220"/>
      <c r="C1652" s="220" t="s">
        <v>65</v>
      </c>
      <c r="D1652" s="220" t="str">
        <f>vlookup(M1652,'Página10'!A:B,2,false)</f>
        <v>INOV00037</v>
      </c>
      <c r="E1652" s="134" t="s">
        <v>144</v>
      </c>
      <c r="F1652" s="225">
        <v>45271.0</v>
      </c>
      <c r="G1652" s="222">
        <v>0.16666666666666666</v>
      </c>
      <c r="H1652" s="134" t="s">
        <v>475</v>
      </c>
      <c r="I1652" s="223" t="s">
        <v>475</v>
      </c>
      <c r="J1652" s="223" t="b">
        <f t="shared" si="1"/>
        <v>1</v>
      </c>
      <c r="K1652" s="145" t="s">
        <v>962</v>
      </c>
      <c r="L1652" s="156"/>
      <c r="M1652" s="134" t="s">
        <v>459</v>
      </c>
      <c r="N1652" s="150">
        <f>if(and(O1652=TRUE,P1652=TRUE), VLOOKUP($E1652,PESSOAL!$B$35:$S$45,MONTH($F1652)+6,false)*G1652*24,0)</f>
        <v>214.899206</v>
      </c>
      <c r="O1652" s="117" t="b">
        <f t="shared" si="7"/>
        <v>1</v>
      </c>
      <c r="P1652" s="117" t="b">
        <v>1</v>
      </c>
      <c r="Q1652" s="117" t="s">
        <v>368</v>
      </c>
    </row>
    <row r="1653" hidden="1">
      <c r="A1653" s="108"/>
      <c r="B1653" s="220"/>
      <c r="C1653" s="220" t="s">
        <v>65</v>
      </c>
      <c r="D1653" s="220" t="str">
        <f>vlookup(M1653,'Página10'!A:B,2,false)</f>
        <v>INOV00037</v>
      </c>
      <c r="E1653" s="134" t="s">
        <v>144</v>
      </c>
      <c r="F1653" s="225">
        <v>45272.0</v>
      </c>
      <c r="G1653" s="222">
        <v>0.16666666666666666</v>
      </c>
      <c r="H1653" s="134" t="s">
        <v>475</v>
      </c>
      <c r="I1653" s="223" t="s">
        <v>475</v>
      </c>
      <c r="J1653" s="223" t="b">
        <f t="shared" si="1"/>
        <v>1</v>
      </c>
      <c r="K1653" s="145" t="s">
        <v>962</v>
      </c>
      <c r="L1653" s="156"/>
      <c r="M1653" s="134" t="s">
        <v>459</v>
      </c>
      <c r="N1653" s="150">
        <f>if(and(O1653=TRUE,P1653=TRUE), VLOOKUP($E1653,PESSOAL!$B$35:$S$45,MONTH($F1653)+6,false)*G1653*24,0)</f>
        <v>214.899206</v>
      </c>
      <c r="O1653" s="117" t="b">
        <f t="shared" si="7"/>
        <v>1</v>
      </c>
      <c r="P1653" s="117" t="b">
        <v>1</v>
      </c>
      <c r="Q1653" s="117" t="s">
        <v>368</v>
      </c>
    </row>
    <row r="1654" hidden="1">
      <c r="A1654" s="108"/>
      <c r="B1654" s="220"/>
      <c r="C1654" s="220" t="s">
        <v>290</v>
      </c>
      <c r="D1654" s="220" t="str">
        <f>vlookup(M1654,'Página10'!A:B,2,false)</f>
        <v>INOV00001</v>
      </c>
      <c r="E1654" s="134" t="s">
        <v>144</v>
      </c>
      <c r="F1654" s="225">
        <v>45272.0</v>
      </c>
      <c r="G1654" s="222">
        <v>0.16666666666666666</v>
      </c>
      <c r="H1654" s="134" t="s">
        <v>411</v>
      </c>
      <c r="I1654" s="223" t="s">
        <v>475</v>
      </c>
      <c r="J1654" s="223" t="b">
        <f t="shared" si="1"/>
        <v>0</v>
      </c>
      <c r="K1654" s="145" t="s">
        <v>518</v>
      </c>
      <c r="L1654" s="156"/>
      <c r="M1654" s="134" t="s">
        <v>416</v>
      </c>
      <c r="N1654" s="150">
        <f>if(and(O1654=TRUE,P1654=TRUE), VLOOKUP($E1654,PESSOAL!$B$35:$S$45,MONTH($F1654)+6,false)*G1654*24,0)</f>
        <v>214.899206</v>
      </c>
      <c r="O1654" s="117" t="b">
        <f t="shared" si="7"/>
        <v>1</v>
      </c>
      <c r="P1654" s="117" t="b">
        <v>1</v>
      </c>
      <c r="Q1654" s="117" t="s">
        <v>368</v>
      </c>
    </row>
    <row r="1655" hidden="1">
      <c r="A1655" s="108"/>
      <c r="B1655" s="220"/>
      <c r="C1655" s="220" t="s">
        <v>58</v>
      </c>
      <c r="D1655" s="220" t="str">
        <f>vlookup(M1655,'Página10'!A:B,2,false)</f>
        <v>INOV00023</v>
      </c>
      <c r="E1655" s="134" t="s">
        <v>144</v>
      </c>
      <c r="F1655" s="225">
        <v>45273.0</v>
      </c>
      <c r="G1655" s="222">
        <v>0.125</v>
      </c>
      <c r="H1655" s="134" t="s">
        <v>475</v>
      </c>
      <c r="I1655" s="223" t="s">
        <v>475</v>
      </c>
      <c r="J1655" s="223" t="b">
        <f t="shared" si="1"/>
        <v>1</v>
      </c>
      <c r="K1655" s="145" t="s">
        <v>963</v>
      </c>
      <c r="L1655" s="156"/>
      <c r="M1655" s="134" t="s">
        <v>438</v>
      </c>
      <c r="N1655" s="150">
        <f>if(and(O1655=TRUE,P1655=TRUE), VLOOKUP($E1655,PESSOAL!$B$35:$S$45,MONTH($F1655)+6,false)*G1655*24,0)</f>
        <v>161.1744045</v>
      </c>
      <c r="O1655" s="117" t="b">
        <f t="shared" si="7"/>
        <v>1</v>
      </c>
      <c r="P1655" s="117" t="b">
        <v>1</v>
      </c>
      <c r="Q1655" s="117" t="s">
        <v>368</v>
      </c>
    </row>
    <row r="1656" hidden="1">
      <c r="A1656" s="108"/>
      <c r="B1656" s="220"/>
      <c r="C1656" s="220" t="s">
        <v>290</v>
      </c>
      <c r="D1656" s="220" t="str">
        <f>vlookup(M1656,'Página10'!A:B,2,false)</f>
        <v>INOV00001</v>
      </c>
      <c r="E1656" s="134" t="s">
        <v>144</v>
      </c>
      <c r="F1656" s="225">
        <v>45273.0</v>
      </c>
      <c r="G1656" s="222">
        <v>0.125</v>
      </c>
      <c r="H1656" s="134" t="s">
        <v>411</v>
      </c>
      <c r="I1656" s="223" t="s">
        <v>475</v>
      </c>
      <c r="J1656" s="223" t="b">
        <f t="shared" si="1"/>
        <v>0</v>
      </c>
      <c r="K1656" s="145" t="s">
        <v>518</v>
      </c>
      <c r="L1656" s="156"/>
      <c r="M1656" s="134" t="s">
        <v>416</v>
      </c>
      <c r="N1656" s="150">
        <f>if(and(O1656=TRUE,P1656=TRUE), VLOOKUP($E1656,PESSOAL!$B$35:$S$45,MONTH($F1656)+6,false)*G1656*24,0)</f>
        <v>161.1744045</v>
      </c>
      <c r="O1656" s="117" t="b">
        <f t="shared" si="7"/>
        <v>1</v>
      </c>
      <c r="P1656" s="117" t="b">
        <v>1</v>
      </c>
      <c r="Q1656" s="117" t="s">
        <v>368</v>
      </c>
    </row>
    <row r="1657" hidden="1">
      <c r="A1657" s="108"/>
      <c r="B1657" s="220"/>
      <c r="C1657" s="220" t="s">
        <v>65</v>
      </c>
      <c r="D1657" s="220" t="str">
        <f>vlookup(M1657,'Página10'!A:B,2,false)</f>
        <v>INOV00037</v>
      </c>
      <c r="E1657" s="134" t="s">
        <v>144</v>
      </c>
      <c r="F1657" s="225">
        <v>45274.0</v>
      </c>
      <c r="G1657" s="222">
        <v>0.16666666666666666</v>
      </c>
      <c r="H1657" s="134" t="s">
        <v>475</v>
      </c>
      <c r="I1657" s="223" t="s">
        <v>475</v>
      </c>
      <c r="J1657" s="223" t="b">
        <f t="shared" si="1"/>
        <v>1</v>
      </c>
      <c r="K1657" s="145" t="s">
        <v>963</v>
      </c>
      <c r="L1657" s="156"/>
      <c r="M1657" s="134" t="s">
        <v>459</v>
      </c>
      <c r="N1657" s="150">
        <f>if(and(O1657=TRUE,P1657=TRUE), VLOOKUP($E1657,PESSOAL!$B$35:$S$45,MONTH($F1657)+6,false)*G1657*24,0)</f>
        <v>214.899206</v>
      </c>
      <c r="O1657" s="117" t="b">
        <f t="shared" si="7"/>
        <v>1</v>
      </c>
      <c r="P1657" s="117" t="b">
        <v>1</v>
      </c>
      <c r="Q1657" s="117" t="s">
        <v>368</v>
      </c>
    </row>
    <row r="1658" hidden="1">
      <c r="A1658" s="108"/>
      <c r="B1658" s="220"/>
      <c r="C1658" s="220" t="s">
        <v>57</v>
      </c>
      <c r="D1658" s="220" t="str">
        <f>vlookup(M1658,'Página10'!A:B,2,false)</f>
        <v>INOV00022</v>
      </c>
      <c r="E1658" s="134" t="s">
        <v>144</v>
      </c>
      <c r="F1658" s="225">
        <v>45274.0</v>
      </c>
      <c r="G1658" s="222">
        <v>0.16666666666666666</v>
      </c>
      <c r="H1658" s="134" t="s">
        <v>475</v>
      </c>
      <c r="I1658" s="223" t="s">
        <v>475</v>
      </c>
      <c r="J1658" s="223" t="b">
        <f t="shared" si="1"/>
        <v>1</v>
      </c>
      <c r="K1658" s="145" t="s">
        <v>962</v>
      </c>
      <c r="L1658" s="156"/>
      <c r="M1658" s="134" t="s">
        <v>437</v>
      </c>
      <c r="N1658" s="150">
        <f>if(and(O1658=TRUE,P1658=TRUE), VLOOKUP($E1658,PESSOAL!$B$35:$S$45,MONTH($F1658)+6,false)*G1658*24,0)</f>
        <v>214.899206</v>
      </c>
      <c r="O1658" s="117" t="b">
        <f t="shared" si="7"/>
        <v>1</v>
      </c>
      <c r="P1658" s="117" t="b">
        <v>1</v>
      </c>
      <c r="Q1658" s="117" t="s">
        <v>368</v>
      </c>
    </row>
    <row r="1659" hidden="1">
      <c r="A1659" s="108"/>
      <c r="B1659" s="220"/>
      <c r="C1659" s="220" t="s">
        <v>58</v>
      </c>
      <c r="D1659" s="220" t="str">
        <f>vlookup(M1659,'Página10'!A:B,2,false)</f>
        <v>INOV00023</v>
      </c>
      <c r="E1659" s="134" t="s">
        <v>144</v>
      </c>
      <c r="F1659" s="225">
        <v>45275.0</v>
      </c>
      <c r="G1659" s="222">
        <v>0.125</v>
      </c>
      <c r="H1659" s="134" t="s">
        <v>475</v>
      </c>
      <c r="I1659" s="223" t="s">
        <v>475</v>
      </c>
      <c r="J1659" s="223" t="b">
        <f t="shared" si="1"/>
        <v>1</v>
      </c>
      <c r="K1659" s="145" t="s">
        <v>963</v>
      </c>
      <c r="L1659" s="156"/>
      <c r="M1659" s="134" t="s">
        <v>438</v>
      </c>
      <c r="N1659" s="150">
        <f>if(and(O1659=TRUE,P1659=TRUE), VLOOKUP($E1659,PESSOAL!$B$35:$S$45,MONTH($F1659)+6,false)*G1659*24,0)</f>
        <v>161.1744045</v>
      </c>
      <c r="O1659" s="117" t="b">
        <f t="shared" si="7"/>
        <v>1</v>
      </c>
      <c r="P1659" s="117" t="b">
        <v>1</v>
      </c>
      <c r="Q1659" s="117" t="s">
        <v>368</v>
      </c>
    </row>
    <row r="1660" hidden="1">
      <c r="A1660" s="108"/>
      <c r="B1660" s="220"/>
      <c r="C1660" s="220" t="s">
        <v>57</v>
      </c>
      <c r="D1660" s="220" t="str">
        <f>vlookup(M1660,'Página10'!A:B,2,false)</f>
        <v>INOV00022</v>
      </c>
      <c r="E1660" s="134" t="s">
        <v>144</v>
      </c>
      <c r="F1660" s="225">
        <v>45275.0</v>
      </c>
      <c r="G1660" s="222">
        <v>0.16666666666666666</v>
      </c>
      <c r="H1660" s="134" t="s">
        <v>475</v>
      </c>
      <c r="I1660" s="223" t="s">
        <v>475</v>
      </c>
      <c r="J1660" s="223" t="b">
        <f t="shared" si="1"/>
        <v>1</v>
      </c>
      <c r="K1660" s="145" t="s">
        <v>517</v>
      </c>
      <c r="L1660" s="156"/>
      <c r="M1660" s="134" t="s">
        <v>437</v>
      </c>
      <c r="N1660" s="150">
        <f>if(and(O1660=TRUE,P1660=TRUE), VLOOKUP($E1660,PESSOAL!$B$35:$S$45,MONTH($F1660)+6,false)*G1660*24,0)</f>
        <v>214.899206</v>
      </c>
      <c r="O1660" s="117" t="b">
        <f t="shared" si="7"/>
        <v>1</v>
      </c>
      <c r="P1660" s="117" t="b">
        <v>1</v>
      </c>
      <c r="Q1660" s="117" t="s">
        <v>368</v>
      </c>
    </row>
    <row r="1661" hidden="1">
      <c r="A1661" s="108"/>
      <c r="B1661" s="220"/>
      <c r="C1661" s="220" t="s">
        <v>59</v>
      </c>
      <c r="D1661" s="220" t="str">
        <f>vlookup(M1661,'Página10'!A:B,2,false)</f>
        <v>INOV00024</v>
      </c>
      <c r="E1661" s="134" t="s">
        <v>144</v>
      </c>
      <c r="F1661" s="225">
        <v>45278.0</v>
      </c>
      <c r="G1661" s="222">
        <v>0.16666666666666666</v>
      </c>
      <c r="H1661" s="134" t="s">
        <v>475</v>
      </c>
      <c r="I1661" s="223" t="s">
        <v>475</v>
      </c>
      <c r="J1661" s="223" t="b">
        <f t="shared" si="1"/>
        <v>1</v>
      </c>
      <c r="K1661" s="145" t="s">
        <v>968</v>
      </c>
      <c r="L1661" s="156"/>
      <c r="M1661" s="134" t="s">
        <v>439</v>
      </c>
      <c r="N1661" s="150">
        <f>if(and(O1661=TRUE,P1661=TRUE), VLOOKUP($E1661,PESSOAL!$B$35:$S$45,MONTH($F1661)+6,false)*G1661*24,0)</f>
        <v>214.899206</v>
      </c>
      <c r="O1661" s="117" t="b">
        <f t="shared" si="7"/>
        <v>1</v>
      </c>
      <c r="P1661" s="117" t="b">
        <v>1</v>
      </c>
      <c r="Q1661" s="117" t="s">
        <v>368</v>
      </c>
    </row>
    <row r="1662" hidden="1">
      <c r="A1662" s="108"/>
      <c r="B1662" s="220"/>
      <c r="C1662" s="220" t="s">
        <v>290</v>
      </c>
      <c r="D1662" s="220" t="str">
        <f>vlookup(M1662,'Página10'!A:B,2,false)</f>
        <v>INOV00001</v>
      </c>
      <c r="E1662" s="134" t="s">
        <v>144</v>
      </c>
      <c r="F1662" s="225">
        <v>45278.0</v>
      </c>
      <c r="G1662" s="222">
        <v>0.08333333333333333</v>
      </c>
      <c r="H1662" s="134" t="s">
        <v>411</v>
      </c>
      <c r="I1662" s="223" t="s">
        <v>475</v>
      </c>
      <c r="J1662" s="223" t="b">
        <f t="shared" si="1"/>
        <v>0</v>
      </c>
      <c r="K1662" s="145" t="s">
        <v>518</v>
      </c>
      <c r="L1662" s="156"/>
      <c r="M1662" s="134" t="s">
        <v>416</v>
      </c>
      <c r="N1662" s="150">
        <f>if(and(O1662=TRUE,P1662=TRUE), VLOOKUP($E1662,PESSOAL!$B$35:$S$45,MONTH($F1662)+6,false)*G1662*24,0)</f>
        <v>107.449603</v>
      </c>
      <c r="O1662" s="117" t="b">
        <f t="shared" si="7"/>
        <v>1</v>
      </c>
      <c r="P1662" s="117" t="b">
        <v>1</v>
      </c>
      <c r="Q1662" s="117" t="s">
        <v>368</v>
      </c>
    </row>
    <row r="1663" hidden="1">
      <c r="A1663" s="108"/>
      <c r="B1663" s="220"/>
      <c r="C1663" s="220" t="s">
        <v>57</v>
      </c>
      <c r="D1663" s="220" t="str">
        <f>vlookup(M1663,'Página10'!A:B,2,false)</f>
        <v>INOV00022</v>
      </c>
      <c r="E1663" s="134" t="s">
        <v>144</v>
      </c>
      <c r="F1663" s="225">
        <v>45278.0</v>
      </c>
      <c r="G1663" s="222">
        <v>0.125</v>
      </c>
      <c r="H1663" s="134" t="s">
        <v>475</v>
      </c>
      <c r="I1663" s="223" t="s">
        <v>475</v>
      </c>
      <c r="J1663" s="223" t="b">
        <f t="shared" si="1"/>
        <v>1</v>
      </c>
      <c r="K1663" s="145" t="s">
        <v>517</v>
      </c>
      <c r="L1663" s="156"/>
      <c r="M1663" s="134" t="s">
        <v>437</v>
      </c>
      <c r="N1663" s="150">
        <f>if(and(O1663=TRUE,P1663=TRUE), VLOOKUP($E1663,PESSOAL!$B$35:$S$45,MONTH($F1663)+6,false)*G1663*24,0)</f>
        <v>161.1744045</v>
      </c>
      <c r="O1663" s="117" t="b">
        <f t="shared" si="7"/>
        <v>1</v>
      </c>
      <c r="P1663" s="117" t="b">
        <v>1</v>
      </c>
      <c r="Q1663" s="117" t="s">
        <v>368</v>
      </c>
    </row>
    <row r="1664" hidden="1">
      <c r="A1664" s="108"/>
      <c r="B1664" s="220"/>
      <c r="C1664" s="220" t="s">
        <v>290</v>
      </c>
      <c r="D1664" s="220" t="str">
        <f>vlookup(M1664,'Página10'!A:B,2,false)</f>
        <v>INOV00001</v>
      </c>
      <c r="E1664" s="134" t="s">
        <v>144</v>
      </c>
      <c r="F1664" s="225">
        <v>45279.0</v>
      </c>
      <c r="G1664" s="222">
        <v>0.125</v>
      </c>
      <c r="H1664" s="134" t="s">
        <v>411</v>
      </c>
      <c r="I1664" s="223" t="s">
        <v>475</v>
      </c>
      <c r="J1664" s="223" t="b">
        <f t="shared" si="1"/>
        <v>0</v>
      </c>
      <c r="K1664" s="145" t="s">
        <v>518</v>
      </c>
      <c r="L1664" s="156"/>
      <c r="M1664" s="134" t="s">
        <v>416</v>
      </c>
      <c r="N1664" s="150">
        <f>if(and(O1664=TRUE,P1664=TRUE), VLOOKUP($E1664,PESSOAL!$B$35:$S$45,MONTH($F1664)+6,false)*G1664*24,0)</f>
        <v>161.1744045</v>
      </c>
      <c r="O1664" s="117" t="b">
        <f t="shared" si="7"/>
        <v>1</v>
      </c>
      <c r="P1664" s="117" t="b">
        <v>1</v>
      </c>
      <c r="Q1664" s="117" t="s">
        <v>368</v>
      </c>
    </row>
    <row r="1665" hidden="1">
      <c r="A1665" s="108"/>
      <c r="B1665" s="220"/>
      <c r="C1665" s="220" t="s">
        <v>59</v>
      </c>
      <c r="D1665" s="220" t="str">
        <f>vlookup(M1665,'Página10'!A:B,2,false)</f>
        <v>INOV00024</v>
      </c>
      <c r="E1665" s="134" t="s">
        <v>144</v>
      </c>
      <c r="F1665" s="225">
        <v>45279.0</v>
      </c>
      <c r="G1665" s="222">
        <v>0.16666666666666666</v>
      </c>
      <c r="H1665" s="134" t="s">
        <v>475</v>
      </c>
      <c r="I1665" s="223" t="s">
        <v>475</v>
      </c>
      <c r="J1665" s="223" t="b">
        <f t="shared" si="1"/>
        <v>1</v>
      </c>
      <c r="K1665" s="145" t="s">
        <v>519</v>
      </c>
      <c r="L1665" s="156"/>
      <c r="M1665" s="134" t="s">
        <v>439</v>
      </c>
      <c r="N1665" s="150">
        <f>if(and(O1665=TRUE,P1665=TRUE), VLOOKUP($E1665,PESSOAL!$B$35:$S$45,MONTH($F1665)+6,false)*G1665*24,0)</f>
        <v>214.899206</v>
      </c>
      <c r="O1665" s="117" t="b">
        <f t="shared" si="7"/>
        <v>1</v>
      </c>
      <c r="P1665" s="117" t="b">
        <v>1</v>
      </c>
      <c r="Q1665" s="117" t="s">
        <v>368</v>
      </c>
    </row>
    <row r="1666" hidden="1">
      <c r="A1666" s="108"/>
      <c r="B1666" s="220"/>
      <c r="C1666" s="220" t="s">
        <v>290</v>
      </c>
      <c r="D1666" s="220" t="str">
        <f>vlookup(M1666,'Página10'!A:B,2,false)</f>
        <v>INOV00001</v>
      </c>
      <c r="E1666" s="134" t="s">
        <v>144</v>
      </c>
      <c r="F1666" s="225">
        <v>45280.0</v>
      </c>
      <c r="G1666" s="222">
        <v>0.08333333333333333</v>
      </c>
      <c r="H1666" s="134" t="s">
        <v>411</v>
      </c>
      <c r="I1666" s="223" t="s">
        <v>475</v>
      </c>
      <c r="J1666" s="223" t="b">
        <f t="shared" si="1"/>
        <v>0</v>
      </c>
      <c r="K1666" s="145" t="s">
        <v>518</v>
      </c>
      <c r="L1666" s="156"/>
      <c r="M1666" s="134" t="s">
        <v>416</v>
      </c>
      <c r="N1666" s="150">
        <f>if(and(O1666=TRUE,P1666=TRUE), VLOOKUP($E1666,PESSOAL!$B$35:$S$45,MONTH($F1666)+6,false)*G1666*24,0)</f>
        <v>107.449603</v>
      </c>
      <c r="O1666" s="117" t="b">
        <f t="shared" si="7"/>
        <v>1</v>
      </c>
      <c r="P1666" s="117" t="b">
        <v>1</v>
      </c>
      <c r="Q1666" s="117" t="s">
        <v>368</v>
      </c>
    </row>
    <row r="1667" hidden="1">
      <c r="A1667" s="108"/>
      <c r="B1667" s="220"/>
      <c r="C1667" s="220" t="s">
        <v>65</v>
      </c>
      <c r="D1667" s="220" t="str">
        <f>vlookup(M1667,'Página10'!A:B,2,false)</f>
        <v>INOV00037</v>
      </c>
      <c r="E1667" s="134" t="s">
        <v>144</v>
      </c>
      <c r="F1667" s="225">
        <v>45280.0</v>
      </c>
      <c r="G1667" s="222">
        <v>0.16666666666666666</v>
      </c>
      <c r="H1667" s="134" t="s">
        <v>475</v>
      </c>
      <c r="I1667" s="223" t="s">
        <v>475</v>
      </c>
      <c r="J1667" s="223" t="b">
        <f t="shared" si="1"/>
        <v>1</v>
      </c>
      <c r="K1667" s="145" t="s">
        <v>963</v>
      </c>
      <c r="L1667" s="156"/>
      <c r="M1667" s="134" t="s">
        <v>459</v>
      </c>
      <c r="N1667" s="150">
        <f>if(and(O1667=TRUE,P1667=TRUE), VLOOKUP($E1667,PESSOAL!$B$35:$S$45,MONTH($F1667)+6,false)*G1667*24,0)</f>
        <v>214.899206</v>
      </c>
      <c r="O1667" s="117" t="b">
        <f t="shared" si="7"/>
        <v>1</v>
      </c>
      <c r="P1667" s="117" t="b">
        <v>1</v>
      </c>
      <c r="Q1667" s="117" t="s">
        <v>368</v>
      </c>
    </row>
    <row r="1668" hidden="1">
      <c r="A1668" s="108"/>
      <c r="B1668" s="220"/>
      <c r="C1668" s="220" t="s">
        <v>67</v>
      </c>
      <c r="D1668" s="220" t="str">
        <f>vlookup(M1668,'Página10'!A:B,2,false)</f>
        <v>INOV00039</v>
      </c>
      <c r="E1668" s="134" t="s">
        <v>144</v>
      </c>
      <c r="F1668" s="225">
        <v>45281.0</v>
      </c>
      <c r="G1668" s="222">
        <v>0.125</v>
      </c>
      <c r="H1668" s="134" t="s">
        <v>475</v>
      </c>
      <c r="I1668" s="223" t="s">
        <v>475</v>
      </c>
      <c r="J1668" s="223" t="b">
        <f t="shared" si="1"/>
        <v>1</v>
      </c>
      <c r="K1668" s="145" t="s">
        <v>517</v>
      </c>
      <c r="L1668" s="156"/>
      <c r="M1668" s="134" t="s">
        <v>461</v>
      </c>
      <c r="N1668" s="150">
        <f>if(and(O1668=TRUE,P1668=TRUE), VLOOKUP($E1668,PESSOAL!$B$35:$S$45,MONTH($F1668)+6,false)*G1668*24,0)</f>
        <v>161.1744045</v>
      </c>
      <c r="O1668" s="117" t="b">
        <f t="shared" si="7"/>
        <v>1</v>
      </c>
      <c r="P1668" s="117" t="b">
        <v>1</v>
      </c>
      <c r="Q1668" s="117" t="s">
        <v>368</v>
      </c>
    </row>
    <row r="1669" hidden="1">
      <c r="A1669" s="108"/>
      <c r="B1669" s="220"/>
      <c r="C1669" s="220" t="s">
        <v>59</v>
      </c>
      <c r="D1669" s="220" t="str">
        <f>vlookup(M1669,'Página10'!A:B,2,false)</f>
        <v>INOV00024</v>
      </c>
      <c r="E1669" s="134" t="s">
        <v>144</v>
      </c>
      <c r="F1669" s="225">
        <v>45281.0</v>
      </c>
      <c r="G1669" s="222">
        <v>0.08333333333333333</v>
      </c>
      <c r="H1669" s="134" t="s">
        <v>475</v>
      </c>
      <c r="I1669" s="223" t="s">
        <v>475</v>
      </c>
      <c r="J1669" s="223" t="b">
        <f t="shared" si="1"/>
        <v>1</v>
      </c>
      <c r="K1669" s="145" t="s">
        <v>519</v>
      </c>
      <c r="L1669" s="156"/>
      <c r="M1669" s="134" t="s">
        <v>439</v>
      </c>
      <c r="N1669" s="150">
        <f>if(and(O1669=TRUE,P1669=TRUE), VLOOKUP($E1669,PESSOAL!$B$35:$S$45,MONTH($F1669)+6,false)*G1669*24,0)</f>
        <v>107.449603</v>
      </c>
      <c r="O1669" s="117" t="b">
        <f t="shared" si="7"/>
        <v>1</v>
      </c>
      <c r="P1669" s="117" t="b">
        <v>1</v>
      </c>
      <c r="Q1669" s="117" t="s">
        <v>368</v>
      </c>
    </row>
    <row r="1670" hidden="1">
      <c r="A1670" s="108"/>
      <c r="B1670" s="220"/>
      <c r="C1670" s="220" t="s">
        <v>69</v>
      </c>
      <c r="D1670" s="220" t="str">
        <f>vlookup(M1670,'Página10'!A:B,2,false)</f>
        <v>INOV00041</v>
      </c>
      <c r="E1670" s="134" t="s">
        <v>144</v>
      </c>
      <c r="F1670" s="225">
        <v>45282.0</v>
      </c>
      <c r="G1670" s="222">
        <v>0.08333333333333333</v>
      </c>
      <c r="H1670" s="134" t="s">
        <v>475</v>
      </c>
      <c r="I1670" s="223" t="s">
        <v>475</v>
      </c>
      <c r="J1670" s="223" t="b">
        <f t="shared" si="1"/>
        <v>1</v>
      </c>
      <c r="K1670" s="145" t="s">
        <v>520</v>
      </c>
      <c r="L1670" s="156"/>
      <c r="M1670" s="134" t="s">
        <v>463</v>
      </c>
      <c r="N1670" s="150">
        <f>if(and(O1670=TRUE,P1670=TRUE), VLOOKUP($E1670,PESSOAL!$B$35:$S$45,MONTH($F1670)+6,false)*G1670*24,0)</f>
        <v>107.449603</v>
      </c>
      <c r="O1670" s="117" t="b">
        <f t="shared" si="7"/>
        <v>1</v>
      </c>
      <c r="P1670" s="117" t="b">
        <v>1</v>
      </c>
      <c r="Q1670" s="117" t="s">
        <v>368</v>
      </c>
    </row>
    <row r="1671" hidden="1">
      <c r="A1671" s="108"/>
      <c r="B1671" s="220"/>
      <c r="C1671" s="220" t="s">
        <v>290</v>
      </c>
      <c r="D1671" s="220" t="str">
        <f>vlookup(M1671,'Página10'!A:B,2,false)</f>
        <v>INOV00001</v>
      </c>
      <c r="E1671" s="134" t="s">
        <v>144</v>
      </c>
      <c r="F1671" s="225">
        <v>45282.0</v>
      </c>
      <c r="G1671" s="222">
        <v>0.20833333333333334</v>
      </c>
      <c r="H1671" s="134" t="s">
        <v>411</v>
      </c>
      <c r="I1671" s="223" t="s">
        <v>475</v>
      </c>
      <c r="J1671" s="223" t="b">
        <f t="shared" si="1"/>
        <v>0</v>
      </c>
      <c r="K1671" s="145" t="s">
        <v>518</v>
      </c>
      <c r="L1671" s="156"/>
      <c r="M1671" s="134" t="s">
        <v>416</v>
      </c>
      <c r="N1671" s="150">
        <f>if(and(O1671=TRUE,P1671=TRUE), VLOOKUP($E1671,PESSOAL!$B$35:$S$45,MONTH($F1671)+6,false)*G1671*24,0)</f>
        <v>268.6240074</v>
      </c>
      <c r="O1671" s="117" t="b">
        <f t="shared" si="7"/>
        <v>1</v>
      </c>
      <c r="P1671" s="117" t="b">
        <v>1</v>
      </c>
      <c r="Q1671" s="117" t="s">
        <v>368</v>
      </c>
    </row>
    <row r="1672" hidden="1">
      <c r="A1672" s="108"/>
      <c r="B1672" s="220"/>
      <c r="C1672" s="220" t="s">
        <v>57</v>
      </c>
      <c r="D1672" s="220" t="str">
        <f>vlookup(M1672,'Página10'!A:B,2,false)</f>
        <v>INOV00022</v>
      </c>
      <c r="E1672" s="134" t="s">
        <v>144</v>
      </c>
      <c r="F1672" s="225">
        <v>45286.0</v>
      </c>
      <c r="G1672" s="222">
        <v>0.125</v>
      </c>
      <c r="H1672" s="134" t="s">
        <v>475</v>
      </c>
      <c r="I1672" s="223" t="s">
        <v>475</v>
      </c>
      <c r="J1672" s="223" t="b">
        <f t="shared" si="1"/>
        <v>1</v>
      </c>
      <c r="K1672" s="145" t="s">
        <v>517</v>
      </c>
      <c r="L1672" s="156"/>
      <c r="M1672" s="134" t="s">
        <v>437</v>
      </c>
      <c r="N1672" s="150">
        <f>if(and(O1672=TRUE,P1672=TRUE), VLOOKUP($E1672,PESSOAL!$B$35:$S$45,MONTH($F1672)+6,false)*G1672*24,0)</f>
        <v>161.1744045</v>
      </c>
      <c r="O1672" s="117" t="b">
        <f t="shared" si="7"/>
        <v>1</v>
      </c>
      <c r="P1672" s="117" t="b">
        <v>1</v>
      </c>
      <c r="Q1672" s="117" t="s">
        <v>368</v>
      </c>
    </row>
    <row r="1673" hidden="1">
      <c r="A1673" s="108"/>
      <c r="B1673" s="220"/>
      <c r="C1673" s="220" t="s">
        <v>59</v>
      </c>
      <c r="D1673" s="220" t="str">
        <f>vlookup(M1673,'Página10'!A:B,2,false)</f>
        <v>INOV00024</v>
      </c>
      <c r="E1673" s="134" t="s">
        <v>144</v>
      </c>
      <c r="F1673" s="225">
        <v>45286.0</v>
      </c>
      <c r="G1673" s="222">
        <v>0.125</v>
      </c>
      <c r="H1673" s="134" t="s">
        <v>475</v>
      </c>
      <c r="I1673" s="223" t="s">
        <v>475</v>
      </c>
      <c r="J1673" s="223" t="b">
        <f t="shared" si="1"/>
        <v>1</v>
      </c>
      <c r="K1673" s="145" t="s">
        <v>519</v>
      </c>
      <c r="L1673" s="156"/>
      <c r="M1673" s="134" t="s">
        <v>439</v>
      </c>
      <c r="N1673" s="150">
        <f>if(and(O1673=TRUE,P1673=TRUE), VLOOKUP($E1673,PESSOAL!$B$35:$S$45,MONTH($F1673)+6,false)*G1673*24,0)</f>
        <v>161.1744045</v>
      </c>
      <c r="O1673" s="117" t="b">
        <f t="shared" si="7"/>
        <v>1</v>
      </c>
      <c r="P1673" s="117" t="b">
        <v>1</v>
      </c>
      <c r="Q1673" s="117" t="s">
        <v>368</v>
      </c>
    </row>
    <row r="1674" hidden="1">
      <c r="A1674" s="108"/>
      <c r="B1674" s="220"/>
      <c r="C1674" s="220" t="s">
        <v>57</v>
      </c>
      <c r="D1674" s="220" t="str">
        <f>vlookup(M1674,'Página10'!A:B,2,false)</f>
        <v>INOV00022</v>
      </c>
      <c r="E1674" s="134" t="s">
        <v>144</v>
      </c>
      <c r="F1674" s="225">
        <v>45287.0</v>
      </c>
      <c r="G1674" s="222">
        <v>0.16666666666666666</v>
      </c>
      <c r="H1674" s="134" t="s">
        <v>475</v>
      </c>
      <c r="I1674" s="223" t="s">
        <v>475</v>
      </c>
      <c r="J1674" s="223" t="b">
        <f t="shared" si="1"/>
        <v>1</v>
      </c>
      <c r="K1674" s="145" t="s">
        <v>517</v>
      </c>
      <c r="L1674" s="156"/>
      <c r="M1674" s="134" t="s">
        <v>437</v>
      </c>
      <c r="N1674" s="150">
        <f>if(and(O1674=TRUE,P1674=TRUE), VLOOKUP($E1674,PESSOAL!$B$35:$S$45,MONTH($F1674)+6,false)*G1674*24,0)</f>
        <v>214.899206</v>
      </c>
      <c r="O1674" s="117" t="b">
        <f t="shared" si="7"/>
        <v>1</v>
      </c>
      <c r="P1674" s="117" t="b">
        <v>1</v>
      </c>
      <c r="Q1674" s="117" t="s">
        <v>368</v>
      </c>
    </row>
    <row r="1675" hidden="1">
      <c r="A1675" s="108"/>
      <c r="B1675" s="220"/>
      <c r="C1675" s="220" t="s">
        <v>290</v>
      </c>
      <c r="D1675" s="220" t="str">
        <f>vlookup(M1675,'Página10'!A:B,2,false)</f>
        <v>INOV00001</v>
      </c>
      <c r="E1675" s="134" t="s">
        <v>144</v>
      </c>
      <c r="F1675" s="225">
        <v>45287.0</v>
      </c>
      <c r="G1675" s="222">
        <v>0.125</v>
      </c>
      <c r="H1675" s="134" t="s">
        <v>411</v>
      </c>
      <c r="I1675" s="223" t="s">
        <v>475</v>
      </c>
      <c r="J1675" s="223" t="b">
        <f t="shared" si="1"/>
        <v>0</v>
      </c>
      <c r="K1675" s="145" t="s">
        <v>518</v>
      </c>
      <c r="L1675" s="156"/>
      <c r="M1675" s="134" t="s">
        <v>416</v>
      </c>
      <c r="N1675" s="150">
        <f>if(and(O1675=TRUE,P1675=TRUE), VLOOKUP($E1675,PESSOAL!$B$35:$S$45,MONTH($F1675)+6,false)*G1675*24,0)</f>
        <v>161.1744045</v>
      </c>
      <c r="O1675" s="117" t="b">
        <f t="shared" si="7"/>
        <v>1</v>
      </c>
      <c r="P1675" s="117" t="b">
        <v>1</v>
      </c>
      <c r="Q1675" s="117" t="s">
        <v>368</v>
      </c>
    </row>
    <row r="1676" hidden="1">
      <c r="A1676" s="108"/>
      <c r="B1676" s="220"/>
      <c r="C1676" s="220" t="s">
        <v>65</v>
      </c>
      <c r="D1676" s="220" t="str">
        <f>vlookup(M1676,'Página10'!A:B,2,false)</f>
        <v>INOV00037</v>
      </c>
      <c r="E1676" s="134" t="s">
        <v>144</v>
      </c>
      <c r="F1676" s="225">
        <v>45288.0</v>
      </c>
      <c r="G1676" s="222">
        <v>0.16666666666666666</v>
      </c>
      <c r="H1676" s="134" t="s">
        <v>475</v>
      </c>
      <c r="I1676" s="223" t="s">
        <v>475</v>
      </c>
      <c r="J1676" s="223" t="b">
        <f t="shared" si="1"/>
        <v>1</v>
      </c>
      <c r="K1676" s="145" t="s">
        <v>963</v>
      </c>
      <c r="L1676" s="156"/>
      <c r="M1676" s="134" t="s">
        <v>459</v>
      </c>
      <c r="N1676" s="150">
        <f>if(and(O1676=TRUE,P1676=TRUE), VLOOKUP($E1676,PESSOAL!$B$35:$S$45,MONTH($F1676)+6,false)*G1676*24,0)</f>
        <v>214.899206</v>
      </c>
      <c r="O1676" s="117" t="b">
        <f t="shared" si="7"/>
        <v>1</v>
      </c>
      <c r="P1676" s="117" t="b">
        <v>1</v>
      </c>
      <c r="Q1676" s="117" t="s">
        <v>368</v>
      </c>
    </row>
    <row r="1677" hidden="1">
      <c r="A1677" s="108"/>
      <c r="B1677" s="220"/>
      <c r="C1677" s="220" t="s">
        <v>67</v>
      </c>
      <c r="D1677" s="220" t="str">
        <f>vlookup(M1677,'Página10'!A:B,2,false)</f>
        <v>INOV00039</v>
      </c>
      <c r="E1677" s="134" t="s">
        <v>144</v>
      </c>
      <c r="F1677" s="225">
        <v>45288.0</v>
      </c>
      <c r="G1677" s="222">
        <v>0.16666666666666666</v>
      </c>
      <c r="H1677" s="134" t="s">
        <v>475</v>
      </c>
      <c r="I1677" s="223" t="s">
        <v>475</v>
      </c>
      <c r="J1677" s="223" t="b">
        <f t="shared" si="1"/>
        <v>1</v>
      </c>
      <c r="K1677" s="145" t="s">
        <v>517</v>
      </c>
      <c r="L1677" s="156"/>
      <c r="M1677" s="134" t="s">
        <v>461</v>
      </c>
      <c r="N1677" s="150">
        <f>if(and(O1677=TRUE,P1677=TRUE), VLOOKUP($E1677,PESSOAL!$B$35:$S$45,MONTH($F1677)+6,false)*G1677*24,0)</f>
        <v>214.899206</v>
      </c>
      <c r="O1677" s="117" t="b">
        <f t="shared" si="7"/>
        <v>1</v>
      </c>
      <c r="P1677" s="117" t="b">
        <v>1</v>
      </c>
      <c r="Q1677" s="117" t="s">
        <v>368</v>
      </c>
    </row>
    <row r="1678" hidden="1">
      <c r="A1678" s="108"/>
      <c r="B1678" s="220"/>
      <c r="C1678" s="220" t="s">
        <v>290</v>
      </c>
      <c r="D1678" s="220" t="str">
        <f>vlookup(M1678,'Página10'!A:B,2,false)</f>
        <v>INOV00001</v>
      </c>
      <c r="E1678" s="134" t="s">
        <v>144</v>
      </c>
      <c r="F1678" s="225">
        <v>45289.0</v>
      </c>
      <c r="G1678" s="222">
        <v>0.125</v>
      </c>
      <c r="H1678" s="134" t="s">
        <v>411</v>
      </c>
      <c r="I1678" s="223" t="s">
        <v>475</v>
      </c>
      <c r="J1678" s="223" t="b">
        <f t="shared" si="1"/>
        <v>0</v>
      </c>
      <c r="K1678" s="145" t="s">
        <v>518</v>
      </c>
      <c r="L1678" s="156"/>
      <c r="M1678" s="134" t="s">
        <v>416</v>
      </c>
      <c r="N1678" s="150">
        <f>if(and(O1678=TRUE,P1678=TRUE), VLOOKUP($E1678,PESSOAL!$B$35:$S$45,MONTH($F1678)+6,false)*G1678*24,0)</f>
        <v>161.1744045</v>
      </c>
      <c r="O1678" s="117" t="b">
        <f t="shared" si="7"/>
        <v>1</v>
      </c>
      <c r="P1678" s="117" t="b">
        <v>1</v>
      </c>
      <c r="Q1678" s="117" t="s">
        <v>368</v>
      </c>
    </row>
    <row r="1679" hidden="1">
      <c r="A1679" s="108"/>
      <c r="B1679" s="220"/>
      <c r="C1679" s="220" t="s">
        <v>59</v>
      </c>
      <c r="D1679" s="220" t="str">
        <f>vlookup(M1679,'Página10'!A:B,2,false)</f>
        <v>INOV00024</v>
      </c>
      <c r="E1679" s="134" t="s">
        <v>144</v>
      </c>
      <c r="F1679" s="225">
        <v>45289.0</v>
      </c>
      <c r="G1679" s="222">
        <v>0.16666666666666666</v>
      </c>
      <c r="H1679" s="134" t="s">
        <v>475</v>
      </c>
      <c r="I1679" s="223" t="s">
        <v>475</v>
      </c>
      <c r="J1679" s="223" t="b">
        <f t="shared" si="1"/>
        <v>1</v>
      </c>
      <c r="K1679" s="145" t="s">
        <v>519</v>
      </c>
      <c r="L1679" s="156"/>
      <c r="M1679" s="134" t="s">
        <v>439</v>
      </c>
      <c r="N1679" s="150">
        <f>if(and(O1679=TRUE,P1679=TRUE), VLOOKUP($E1679,PESSOAL!$B$35:$S$45,MONTH($F1679)+6,false)*G1679*24,0)</f>
        <v>214.899206</v>
      </c>
      <c r="O1679" s="117" t="b">
        <f t="shared" si="7"/>
        <v>1</v>
      </c>
      <c r="P1679" s="117" t="b">
        <v>1</v>
      </c>
      <c r="Q1679" s="117" t="s">
        <v>368</v>
      </c>
    </row>
    <row r="1680" hidden="1">
      <c r="A1680" s="108"/>
      <c r="B1680" s="220"/>
      <c r="C1680" s="220" t="s">
        <v>52</v>
      </c>
      <c r="D1680" s="220" t="str">
        <f>vlookup(M1680,'Página10'!A:B,2,false)</f>
        <v>INOV00013</v>
      </c>
      <c r="E1680" s="134" t="s">
        <v>137</v>
      </c>
      <c r="F1680" s="225">
        <v>45261.0</v>
      </c>
      <c r="G1680" s="222">
        <v>0.020833333333333332</v>
      </c>
      <c r="H1680" s="134" t="s">
        <v>411</v>
      </c>
      <c r="I1680" s="223" t="s">
        <v>411</v>
      </c>
      <c r="J1680" s="223" t="b">
        <f t="shared" si="1"/>
        <v>1</v>
      </c>
      <c r="K1680" s="145" t="s">
        <v>1509</v>
      </c>
      <c r="L1680" s="156"/>
      <c r="M1680" s="134" t="s">
        <v>426</v>
      </c>
      <c r="N1680" s="150">
        <f>if(and(O1680=TRUE,P1680=TRUE), VLOOKUP($E1680,PESSOAL!$B$35:$S$45,MONTH($F1680)+6,false)*G1680*24,0)</f>
        <v>23.91663413</v>
      </c>
      <c r="O1680" s="117" t="b">
        <f t="shared" si="7"/>
        <v>1</v>
      </c>
      <c r="P1680" s="117" t="b">
        <v>1</v>
      </c>
      <c r="Q1680" s="117" t="s">
        <v>368</v>
      </c>
    </row>
    <row r="1681" hidden="1">
      <c r="A1681" s="108"/>
      <c r="B1681" s="220"/>
      <c r="C1681" s="220" t="s">
        <v>50</v>
      </c>
      <c r="D1681" s="220" t="str">
        <f>vlookup(M1681,'Página10'!A:B,2,false)</f>
        <v>INOV00006</v>
      </c>
      <c r="E1681" s="134" t="s">
        <v>137</v>
      </c>
      <c r="F1681" s="225">
        <v>45261.0</v>
      </c>
      <c r="G1681" s="222">
        <v>0.08333333333333333</v>
      </c>
      <c r="H1681" s="134" t="s">
        <v>411</v>
      </c>
      <c r="I1681" s="223" t="s">
        <v>411</v>
      </c>
      <c r="J1681" s="223" t="b">
        <f t="shared" si="1"/>
        <v>1</v>
      </c>
      <c r="K1681" s="145" t="s">
        <v>1510</v>
      </c>
      <c r="L1681" s="156"/>
      <c r="M1681" s="134" t="s">
        <v>422</v>
      </c>
      <c r="N1681" s="150">
        <f>if(and(O1681=TRUE,P1681=TRUE), VLOOKUP($E1681,PESSOAL!$B$35:$S$45,MONTH($F1681)+6,false)*G1681*24,0)</f>
        <v>95.66653651</v>
      </c>
      <c r="O1681" s="117" t="b">
        <f t="shared" si="7"/>
        <v>1</v>
      </c>
      <c r="P1681" s="117" t="b">
        <v>1</v>
      </c>
      <c r="Q1681" s="117" t="s">
        <v>368</v>
      </c>
    </row>
    <row r="1682" hidden="1">
      <c r="A1682" s="108"/>
      <c r="B1682" s="220"/>
      <c r="C1682" s="220" t="s">
        <v>68</v>
      </c>
      <c r="D1682" s="220" t="str">
        <f>vlookup(M1682,'Página10'!A:B,2,false)</f>
        <v>INOV00040</v>
      </c>
      <c r="E1682" s="134" t="s">
        <v>137</v>
      </c>
      <c r="F1682" s="225">
        <v>45261.0</v>
      </c>
      <c r="G1682" s="222">
        <v>0.020833333333333332</v>
      </c>
      <c r="H1682" s="134" t="s">
        <v>411</v>
      </c>
      <c r="I1682" s="223" t="s">
        <v>411</v>
      </c>
      <c r="J1682" s="223" t="b">
        <f t="shared" si="1"/>
        <v>1</v>
      </c>
      <c r="K1682" s="145" t="s">
        <v>1511</v>
      </c>
      <c r="L1682" s="156"/>
      <c r="M1682" s="134" t="s">
        <v>462</v>
      </c>
      <c r="N1682" s="150">
        <f>if(and(O1682=TRUE,P1682=TRUE), VLOOKUP($E1682,PESSOAL!$B$35:$S$45,MONTH($F1682)+6,false)*G1682*24,0)</f>
        <v>0</v>
      </c>
      <c r="O1682" s="117" t="b">
        <f t="shared" si="7"/>
        <v>1</v>
      </c>
      <c r="P1682" s="117" t="b">
        <v>0</v>
      </c>
      <c r="Q1682" s="117" t="s">
        <v>368</v>
      </c>
    </row>
    <row r="1683" hidden="1">
      <c r="A1683" s="108"/>
      <c r="B1683" s="220"/>
      <c r="C1683" s="220" t="s">
        <v>50</v>
      </c>
      <c r="D1683" s="220" t="str">
        <f>vlookup(M1683,'Página10'!A:B,2,false)</f>
        <v>INOV00006</v>
      </c>
      <c r="E1683" s="134" t="s">
        <v>137</v>
      </c>
      <c r="F1683" s="225">
        <v>45264.0</v>
      </c>
      <c r="G1683" s="222">
        <v>0.10416666666666667</v>
      </c>
      <c r="H1683" s="134" t="s">
        <v>479</v>
      </c>
      <c r="I1683" s="223" t="s">
        <v>479</v>
      </c>
      <c r="J1683" s="223" t="b">
        <f t="shared" si="1"/>
        <v>1</v>
      </c>
      <c r="K1683" s="145" t="s">
        <v>1512</v>
      </c>
      <c r="L1683" s="156"/>
      <c r="M1683" s="134" t="s">
        <v>422</v>
      </c>
      <c r="N1683" s="150">
        <f>if(and(O1683=TRUE,P1683=TRUE), VLOOKUP($E1683,PESSOAL!$B$35:$S$45,MONTH($F1683)+6,false)*G1683*24,0)</f>
        <v>0</v>
      </c>
      <c r="O1683" s="117" t="b">
        <f t="shared" si="7"/>
        <v>0</v>
      </c>
      <c r="P1683" s="117" t="b">
        <v>1</v>
      </c>
      <c r="Q1683" s="117" t="s">
        <v>368</v>
      </c>
    </row>
    <row r="1684" hidden="1">
      <c r="A1684" s="108"/>
      <c r="B1684" s="220"/>
      <c r="C1684" s="220" t="s">
        <v>55</v>
      </c>
      <c r="D1684" s="220" t="str">
        <f>vlookup(M1684,'Página10'!A:B,2,false)</f>
        <v>INOV00017</v>
      </c>
      <c r="E1684" s="134" t="s">
        <v>137</v>
      </c>
      <c r="F1684" s="225">
        <v>45264.0</v>
      </c>
      <c r="G1684" s="222">
        <v>0.16666666666666666</v>
      </c>
      <c r="H1684" s="134" t="s">
        <v>411</v>
      </c>
      <c r="I1684" s="223" t="s">
        <v>411</v>
      </c>
      <c r="J1684" s="223" t="b">
        <f t="shared" si="1"/>
        <v>1</v>
      </c>
      <c r="K1684" s="145" t="s">
        <v>1513</v>
      </c>
      <c r="L1684" s="156"/>
      <c r="M1684" s="134" t="s">
        <v>429</v>
      </c>
      <c r="N1684" s="150">
        <f>if(and(O1684=TRUE,P1684=TRUE), VLOOKUP($E1684,PESSOAL!$B$35:$S$45,MONTH($F1684)+6,false)*G1684*24,0)</f>
        <v>191.333073</v>
      </c>
      <c r="O1684" s="117" t="b">
        <f t="shared" si="7"/>
        <v>1</v>
      </c>
      <c r="P1684" s="117" t="b">
        <v>1</v>
      </c>
      <c r="Q1684" s="117" t="s">
        <v>368</v>
      </c>
    </row>
    <row r="1685" hidden="1">
      <c r="A1685" s="108"/>
      <c r="B1685" s="220"/>
      <c r="C1685" s="220" t="s">
        <v>50</v>
      </c>
      <c r="D1685" s="220" t="str">
        <f>vlookup(M1685,'Página10'!A:B,2,false)</f>
        <v>INOV00006</v>
      </c>
      <c r="E1685" s="134" t="s">
        <v>137</v>
      </c>
      <c r="F1685" s="225">
        <v>45265.0</v>
      </c>
      <c r="G1685" s="222">
        <v>0.020833333333333332</v>
      </c>
      <c r="H1685" s="134" t="s">
        <v>411</v>
      </c>
      <c r="I1685" s="223" t="s">
        <v>475</v>
      </c>
      <c r="J1685" s="223" t="b">
        <f t="shared" si="1"/>
        <v>0</v>
      </c>
      <c r="K1685" s="145" t="s">
        <v>1514</v>
      </c>
      <c r="L1685" s="156"/>
      <c r="M1685" s="134" t="s">
        <v>422</v>
      </c>
      <c r="N1685" s="150">
        <f>if(and(O1685=TRUE,P1685=TRUE), VLOOKUP($E1685,PESSOAL!$B$35:$S$45,MONTH($F1685)+6,false)*G1685*24,0)</f>
        <v>23.91663413</v>
      </c>
      <c r="O1685" s="117" t="b">
        <f t="shared" si="7"/>
        <v>1</v>
      </c>
      <c r="P1685" s="117" t="b">
        <v>1</v>
      </c>
      <c r="Q1685" s="117" t="s">
        <v>368</v>
      </c>
    </row>
    <row r="1686" hidden="1">
      <c r="A1686" s="108"/>
      <c r="B1686" s="220"/>
      <c r="C1686" s="220" t="s">
        <v>50</v>
      </c>
      <c r="D1686" s="220" t="str">
        <f>vlookup(M1686,'Página10'!A:B,2,false)</f>
        <v>INOV00006</v>
      </c>
      <c r="E1686" s="134" t="s">
        <v>137</v>
      </c>
      <c r="F1686" s="225">
        <v>45265.0</v>
      </c>
      <c r="G1686" s="222">
        <v>0.0625</v>
      </c>
      <c r="H1686" s="134" t="s">
        <v>411</v>
      </c>
      <c r="I1686" s="223" t="s">
        <v>411</v>
      </c>
      <c r="J1686" s="223" t="b">
        <f t="shared" si="1"/>
        <v>1</v>
      </c>
      <c r="K1686" s="145" t="s">
        <v>1510</v>
      </c>
      <c r="L1686" s="156"/>
      <c r="M1686" s="134" t="s">
        <v>422</v>
      </c>
      <c r="N1686" s="150">
        <f>if(and(O1686=TRUE,P1686=TRUE), VLOOKUP($E1686,PESSOAL!$B$35:$S$45,MONTH($F1686)+6,false)*G1686*24,0)</f>
        <v>71.74990238</v>
      </c>
      <c r="O1686" s="117" t="b">
        <f t="shared" si="7"/>
        <v>1</v>
      </c>
      <c r="P1686" s="117" t="b">
        <v>1</v>
      </c>
      <c r="Q1686" s="117" t="s">
        <v>368</v>
      </c>
    </row>
    <row r="1687" hidden="1">
      <c r="A1687" s="108"/>
      <c r="B1687" s="220"/>
      <c r="C1687" s="220" t="s">
        <v>50</v>
      </c>
      <c r="D1687" s="220" t="str">
        <f>vlookup(M1687,'Página10'!A:B,2,false)</f>
        <v>INOV00006</v>
      </c>
      <c r="E1687" s="134" t="s">
        <v>137</v>
      </c>
      <c r="F1687" s="225">
        <v>45265.0</v>
      </c>
      <c r="G1687" s="222">
        <v>0.10416666666666667</v>
      </c>
      <c r="H1687" s="134" t="s">
        <v>479</v>
      </c>
      <c r="I1687" s="223" t="s">
        <v>479</v>
      </c>
      <c r="J1687" s="223" t="b">
        <f t="shared" si="1"/>
        <v>1</v>
      </c>
      <c r="K1687" s="145" t="s">
        <v>1515</v>
      </c>
      <c r="L1687" s="156"/>
      <c r="M1687" s="134" t="s">
        <v>422</v>
      </c>
      <c r="N1687" s="150">
        <f>if(and(O1687=TRUE,P1687=TRUE), VLOOKUP($E1687,PESSOAL!$B$35:$S$45,MONTH($F1687)+6,false)*G1687*24,0)</f>
        <v>0</v>
      </c>
      <c r="O1687" s="117" t="b">
        <f t="shared" si="7"/>
        <v>0</v>
      </c>
      <c r="P1687" s="117" t="b">
        <v>1</v>
      </c>
      <c r="Q1687" s="117" t="s">
        <v>368</v>
      </c>
    </row>
    <row r="1688" hidden="1">
      <c r="A1688" s="108"/>
      <c r="B1688" s="220"/>
      <c r="C1688" s="220" t="s">
        <v>61</v>
      </c>
      <c r="D1688" s="220" t="str">
        <f>vlookup(M1688,'Página10'!A:B,2,false)</f>
        <v>INOV00031</v>
      </c>
      <c r="E1688" s="134" t="s">
        <v>137</v>
      </c>
      <c r="F1688" s="225">
        <v>45266.0</v>
      </c>
      <c r="G1688" s="222">
        <v>0.041666666666666664</v>
      </c>
      <c r="H1688" s="134" t="s">
        <v>411</v>
      </c>
      <c r="I1688" s="223" t="s">
        <v>411</v>
      </c>
      <c r="J1688" s="223" t="b">
        <f t="shared" si="1"/>
        <v>1</v>
      </c>
      <c r="K1688" s="145" t="s">
        <v>1516</v>
      </c>
      <c r="L1688" s="156"/>
      <c r="M1688" s="134" t="s">
        <v>451</v>
      </c>
      <c r="N1688" s="150">
        <f>if(and(O1688=TRUE,P1688=TRUE), VLOOKUP($E1688,PESSOAL!$B$35:$S$45,MONTH($F1688)+6,false)*G1688*24,0)</f>
        <v>47.83326825</v>
      </c>
      <c r="O1688" s="117" t="b">
        <f t="shared" si="7"/>
        <v>1</v>
      </c>
      <c r="P1688" s="117" t="b">
        <v>1</v>
      </c>
      <c r="Q1688" s="117" t="s">
        <v>368</v>
      </c>
    </row>
    <row r="1689" hidden="1">
      <c r="A1689" s="108"/>
      <c r="B1689" s="220"/>
      <c r="C1689" s="220" t="s">
        <v>61</v>
      </c>
      <c r="D1689" s="220" t="str">
        <f>vlookup(M1689,'Página10'!A:B,2,false)</f>
        <v>INOV00031</v>
      </c>
      <c r="E1689" s="134" t="s">
        <v>137</v>
      </c>
      <c r="F1689" s="225">
        <v>45266.0</v>
      </c>
      <c r="G1689" s="222">
        <v>0.041666666666666664</v>
      </c>
      <c r="H1689" s="134" t="s">
        <v>411</v>
      </c>
      <c r="I1689" s="223" t="s">
        <v>411</v>
      </c>
      <c r="J1689" s="223" t="b">
        <f t="shared" si="1"/>
        <v>1</v>
      </c>
      <c r="K1689" s="145" t="s">
        <v>1517</v>
      </c>
      <c r="L1689" s="156"/>
      <c r="M1689" s="134" t="s">
        <v>451</v>
      </c>
      <c r="N1689" s="150">
        <f>if(and(O1689=TRUE,P1689=TRUE), VLOOKUP($E1689,PESSOAL!$B$35:$S$45,MONTH($F1689)+6,false)*G1689*24,0)</f>
        <v>47.83326825</v>
      </c>
      <c r="O1689" s="117" t="b">
        <f t="shared" si="7"/>
        <v>1</v>
      </c>
      <c r="P1689" s="117" t="b">
        <v>1</v>
      </c>
      <c r="Q1689" s="117" t="s">
        <v>368</v>
      </c>
    </row>
    <row r="1690" hidden="1">
      <c r="A1690" s="108"/>
      <c r="B1690" s="220"/>
      <c r="C1690" s="220" t="s">
        <v>50</v>
      </c>
      <c r="D1690" s="220" t="str">
        <f>vlookup(M1690,'Página10'!A:B,2,false)</f>
        <v>INOV00006</v>
      </c>
      <c r="E1690" s="134" t="s">
        <v>137</v>
      </c>
      <c r="F1690" s="225">
        <v>45267.0</v>
      </c>
      <c r="G1690" s="222">
        <v>0.25</v>
      </c>
      <c r="H1690" s="134" t="s">
        <v>479</v>
      </c>
      <c r="I1690" s="223" t="s">
        <v>479</v>
      </c>
      <c r="J1690" s="223" t="b">
        <f t="shared" si="1"/>
        <v>1</v>
      </c>
      <c r="K1690" s="145" t="s">
        <v>1518</v>
      </c>
      <c r="L1690" s="156"/>
      <c r="M1690" s="134" t="s">
        <v>422</v>
      </c>
      <c r="N1690" s="150">
        <f>if(and(O1690=TRUE,P1690=TRUE), VLOOKUP($E1690,PESSOAL!$B$35:$S$45,MONTH($F1690)+6,false)*G1690*24,0)</f>
        <v>0</v>
      </c>
      <c r="O1690" s="117" t="b">
        <f t="shared" si="7"/>
        <v>0</v>
      </c>
      <c r="P1690" s="117" t="b">
        <v>1</v>
      </c>
      <c r="Q1690" s="117" t="s">
        <v>368</v>
      </c>
    </row>
    <row r="1691" hidden="1">
      <c r="A1691" s="108"/>
      <c r="B1691" s="220"/>
      <c r="C1691" s="220" t="s">
        <v>61</v>
      </c>
      <c r="D1691" s="220" t="str">
        <f>vlookup(M1691,'Página10'!A:B,2,false)</f>
        <v>INOV00031</v>
      </c>
      <c r="E1691" s="134" t="s">
        <v>137</v>
      </c>
      <c r="F1691" s="225">
        <v>45267.0</v>
      </c>
      <c r="G1691" s="222">
        <v>0.041666666666666664</v>
      </c>
      <c r="H1691" s="134" t="s">
        <v>411</v>
      </c>
      <c r="I1691" s="223" t="s">
        <v>411</v>
      </c>
      <c r="J1691" s="223" t="b">
        <f t="shared" si="1"/>
        <v>1</v>
      </c>
      <c r="K1691" s="145" t="s">
        <v>1519</v>
      </c>
      <c r="L1691" s="156"/>
      <c r="M1691" s="134" t="s">
        <v>451</v>
      </c>
      <c r="N1691" s="150">
        <f>if(and(O1691=TRUE,P1691=TRUE), VLOOKUP($E1691,PESSOAL!$B$35:$S$45,MONTH($F1691)+6,false)*G1691*24,0)</f>
        <v>47.83326825</v>
      </c>
      <c r="O1691" s="117" t="b">
        <f t="shared" si="7"/>
        <v>1</v>
      </c>
      <c r="P1691" s="117" t="b">
        <v>1</v>
      </c>
      <c r="Q1691" s="117" t="s">
        <v>368</v>
      </c>
    </row>
    <row r="1692" hidden="1">
      <c r="A1692" s="108"/>
      <c r="B1692" s="220"/>
      <c r="C1692" s="220" t="s">
        <v>55</v>
      </c>
      <c r="D1692" s="220" t="str">
        <f>vlookup(M1692,'Página10'!A:B,2,false)</f>
        <v>INOV00017</v>
      </c>
      <c r="E1692" s="134" t="s">
        <v>137</v>
      </c>
      <c r="F1692" s="225">
        <v>45272.0</v>
      </c>
      <c r="G1692" s="222">
        <v>0.041666666666666664</v>
      </c>
      <c r="H1692" s="134" t="s">
        <v>411</v>
      </c>
      <c r="I1692" s="223" t="s">
        <v>411</v>
      </c>
      <c r="J1692" s="223" t="b">
        <f t="shared" si="1"/>
        <v>1</v>
      </c>
      <c r="K1692" s="145" t="s">
        <v>1520</v>
      </c>
      <c r="L1692" s="156"/>
      <c r="M1692" s="134" t="s">
        <v>429</v>
      </c>
      <c r="N1692" s="150">
        <f>if(and(O1692=TRUE,P1692=TRUE), VLOOKUP($E1692,PESSOAL!$B$35:$S$45,MONTH($F1692)+6,false)*G1692*24,0)</f>
        <v>47.83326825</v>
      </c>
      <c r="O1692" s="117" t="b">
        <f t="shared" si="7"/>
        <v>1</v>
      </c>
      <c r="P1692" s="117" t="b">
        <v>1</v>
      </c>
      <c r="Q1692" s="117" t="s">
        <v>368</v>
      </c>
    </row>
    <row r="1693" hidden="1">
      <c r="A1693" s="108"/>
      <c r="B1693" s="220"/>
      <c r="C1693" s="220" t="s">
        <v>52</v>
      </c>
      <c r="D1693" s="220" t="str">
        <f>vlookup(M1693,'Página10'!A:B,2,false)</f>
        <v>INOV00013</v>
      </c>
      <c r="E1693" s="134" t="s">
        <v>137</v>
      </c>
      <c r="F1693" s="225">
        <v>45272.0</v>
      </c>
      <c r="G1693" s="222">
        <v>0.08333333333333333</v>
      </c>
      <c r="H1693" s="134" t="s">
        <v>411</v>
      </c>
      <c r="I1693" s="223" t="s">
        <v>411</v>
      </c>
      <c r="J1693" s="223" t="b">
        <f t="shared" si="1"/>
        <v>1</v>
      </c>
      <c r="K1693" s="145" t="s">
        <v>1521</v>
      </c>
      <c r="L1693" s="156"/>
      <c r="M1693" s="134" t="s">
        <v>426</v>
      </c>
      <c r="N1693" s="150">
        <f>if(and(O1693=TRUE,P1693=TRUE), VLOOKUP($E1693,PESSOAL!$B$35:$S$45,MONTH($F1693)+6,false)*G1693*24,0)</f>
        <v>95.66653651</v>
      </c>
      <c r="O1693" s="117" t="b">
        <f t="shared" si="7"/>
        <v>1</v>
      </c>
      <c r="P1693" s="117" t="b">
        <v>1</v>
      </c>
      <c r="Q1693" s="117" t="s">
        <v>368</v>
      </c>
    </row>
    <row r="1694" hidden="1">
      <c r="A1694" s="108"/>
      <c r="B1694" s="220"/>
      <c r="C1694" s="220" t="s">
        <v>68</v>
      </c>
      <c r="D1694" s="220" t="str">
        <f>vlookup(M1694,'Página10'!A:B,2,false)</f>
        <v>INOV00040</v>
      </c>
      <c r="E1694" s="134" t="s">
        <v>137</v>
      </c>
      <c r="F1694" s="225">
        <v>45273.0</v>
      </c>
      <c r="G1694" s="222">
        <v>0.125</v>
      </c>
      <c r="H1694" s="134" t="s">
        <v>411</v>
      </c>
      <c r="I1694" s="223" t="s">
        <v>411</v>
      </c>
      <c r="J1694" s="223" t="b">
        <f t="shared" si="1"/>
        <v>1</v>
      </c>
      <c r="K1694" s="145" t="s">
        <v>1522</v>
      </c>
      <c r="L1694" s="156"/>
      <c r="M1694" s="134" t="s">
        <v>462</v>
      </c>
      <c r="N1694" s="150">
        <f>if(and(O1694=TRUE,P1694=TRUE), VLOOKUP($E1694,PESSOAL!$B$35:$S$45,MONTH($F1694)+6,false)*G1694*24,0)</f>
        <v>0</v>
      </c>
      <c r="O1694" s="117" t="b">
        <f t="shared" si="7"/>
        <v>1</v>
      </c>
      <c r="P1694" s="117" t="b">
        <v>0</v>
      </c>
      <c r="Q1694" s="117" t="s">
        <v>368</v>
      </c>
    </row>
    <row r="1695" hidden="1">
      <c r="A1695" s="108"/>
      <c r="B1695" s="220"/>
      <c r="C1695" s="220" t="s">
        <v>453</v>
      </c>
      <c r="D1695" s="220" t="str">
        <f>vlookup(M1695,'Página10'!A:B,2,false)</f>
        <v>INOV00032</v>
      </c>
      <c r="E1695" s="134" t="s">
        <v>137</v>
      </c>
      <c r="F1695" s="225">
        <v>45274.0</v>
      </c>
      <c r="G1695" s="222">
        <v>0.041666666666666664</v>
      </c>
      <c r="H1695" s="134" t="s">
        <v>411</v>
      </c>
      <c r="I1695" s="223" t="s">
        <v>411</v>
      </c>
      <c r="J1695" s="223" t="b">
        <f t="shared" si="1"/>
        <v>1</v>
      </c>
      <c r="K1695" s="145" t="s">
        <v>1523</v>
      </c>
      <c r="L1695" s="156"/>
      <c r="M1695" s="134" t="s">
        <v>452</v>
      </c>
      <c r="N1695" s="150">
        <f>if(and(O1695=TRUE,P1695=TRUE), VLOOKUP($E1695,PESSOAL!$B$35:$S$45,MONTH($F1695)+6,false)*G1695*24,0)</f>
        <v>0</v>
      </c>
      <c r="O1695" s="117" t="b">
        <f t="shared" si="7"/>
        <v>1</v>
      </c>
      <c r="P1695" s="117" t="b">
        <v>0</v>
      </c>
      <c r="Q1695" s="117" t="s">
        <v>368</v>
      </c>
    </row>
    <row r="1696" hidden="1">
      <c r="A1696" s="108"/>
      <c r="B1696" s="220"/>
      <c r="C1696" s="220" t="s">
        <v>52</v>
      </c>
      <c r="D1696" s="220" t="str">
        <f>vlookup(M1696,'Página10'!A:B,2,false)</f>
        <v>INOV00013</v>
      </c>
      <c r="E1696" s="134" t="s">
        <v>137</v>
      </c>
      <c r="F1696" s="225">
        <v>45274.0</v>
      </c>
      <c r="G1696" s="222">
        <v>0.041666666666666664</v>
      </c>
      <c r="H1696" s="134" t="s">
        <v>411</v>
      </c>
      <c r="I1696" s="223" t="s">
        <v>479</v>
      </c>
      <c r="J1696" s="223" t="b">
        <f t="shared" si="1"/>
        <v>0</v>
      </c>
      <c r="K1696" s="145" t="s">
        <v>1524</v>
      </c>
      <c r="L1696" s="156"/>
      <c r="M1696" s="134" t="s">
        <v>426</v>
      </c>
      <c r="N1696" s="150">
        <f>if(and(O1696=TRUE,P1696=TRUE), VLOOKUP($E1696,PESSOAL!$B$35:$S$45,MONTH($F1696)+6,false)*G1696*24,0)</f>
        <v>0</v>
      </c>
      <c r="O1696" s="117" t="b">
        <f t="shared" si="7"/>
        <v>0</v>
      </c>
      <c r="P1696" s="117" t="b">
        <v>1</v>
      </c>
      <c r="Q1696" s="117" t="s">
        <v>368</v>
      </c>
    </row>
    <row r="1697" hidden="1">
      <c r="A1697" s="108"/>
      <c r="B1697" s="220"/>
      <c r="C1697" s="220" t="s">
        <v>52</v>
      </c>
      <c r="D1697" s="220" t="str">
        <f>vlookup(M1697,'Página10'!A:B,2,false)</f>
        <v>INOV00013</v>
      </c>
      <c r="E1697" s="134" t="s">
        <v>137</v>
      </c>
      <c r="F1697" s="225">
        <v>45275.0</v>
      </c>
      <c r="G1697" s="222">
        <v>0.041666666666666664</v>
      </c>
      <c r="H1697" s="134" t="s">
        <v>411</v>
      </c>
      <c r="I1697" s="223" t="s">
        <v>479</v>
      </c>
      <c r="J1697" s="223" t="b">
        <f t="shared" si="1"/>
        <v>0</v>
      </c>
      <c r="K1697" s="145" t="s">
        <v>1525</v>
      </c>
      <c r="L1697" s="156"/>
      <c r="M1697" s="134" t="s">
        <v>426</v>
      </c>
      <c r="N1697" s="150">
        <f>if(and(O1697=TRUE,P1697=TRUE), VLOOKUP($E1697,PESSOAL!$B$35:$S$45,MONTH($F1697)+6,false)*G1697*24,0)</f>
        <v>0</v>
      </c>
      <c r="O1697" s="117" t="b">
        <f t="shared" si="7"/>
        <v>0</v>
      </c>
      <c r="P1697" s="117" t="b">
        <v>1</v>
      </c>
      <c r="Q1697" s="117" t="s">
        <v>368</v>
      </c>
    </row>
    <row r="1698" hidden="1">
      <c r="A1698" s="108"/>
      <c r="B1698" s="220"/>
      <c r="C1698" s="220" t="s">
        <v>433</v>
      </c>
      <c r="D1698" s="220" t="str">
        <f>vlookup(M1698,'Página10'!A:B,2,false)</f>
        <v>INOV00019</v>
      </c>
      <c r="E1698" s="134" t="s">
        <v>137</v>
      </c>
      <c r="F1698" s="225">
        <v>45278.0</v>
      </c>
      <c r="G1698" s="222">
        <v>0.1875</v>
      </c>
      <c r="H1698" s="134" t="s">
        <v>411</v>
      </c>
      <c r="I1698" s="223" t="s">
        <v>411</v>
      </c>
      <c r="J1698" s="223" t="b">
        <f t="shared" si="1"/>
        <v>1</v>
      </c>
      <c r="K1698" s="145" t="s">
        <v>1526</v>
      </c>
      <c r="L1698" s="156"/>
      <c r="M1698" s="134" t="s">
        <v>432</v>
      </c>
      <c r="N1698" s="150">
        <f>if(and(O1698=TRUE,P1698=TRUE), VLOOKUP($E1698,PESSOAL!$B$35:$S$45,MONTH($F1698)+6,false)*G1698*24,0)</f>
        <v>0</v>
      </c>
      <c r="O1698" s="117" t="b">
        <f t="shared" si="7"/>
        <v>1</v>
      </c>
      <c r="P1698" s="117" t="b">
        <v>0</v>
      </c>
      <c r="Q1698" s="117" t="s">
        <v>368</v>
      </c>
    </row>
    <row r="1699" hidden="1">
      <c r="A1699" s="108"/>
      <c r="B1699" s="220"/>
      <c r="C1699" s="220" t="s">
        <v>52</v>
      </c>
      <c r="D1699" s="220" t="str">
        <f>vlookup(M1699,'Página10'!A:B,2,false)</f>
        <v>INOV00013</v>
      </c>
      <c r="E1699" s="134" t="s">
        <v>137</v>
      </c>
      <c r="F1699" s="225">
        <v>45278.0</v>
      </c>
      <c r="G1699" s="222">
        <v>0.010416666666666666</v>
      </c>
      <c r="H1699" s="134" t="s">
        <v>411</v>
      </c>
      <c r="I1699" s="223" t="s">
        <v>479</v>
      </c>
      <c r="J1699" s="223" t="b">
        <f t="shared" si="1"/>
        <v>0</v>
      </c>
      <c r="K1699" s="145" t="s">
        <v>1527</v>
      </c>
      <c r="L1699" s="156"/>
      <c r="M1699" s="134" t="s">
        <v>426</v>
      </c>
      <c r="N1699" s="150">
        <f>if(and(O1699=TRUE,P1699=TRUE), VLOOKUP($E1699,PESSOAL!$B$35:$S$45,MONTH($F1699)+6,false)*G1699*24,0)</f>
        <v>0</v>
      </c>
      <c r="O1699" s="117" t="b">
        <f t="shared" si="7"/>
        <v>0</v>
      </c>
      <c r="P1699" s="117" t="b">
        <v>1</v>
      </c>
      <c r="Q1699" s="117" t="s">
        <v>368</v>
      </c>
    </row>
    <row r="1700" hidden="1">
      <c r="A1700" s="108"/>
      <c r="B1700" s="220"/>
      <c r="C1700" s="220" t="s">
        <v>49</v>
      </c>
      <c r="D1700" s="220" t="str">
        <f>vlookup(M1700,'Página10'!A:B,2,false)</f>
        <v>INOV00004</v>
      </c>
      <c r="E1700" s="134" t="s">
        <v>126</v>
      </c>
      <c r="F1700" s="225">
        <v>45225.0</v>
      </c>
      <c r="G1700" s="222">
        <v>0.16666666666666666</v>
      </c>
      <c r="H1700" s="134" t="s">
        <v>411</v>
      </c>
      <c r="I1700" s="223" t="s">
        <v>411</v>
      </c>
      <c r="J1700" s="223" t="b">
        <f t="shared" si="1"/>
        <v>1</v>
      </c>
      <c r="K1700" s="145" t="s">
        <v>1528</v>
      </c>
      <c r="L1700" s="156"/>
      <c r="M1700" s="134" t="s">
        <v>421</v>
      </c>
      <c r="N1700" s="150">
        <f>if(and(O1700=TRUE,P1700=TRUE), VLOOKUP($E1700,PESSOAL!$B$35:$S$45,MONTH($F1700)+6,false)*G1700*24,0)</f>
        <v>200.8997966</v>
      </c>
      <c r="O1700" s="117" t="b">
        <f t="shared" si="7"/>
        <v>1</v>
      </c>
      <c r="P1700" s="117" t="b">
        <v>1</v>
      </c>
      <c r="Q1700" s="117" t="s">
        <v>368</v>
      </c>
    </row>
    <row r="1701" hidden="1">
      <c r="A1701" s="108"/>
      <c r="B1701" s="220"/>
      <c r="C1701" s="220" t="s">
        <v>49</v>
      </c>
      <c r="D1701" s="220" t="str">
        <f>vlookup(M1701,'Página10'!A:B,2,false)</f>
        <v>INOV00004</v>
      </c>
      <c r="E1701" s="134" t="s">
        <v>126</v>
      </c>
      <c r="F1701" s="225">
        <v>45226.0</v>
      </c>
      <c r="G1701" s="222">
        <v>0.16666666666666666</v>
      </c>
      <c r="H1701" s="134" t="s">
        <v>411</v>
      </c>
      <c r="I1701" s="223" t="s">
        <v>411</v>
      </c>
      <c r="J1701" s="223" t="b">
        <f t="shared" si="1"/>
        <v>1</v>
      </c>
      <c r="K1701" s="145" t="s">
        <v>1528</v>
      </c>
      <c r="L1701" s="156"/>
      <c r="M1701" s="134" t="s">
        <v>421</v>
      </c>
      <c r="N1701" s="150">
        <f>if(and(O1701=TRUE,P1701=TRUE), VLOOKUP($E1701,PESSOAL!$B$35:$S$45,MONTH($F1701)+6,false)*G1701*24,0)</f>
        <v>200.8997966</v>
      </c>
      <c r="O1701" s="117" t="b">
        <f t="shared" si="7"/>
        <v>1</v>
      </c>
      <c r="P1701" s="117" t="b">
        <v>1</v>
      </c>
      <c r="Q1701" s="117" t="s">
        <v>368</v>
      </c>
    </row>
    <row r="1702" hidden="1">
      <c r="A1702" s="108"/>
      <c r="B1702" s="220"/>
      <c r="C1702" s="220" t="s">
        <v>448</v>
      </c>
      <c r="D1702" s="220" t="str">
        <f>vlookup(M1702,'Página10'!A:B,2,false)</f>
        <v>INOV00029</v>
      </c>
      <c r="E1702" s="134" t="s">
        <v>126</v>
      </c>
      <c r="F1702" s="225">
        <v>45229.0</v>
      </c>
      <c r="G1702" s="222">
        <v>0.20833333333333334</v>
      </c>
      <c r="H1702" s="134" t="s">
        <v>475</v>
      </c>
      <c r="I1702" s="223" t="s">
        <v>475</v>
      </c>
      <c r="J1702" s="223" t="b">
        <f t="shared" si="1"/>
        <v>1</v>
      </c>
      <c r="K1702" s="145" t="s">
        <v>1529</v>
      </c>
      <c r="L1702" s="156"/>
      <c r="M1702" s="134" t="s">
        <v>447</v>
      </c>
      <c r="N1702" s="150">
        <f>if(and(O1702=TRUE,P1702=TRUE), VLOOKUP($E1702,PESSOAL!$B$35:$S$45,MONTH($F1702)+6,false)*G1702*24,0)</f>
        <v>0</v>
      </c>
      <c r="O1702" s="117" t="b">
        <f t="shared" si="7"/>
        <v>1</v>
      </c>
      <c r="P1702" s="117" t="b">
        <v>0</v>
      </c>
      <c r="Q1702" s="117" t="s">
        <v>368</v>
      </c>
    </row>
    <row r="1703" hidden="1">
      <c r="A1703" s="108"/>
      <c r="B1703" s="220"/>
      <c r="C1703" s="220" t="s">
        <v>49</v>
      </c>
      <c r="D1703" s="220" t="str">
        <f>vlookup(M1703,'Página10'!A:B,2,false)</f>
        <v>INOV00004</v>
      </c>
      <c r="E1703" s="134" t="s">
        <v>126</v>
      </c>
      <c r="F1703" s="225">
        <v>45231.0</v>
      </c>
      <c r="G1703" s="222">
        <v>0.08333333333333333</v>
      </c>
      <c r="H1703" s="134" t="s">
        <v>411</v>
      </c>
      <c r="I1703" s="223" t="s">
        <v>411</v>
      </c>
      <c r="J1703" s="223" t="b">
        <f t="shared" si="1"/>
        <v>1</v>
      </c>
      <c r="K1703" s="145" t="s">
        <v>1528</v>
      </c>
      <c r="L1703" s="156"/>
      <c r="M1703" s="134" t="s">
        <v>421</v>
      </c>
      <c r="N1703" s="150">
        <f>if(and(O1703=TRUE,P1703=TRUE), VLOOKUP($E1703,PESSOAL!$B$35:$S$45,MONTH($F1703)+6,false)*G1703*24,0)</f>
        <v>105.4723932</v>
      </c>
      <c r="O1703" s="117" t="b">
        <f t="shared" si="7"/>
        <v>1</v>
      </c>
      <c r="P1703" s="117" t="b">
        <v>1</v>
      </c>
      <c r="Q1703" s="117" t="s">
        <v>368</v>
      </c>
    </row>
    <row r="1704" hidden="1">
      <c r="A1704" s="108"/>
      <c r="B1704" s="220"/>
      <c r="C1704" s="220" t="s">
        <v>290</v>
      </c>
      <c r="D1704" s="220" t="str">
        <f>vlookup(M1704,'Página10'!A:B,2,false)</f>
        <v>INOV00001</v>
      </c>
      <c r="E1704" s="134" t="s">
        <v>126</v>
      </c>
      <c r="F1704" s="225">
        <v>45233.0</v>
      </c>
      <c r="G1704" s="222">
        <v>0.16666666666666666</v>
      </c>
      <c r="H1704" s="134" t="s">
        <v>411</v>
      </c>
      <c r="I1704" s="223" t="s">
        <v>411</v>
      </c>
      <c r="J1704" s="223" t="b">
        <f t="shared" si="1"/>
        <v>1</v>
      </c>
      <c r="K1704" s="145" t="s">
        <v>592</v>
      </c>
      <c r="L1704" s="156"/>
      <c r="M1704" s="134" t="s">
        <v>416</v>
      </c>
      <c r="N1704" s="150">
        <f>if(and(O1704=TRUE,P1704=TRUE), VLOOKUP($E1704,PESSOAL!$B$35:$S$45,MONTH($F1704)+6,false)*G1704*24,0)</f>
        <v>210.9447865</v>
      </c>
      <c r="O1704" s="117" t="b">
        <f t="shared" si="7"/>
        <v>1</v>
      </c>
      <c r="P1704" s="117" t="b">
        <v>1</v>
      </c>
      <c r="Q1704" s="117" t="s">
        <v>368</v>
      </c>
    </row>
    <row r="1705" hidden="1">
      <c r="A1705" s="108"/>
      <c r="B1705" s="220"/>
      <c r="C1705" s="220" t="s">
        <v>49</v>
      </c>
      <c r="D1705" s="220" t="str">
        <f>vlookup(M1705,'Página10'!A:B,2,false)</f>
        <v>INOV00004</v>
      </c>
      <c r="E1705" s="134" t="s">
        <v>126</v>
      </c>
      <c r="F1705" s="225">
        <v>45233.0</v>
      </c>
      <c r="G1705" s="222">
        <v>0.08333333333333333</v>
      </c>
      <c r="H1705" s="134" t="s">
        <v>411</v>
      </c>
      <c r="I1705" s="223" t="s">
        <v>411</v>
      </c>
      <c r="J1705" s="223" t="b">
        <f t="shared" si="1"/>
        <v>1</v>
      </c>
      <c r="K1705" s="145" t="s">
        <v>1528</v>
      </c>
      <c r="L1705" s="156"/>
      <c r="M1705" s="134" t="s">
        <v>421</v>
      </c>
      <c r="N1705" s="150">
        <f>if(and(O1705=TRUE,P1705=TRUE), VLOOKUP($E1705,PESSOAL!$B$35:$S$45,MONTH($F1705)+6,false)*G1705*24,0)</f>
        <v>105.4723932</v>
      </c>
      <c r="O1705" s="117" t="b">
        <f t="shared" si="7"/>
        <v>1</v>
      </c>
      <c r="P1705" s="117" t="b">
        <v>1</v>
      </c>
      <c r="Q1705" s="117" t="s">
        <v>368</v>
      </c>
    </row>
    <row r="1706" hidden="1">
      <c r="A1706" s="108"/>
      <c r="B1706" s="220"/>
      <c r="C1706" s="220" t="s">
        <v>441</v>
      </c>
      <c r="D1706" s="220" t="str">
        <f>vlookup(M1706,'Página10'!A:B,2,false)</f>
        <v>INOV00025</v>
      </c>
      <c r="E1706" s="134" t="s">
        <v>126</v>
      </c>
      <c r="F1706" s="225">
        <v>45236.0</v>
      </c>
      <c r="G1706" s="222">
        <v>0.08333333333333333</v>
      </c>
      <c r="H1706" s="134" t="s">
        <v>411</v>
      </c>
      <c r="I1706" s="223" t="s">
        <v>411</v>
      </c>
      <c r="J1706" s="223" t="b">
        <f t="shared" si="1"/>
        <v>1</v>
      </c>
      <c r="K1706" s="145" t="s">
        <v>592</v>
      </c>
      <c r="L1706" s="156"/>
      <c r="M1706" s="134" t="s">
        <v>440</v>
      </c>
      <c r="N1706" s="150">
        <f>if(and(O1706=TRUE,P1706=TRUE), VLOOKUP($E1706,PESSOAL!$B$35:$S$45,MONTH($F1706)+6,false)*G1706*24,0)</f>
        <v>0</v>
      </c>
      <c r="O1706" s="117" t="b">
        <f t="shared" si="7"/>
        <v>1</v>
      </c>
      <c r="P1706" s="117" t="b">
        <v>0</v>
      </c>
      <c r="Q1706" s="117" t="s">
        <v>368</v>
      </c>
    </row>
    <row r="1707" hidden="1">
      <c r="A1707" s="108"/>
      <c r="B1707" s="220"/>
      <c r="C1707" s="220" t="s">
        <v>49</v>
      </c>
      <c r="D1707" s="220" t="str">
        <f>vlookup(M1707,'Página10'!A:B,2,false)</f>
        <v>INOV00004</v>
      </c>
      <c r="E1707" s="134" t="s">
        <v>126</v>
      </c>
      <c r="F1707" s="225">
        <v>45238.0</v>
      </c>
      <c r="G1707" s="222">
        <v>0.16666666666666666</v>
      </c>
      <c r="H1707" s="134" t="s">
        <v>411</v>
      </c>
      <c r="I1707" s="223" t="s">
        <v>411</v>
      </c>
      <c r="J1707" s="223" t="b">
        <f t="shared" si="1"/>
        <v>1</v>
      </c>
      <c r="K1707" s="145" t="s">
        <v>1528</v>
      </c>
      <c r="L1707" s="156"/>
      <c r="M1707" s="134" t="s">
        <v>421</v>
      </c>
      <c r="N1707" s="150">
        <f>if(and(O1707=TRUE,P1707=TRUE), VLOOKUP($E1707,PESSOAL!$B$35:$S$45,MONTH($F1707)+6,false)*G1707*24,0)</f>
        <v>210.9447865</v>
      </c>
      <c r="O1707" s="117" t="b">
        <f t="shared" si="7"/>
        <v>1</v>
      </c>
      <c r="P1707" s="117" t="b">
        <v>1</v>
      </c>
      <c r="Q1707" s="117" t="s">
        <v>368</v>
      </c>
    </row>
    <row r="1708" hidden="1">
      <c r="A1708" s="108"/>
      <c r="B1708" s="220"/>
      <c r="C1708" s="220" t="s">
        <v>49</v>
      </c>
      <c r="D1708" s="220" t="str">
        <f>vlookup(M1708,'Página10'!A:B,2,false)</f>
        <v>INOV00004</v>
      </c>
      <c r="E1708" s="134" t="s">
        <v>126</v>
      </c>
      <c r="F1708" s="225">
        <v>45239.0</v>
      </c>
      <c r="G1708" s="222">
        <v>0.125</v>
      </c>
      <c r="H1708" s="134" t="s">
        <v>411</v>
      </c>
      <c r="I1708" s="223" t="s">
        <v>411</v>
      </c>
      <c r="J1708" s="223" t="b">
        <f t="shared" si="1"/>
        <v>1</v>
      </c>
      <c r="K1708" s="145" t="s">
        <v>1528</v>
      </c>
      <c r="L1708" s="156"/>
      <c r="M1708" s="134" t="s">
        <v>421</v>
      </c>
      <c r="N1708" s="150">
        <f>if(and(O1708=TRUE,P1708=TRUE), VLOOKUP($E1708,PESSOAL!$B$35:$S$45,MONTH($F1708)+6,false)*G1708*24,0)</f>
        <v>158.2085898</v>
      </c>
      <c r="O1708" s="117" t="b">
        <f t="shared" si="7"/>
        <v>1</v>
      </c>
      <c r="P1708" s="117" t="b">
        <v>1</v>
      </c>
      <c r="Q1708" s="117" t="s">
        <v>368</v>
      </c>
    </row>
    <row r="1709" hidden="1">
      <c r="A1709" s="108"/>
      <c r="B1709" s="220"/>
      <c r="C1709" s="220" t="s">
        <v>448</v>
      </c>
      <c r="D1709" s="220" t="str">
        <f>vlookup(M1709,'Página10'!A:B,2,false)</f>
        <v>INOV00029</v>
      </c>
      <c r="E1709" s="134" t="s">
        <v>126</v>
      </c>
      <c r="F1709" s="225">
        <v>45243.0</v>
      </c>
      <c r="G1709" s="222">
        <v>0.08333333333333333</v>
      </c>
      <c r="H1709" s="134" t="s">
        <v>475</v>
      </c>
      <c r="I1709" s="223" t="s">
        <v>475</v>
      </c>
      <c r="J1709" s="223" t="b">
        <f t="shared" si="1"/>
        <v>1</v>
      </c>
      <c r="K1709" s="145" t="s">
        <v>1529</v>
      </c>
      <c r="L1709" s="156"/>
      <c r="M1709" s="134" t="s">
        <v>447</v>
      </c>
      <c r="N1709" s="150">
        <f>if(and(O1709=TRUE,P1709=TRUE), VLOOKUP($E1709,PESSOAL!$B$35:$S$45,MONTH($F1709)+6,false)*G1709*24,0)</f>
        <v>0</v>
      </c>
      <c r="O1709" s="117" t="b">
        <f t="shared" si="7"/>
        <v>1</v>
      </c>
      <c r="P1709" s="117" t="b">
        <v>0</v>
      </c>
      <c r="Q1709" s="117" t="s">
        <v>368</v>
      </c>
    </row>
    <row r="1710" hidden="1">
      <c r="A1710" s="108"/>
      <c r="B1710" s="220"/>
      <c r="C1710" s="220" t="s">
        <v>290</v>
      </c>
      <c r="D1710" s="220" t="str">
        <f>vlookup(M1710,'Página10'!A:B,2,false)</f>
        <v>INOV00001</v>
      </c>
      <c r="E1710" s="134" t="s">
        <v>126</v>
      </c>
      <c r="F1710" s="225">
        <v>45244.0</v>
      </c>
      <c r="G1710" s="222">
        <v>0.08333333333333333</v>
      </c>
      <c r="H1710" s="134" t="s">
        <v>411</v>
      </c>
      <c r="I1710" s="223" t="s">
        <v>411</v>
      </c>
      <c r="J1710" s="223" t="b">
        <f t="shared" si="1"/>
        <v>1</v>
      </c>
      <c r="K1710" s="145" t="s">
        <v>592</v>
      </c>
      <c r="L1710" s="156"/>
      <c r="M1710" s="134" t="s">
        <v>416</v>
      </c>
      <c r="N1710" s="150">
        <f>if(and(O1710=TRUE,P1710=TRUE), VLOOKUP($E1710,PESSOAL!$B$35:$S$45,MONTH($F1710)+6,false)*G1710*24,0)</f>
        <v>105.4723932</v>
      </c>
      <c r="O1710" s="117" t="b">
        <f t="shared" si="7"/>
        <v>1</v>
      </c>
      <c r="P1710" s="117" t="b">
        <v>1</v>
      </c>
      <c r="Q1710" s="117" t="s">
        <v>368</v>
      </c>
    </row>
    <row r="1711" hidden="1">
      <c r="A1711" s="108"/>
      <c r="B1711" s="220"/>
      <c r="C1711" s="220" t="s">
        <v>49</v>
      </c>
      <c r="D1711" s="220" t="str">
        <f>vlookup(M1711,'Página10'!A:B,2,false)</f>
        <v>INOV00004</v>
      </c>
      <c r="E1711" s="134" t="s">
        <v>126</v>
      </c>
      <c r="F1711" s="225">
        <v>45246.0</v>
      </c>
      <c r="G1711" s="222">
        <v>0.08333333333333333</v>
      </c>
      <c r="H1711" s="134" t="s">
        <v>411</v>
      </c>
      <c r="I1711" s="223" t="s">
        <v>411</v>
      </c>
      <c r="J1711" s="223" t="b">
        <f t="shared" si="1"/>
        <v>1</v>
      </c>
      <c r="K1711" s="145" t="s">
        <v>1528</v>
      </c>
      <c r="L1711" s="156"/>
      <c r="M1711" s="134" t="s">
        <v>421</v>
      </c>
      <c r="N1711" s="150">
        <f>if(and(O1711=TRUE,P1711=TRUE), VLOOKUP($E1711,PESSOAL!$B$35:$S$45,MONTH($F1711)+6,false)*G1711*24,0)</f>
        <v>105.4723932</v>
      </c>
      <c r="O1711" s="117" t="b">
        <f t="shared" si="7"/>
        <v>1</v>
      </c>
      <c r="P1711" s="117" t="b">
        <v>1</v>
      </c>
      <c r="Q1711" s="117" t="s">
        <v>368</v>
      </c>
    </row>
    <row r="1712" hidden="1">
      <c r="A1712" s="108"/>
      <c r="B1712" s="220"/>
      <c r="C1712" s="220" t="s">
        <v>441</v>
      </c>
      <c r="D1712" s="220" t="str">
        <f>vlookup(M1712,'Página10'!A:B,2,false)</f>
        <v>INOV00025</v>
      </c>
      <c r="E1712" s="134" t="s">
        <v>126</v>
      </c>
      <c r="F1712" s="225">
        <v>45247.0</v>
      </c>
      <c r="G1712" s="222">
        <v>0.08333333333333333</v>
      </c>
      <c r="H1712" s="134" t="s">
        <v>411</v>
      </c>
      <c r="I1712" s="223" t="s">
        <v>411</v>
      </c>
      <c r="J1712" s="223" t="b">
        <f t="shared" si="1"/>
        <v>1</v>
      </c>
      <c r="K1712" s="145" t="s">
        <v>592</v>
      </c>
      <c r="L1712" s="156"/>
      <c r="M1712" s="134" t="s">
        <v>440</v>
      </c>
      <c r="N1712" s="150">
        <f>if(and(O1712=TRUE,P1712=TRUE), VLOOKUP($E1712,PESSOAL!$B$35:$S$45,MONTH($F1712)+6,false)*G1712*24,0)</f>
        <v>0</v>
      </c>
      <c r="O1712" s="117" t="b">
        <f t="shared" si="7"/>
        <v>1</v>
      </c>
      <c r="P1712" s="117" t="b">
        <v>0</v>
      </c>
      <c r="Q1712" s="117" t="s">
        <v>368</v>
      </c>
    </row>
    <row r="1713" hidden="1">
      <c r="A1713" s="108"/>
      <c r="B1713" s="220"/>
      <c r="C1713" s="220" t="s">
        <v>49</v>
      </c>
      <c r="D1713" s="220" t="str">
        <f>vlookup(M1713,'Página10'!A:B,2,false)</f>
        <v>INOV00004</v>
      </c>
      <c r="E1713" s="134" t="s">
        <v>126</v>
      </c>
      <c r="F1713" s="225">
        <v>45247.0</v>
      </c>
      <c r="G1713" s="222">
        <v>0.08333333333333333</v>
      </c>
      <c r="H1713" s="134" t="s">
        <v>411</v>
      </c>
      <c r="I1713" s="223" t="s">
        <v>411</v>
      </c>
      <c r="J1713" s="223" t="b">
        <f t="shared" si="1"/>
        <v>1</v>
      </c>
      <c r="K1713" s="145" t="s">
        <v>1528</v>
      </c>
      <c r="L1713" s="156"/>
      <c r="M1713" s="134" t="s">
        <v>421</v>
      </c>
      <c r="N1713" s="150">
        <f>if(and(O1713=TRUE,P1713=TRUE), VLOOKUP($E1713,PESSOAL!$B$35:$S$45,MONTH($F1713)+6,false)*G1713*24,0)</f>
        <v>105.4723932</v>
      </c>
      <c r="O1713" s="117" t="b">
        <f t="shared" si="7"/>
        <v>1</v>
      </c>
      <c r="P1713" s="117" t="b">
        <v>1</v>
      </c>
      <c r="Q1713" s="117" t="s">
        <v>368</v>
      </c>
    </row>
    <row r="1714" hidden="1">
      <c r="A1714" s="108"/>
      <c r="B1714" s="220"/>
      <c r="C1714" s="220" t="s">
        <v>49</v>
      </c>
      <c r="D1714" s="220" t="str">
        <f>vlookup(M1714,'Página10'!A:B,2,false)</f>
        <v>INOV00004</v>
      </c>
      <c r="E1714" s="134" t="s">
        <v>126</v>
      </c>
      <c r="F1714" s="225">
        <v>45250.0</v>
      </c>
      <c r="G1714" s="222">
        <v>0.125</v>
      </c>
      <c r="H1714" s="134" t="s">
        <v>411</v>
      </c>
      <c r="I1714" s="223" t="s">
        <v>411</v>
      </c>
      <c r="J1714" s="223" t="b">
        <f t="shared" si="1"/>
        <v>1</v>
      </c>
      <c r="K1714" s="145" t="s">
        <v>1528</v>
      </c>
      <c r="L1714" s="156"/>
      <c r="M1714" s="134" t="s">
        <v>421</v>
      </c>
      <c r="N1714" s="150">
        <f>if(and(O1714=TRUE,P1714=TRUE), VLOOKUP($E1714,PESSOAL!$B$35:$S$45,MONTH($F1714)+6,false)*G1714*24,0)</f>
        <v>158.2085898</v>
      </c>
      <c r="O1714" s="117" t="b">
        <f t="shared" si="7"/>
        <v>1</v>
      </c>
      <c r="P1714" s="117" t="b">
        <v>1</v>
      </c>
      <c r="Q1714" s="117" t="s">
        <v>368</v>
      </c>
    </row>
    <row r="1715" hidden="1">
      <c r="A1715" s="108"/>
      <c r="B1715" s="220"/>
      <c r="C1715" s="220" t="s">
        <v>50</v>
      </c>
      <c r="D1715" s="220" t="str">
        <f>vlookup(M1715,'Página10'!A:B,2,false)</f>
        <v>INOV00006</v>
      </c>
      <c r="E1715" s="134" t="s">
        <v>126</v>
      </c>
      <c r="F1715" s="225">
        <v>45251.0</v>
      </c>
      <c r="G1715" s="222">
        <v>0.08333333333333333</v>
      </c>
      <c r="H1715" s="134" t="s">
        <v>411</v>
      </c>
      <c r="I1715" s="223" t="s">
        <v>411</v>
      </c>
      <c r="J1715" s="223" t="b">
        <f t="shared" si="1"/>
        <v>1</v>
      </c>
      <c r="K1715" s="145" t="s">
        <v>592</v>
      </c>
      <c r="L1715" s="156"/>
      <c r="M1715" s="134" t="s">
        <v>422</v>
      </c>
      <c r="N1715" s="150">
        <f>if(and(O1715=TRUE,P1715=TRUE), VLOOKUP($E1715,PESSOAL!$B$35:$S$45,MONTH($F1715)+6,false)*G1715*24,0)</f>
        <v>105.4723932</v>
      </c>
      <c r="O1715" s="117" t="b">
        <f t="shared" si="7"/>
        <v>1</v>
      </c>
      <c r="P1715" s="117" t="b">
        <v>1</v>
      </c>
      <c r="Q1715" s="117" t="s">
        <v>368</v>
      </c>
    </row>
    <row r="1716" hidden="1">
      <c r="A1716" s="108"/>
      <c r="B1716" s="220"/>
      <c r="C1716" s="220" t="s">
        <v>50</v>
      </c>
      <c r="D1716" s="220" t="str">
        <f>vlookup(M1716,'Página10'!A:B,2,false)</f>
        <v>INOV00006</v>
      </c>
      <c r="E1716" s="134" t="s">
        <v>126</v>
      </c>
      <c r="F1716" s="225">
        <v>45254.0</v>
      </c>
      <c r="G1716" s="222">
        <v>0.041666666666666664</v>
      </c>
      <c r="H1716" s="134" t="s">
        <v>411</v>
      </c>
      <c r="I1716" s="223" t="s">
        <v>411</v>
      </c>
      <c r="J1716" s="223" t="b">
        <f t="shared" si="1"/>
        <v>1</v>
      </c>
      <c r="K1716" s="145" t="s">
        <v>592</v>
      </c>
      <c r="L1716" s="156"/>
      <c r="M1716" s="134" t="s">
        <v>422</v>
      </c>
      <c r="N1716" s="150">
        <f>if(and(O1716=TRUE,P1716=TRUE), VLOOKUP($E1716,PESSOAL!$B$35:$S$45,MONTH($F1716)+6,false)*G1716*24,0)</f>
        <v>52.73619661</v>
      </c>
      <c r="O1716" s="117" t="b">
        <f t="shared" si="7"/>
        <v>1</v>
      </c>
      <c r="P1716" s="117" t="b">
        <v>1</v>
      </c>
      <c r="Q1716" s="117" t="s">
        <v>368</v>
      </c>
    </row>
    <row r="1717" hidden="1">
      <c r="A1717" s="108"/>
      <c r="B1717" s="220"/>
      <c r="C1717" s="220" t="s">
        <v>49</v>
      </c>
      <c r="D1717" s="220" t="str">
        <f>vlookup(M1717,'Página10'!A:B,2,false)</f>
        <v>INOV00004</v>
      </c>
      <c r="E1717" s="134" t="s">
        <v>126</v>
      </c>
      <c r="F1717" s="225">
        <v>45254.0</v>
      </c>
      <c r="G1717" s="222">
        <v>0.125</v>
      </c>
      <c r="H1717" s="134" t="s">
        <v>411</v>
      </c>
      <c r="I1717" s="223" t="s">
        <v>411</v>
      </c>
      <c r="J1717" s="223" t="b">
        <f t="shared" si="1"/>
        <v>1</v>
      </c>
      <c r="K1717" s="145" t="s">
        <v>1528</v>
      </c>
      <c r="L1717" s="156"/>
      <c r="M1717" s="134" t="s">
        <v>421</v>
      </c>
      <c r="N1717" s="150">
        <f>if(and(O1717=TRUE,P1717=TRUE), VLOOKUP($E1717,PESSOAL!$B$35:$S$45,MONTH($F1717)+6,false)*G1717*24,0)</f>
        <v>158.2085898</v>
      </c>
      <c r="O1717" s="117" t="b">
        <f t="shared" si="7"/>
        <v>1</v>
      </c>
      <c r="P1717" s="117" t="b">
        <v>1</v>
      </c>
      <c r="Q1717" s="117" t="s">
        <v>368</v>
      </c>
    </row>
    <row r="1718" hidden="1">
      <c r="A1718" s="108"/>
      <c r="B1718" s="220"/>
      <c r="C1718" s="220" t="s">
        <v>448</v>
      </c>
      <c r="D1718" s="220" t="str">
        <f>vlookup(M1718,'Página10'!A:B,2,false)</f>
        <v>INOV00029</v>
      </c>
      <c r="E1718" s="134" t="s">
        <v>126</v>
      </c>
      <c r="F1718" s="225">
        <v>45259.0</v>
      </c>
      <c r="G1718" s="222">
        <v>0.08333333333333333</v>
      </c>
      <c r="H1718" s="134" t="s">
        <v>475</v>
      </c>
      <c r="I1718" s="223" t="s">
        <v>475</v>
      </c>
      <c r="J1718" s="223" t="b">
        <f t="shared" si="1"/>
        <v>1</v>
      </c>
      <c r="K1718" s="145" t="s">
        <v>1529</v>
      </c>
      <c r="L1718" s="156"/>
      <c r="M1718" s="134" t="s">
        <v>447</v>
      </c>
      <c r="N1718" s="150">
        <f>if(and(O1718=TRUE,P1718=TRUE), VLOOKUP($E1718,PESSOAL!$B$35:$S$45,MONTH($F1718)+6,false)*G1718*24,0)</f>
        <v>0</v>
      </c>
      <c r="O1718" s="117" t="b">
        <f t="shared" si="7"/>
        <v>1</v>
      </c>
      <c r="P1718" s="117" t="b">
        <v>0</v>
      </c>
      <c r="Q1718" s="117" t="s">
        <v>368</v>
      </c>
    </row>
    <row r="1719" hidden="1">
      <c r="A1719" s="108"/>
      <c r="B1719" s="220"/>
      <c r="C1719" s="220" t="s">
        <v>441</v>
      </c>
      <c r="D1719" s="220" t="str">
        <f>vlookup(M1719,'Página10'!A:B,2,false)</f>
        <v>INOV00025</v>
      </c>
      <c r="E1719" s="134" t="s">
        <v>126</v>
      </c>
      <c r="F1719" s="225">
        <v>45260.0</v>
      </c>
      <c r="G1719" s="222">
        <v>0.125</v>
      </c>
      <c r="H1719" s="134" t="s">
        <v>411</v>
      </c>
      <c r="I1719" s="223" t="s">
        <v>411</v>
      </c>
      <c r="J1719" s="223" t="b">
        <f t="shared" si="1"/>
        <v>1</v>
      </c>
      <c r="K1719" s="145" t="s">
        <v>592</v>
      </c>
      <c r="L1719" s="156"/>
      <c r="M1719" s="134" t="s">
        <v>440</v>
      </c>
      <c r="N1719" s="150">
        <f>if(and(O1719=TRUE,P1719=TRUE), VLOOKUP($E1719,PESSOAL!$B$35:$S$45,MONTH($F1719)+6,false)*G1719*24,0)</f>
        <v>0</v>
      </c>
      <c r="O1719" s="117" t="b">
        <f t="shared" si="7"/>
        <v>1</v>
      </c>
      <c r="P1719" s="117" t="b">
        <v>0</v>
      </c>
      <c r="Q1719" s="117" t="s">
        <v>368</v>
      </c>
    </row>
    <row r="1720" hidden="1">
      <c r="A1720" s="108"/>
      <c r="B1720" s="220"/>
      <c r="C1720" s="220" t="s">
        <v>59</v>
      </c>
      <c r="D1720" s="220" t="str">
        <f>vlookup(M1720,'Página10'!A:B,2,false)</f>
        <v>INOV00024</v>
      </c>
      <c r="E1720" s="134" t="s">
        <v>126</v>
      </c>
      <c r="F1720" s="225">
        <v>45260.0</v>
      </c>
      <c r="G1720" s="222">
        <v>0.16666666666666666</v>
      </c>
      <c r="H1720" s="134" t="s">
        <v>475</v>
      </c>
      <c r="I1720" s="223" t="s">
        <v>475</v>
      </c>
      <c r="J1720" s="223" t="b">
        <f t="shared" si="1"/>
        <v>1</v>
      </c>
      <c r="K1720" s="145" t="s">
        <v>595</v>
      </c>
      <c r="L1720" s="156"/>
      <c r="M1720" s="134" t="s">
        <v>439</v>
      </c>
      <c r="N1720" s="150">
        <f>if(and(O1720=TRUE,P1720=TRUE), VLOOKUP($E1720,PESSOAL!$B$35:$S$45,MONTH($F1720)+6,false)*G1720*24,0)</f>
        <v>210.9447865</v>
      </c>
      <c r="O1720" s="117" t="b">
        <f t="shared" si="7"/>
        <v>1</v>
      </c>
      <c r="P1720" s="117" t="b">
        <v>1</v>
      </c>
      <c r="Q1720" s="117" t="s">
        <v>368</v>
      </c>
    </row>
    <row r="1721" hidden="1">
      <c r="A1721" s="108"/>
      <c r="B1721" s="220"/>
      <c r="C1721" s="220" t="s">
        <v>441</v>
      </c>
      <c r="D1721" s="220" t="str">
        <f>vlookup(M1721,'Página10'!A:B,2,false)</f>
        <v>INOV00025</v>
      </c>
      <c r="E1721" s="134" t="s">
        <v>126</v>
      </c>
      <c r="F1721" s="225">
        <v>45265.0</v>
      </c>
      <c r="G1721" s="222">
        <v>0.375</v>
      </c>
      <c r="H1721" s="134" t="s">
        <v>411</v>
      </c>
      <c r="I1721" s="223" t="s">
        <v>411</v>
      </c>
      <c r="J1721" s="223" t="b">
        <f t="shared" si="1"/>
        <v>1</v>
      </c>
      <c r="K1721" s="145" t="s">
        <v>1528</v>
      </c>
      <c r="L1721" s="156"/>
      <c r="M1721" s="134" t="s">
        <v>440</v>
      </c>
      <c r="N1721" s="150">
        <f>if(and(O1721=TRUE,P1721=TRUE), VLOOKUP($E1721,PESSOAL!$B$35:$S$45,MONTH($F1721)+6,false)*G1721*24,0)</f>
        <v>0</v>
      </c>
      <c r="O1721" s="117" t="b">
        <f t="shared" si="7"/>
        <v>1</v>
      </c>
      <c r="P1721" s="117" t="b">
        <v>0</v>
      </c>
      <c r="Q1721" s="117" t="s">
        <v>368</v>
      </c>
    </row>
    <row r="1722" hidden="1">
      <c r="A1722" s="108"/>
      <c r="B1722" s="220"/>
      <c r="C1722" s="220" t="s">
        <v>49</v>
      </c>
      <c r="D1722" s="220" t="str">
        <f>vlookup(M1722,'Página10'!A:B,2,false)</f>
        <v>INOV00004</v>
      </c>
      <c r="E1722" s="134" t="s">
        <v>126</v>
      </c>
      <c r="F1722" s="225">
        <v>45271.0</v>
      </c>
      <c r="G1722" s="222">
        <v>0.125</v>
      </c>
      <c r="H1722" s="134" t="s">
        <v>411</v>
      </c>
      <c r="I1722" s="223" t="s">
        <v>411</v>
      </c>
      <c r="J1722" s="223" t="b">
        <f t="shared" si="1"/>
        <v>1</v>
      </c>
      <c r="K1722" s="145" t="s">
        <v>1530</v>
      </c>
      <c r="L1722" s="156"/>
      <c r="M1722" s="134" t="s">
        <v>421</v>
      </c>
      <c r="N1722" s="150">
        <f>if(and(O1722=TRUE,P1722=TRUE), VLOOKUP($E1722,PESSOAL!$B$35:$S$45,MONTH($F1722)+6,false)*G1722*24,0)</f>
        <v>150.6748475</v>
      </c>
      <c r="O1722" s="117" t="b">
        <f t="shared" si="7"/>
        <v>1</v>
      </c>
      <c r="P1722" s="117" t="b">
        <v>1</v>
      </c>
      <c r="Q1722" s="117" t="s">
        <v>368</v>
      </c>
    </row>
    <row r="1723" hidden="1">
      <c r="A1723" s="108"/>
      <c r="B1723" s="220"/>
      <c r="C1723" s="220" t="s">
        <v>50</v>
      </c>
      <c r="D1723" s="220" t="str">
        <f>vlookup(M1723,'Página10'!A:B,2,false)</f>
        <v>INOV00006</v>
      </c>
      <c r="E1723" s="134" t="s">
        <v>126</v>
      </c>
      <c r="F1723" s="225">
        <v>45272.0</v>
      </c>
      <c r="G1723" s="222">
        <v>0.125</v>
      </c>
      <c r="H1723" s="134" t="s">
        <v>411</v>
      </c>
      <c r="I1723" s="223" t="s">
        <v>411</v>
      </c>
      <c r="J1723" s="223" t="b">
        <f t="shared" si="1"/>
        <v>1</v>
      </c>
      <c r="K1723" s="145" t="s">
        <v>592</v>
      </c>
      <c r="L1723" s="156"/>
      <c r="M1723" s="134" t="s">
        <v>422</v>
      </c>
      <c r="N1723" s="150">
        <f>if(and(O1723=TRUE,P1723=TRUE), VLOOKUP($E1723,PESSOAL!$B$35:$S$45,MONTH($F1723)+6,false)*G1723*24,0)</f>
        <v>150.6748475</v>
      </c>
      <c r="O1723" s="117" t="b">
        <f t="shared" si="7"/>
        <v>1</v>
      </c>
      <c r="P1723" s="117" t="b">
        <v>1</v>
      </c>
      <c r="Q1723" s="117" t="s">
        <v>368</v>
      </c>
    </row>
    <row r="1724" hidden="1">
      <c r="A1724" s="108"/>
      <c r="B1724" s="220"/>
      <c r="C1724" s="220" t="s">
        <v>441</v>
      </c>
      <c r="D1724" s="220" t="str">
        <f>vlookup(M1724,'Página10'!A:B,2,false)</f>
        <v>INOV00025</v>
      </c>
      <c r="E1724" s="134" t="s">
        <v>126</v>
      </c>
      <c r="F1724" s="225">
        <v>45272.0</v>
      </c>
      <c r="G1724" s="222">
        <v>0.08333333333333333</v>
      </c>
      <c r="H1724" s="134" t="s">
        <v>411</v>
      </c>
      <c r="I1724" s="223" t="s">
        <v>411</v>
      </c>
      <c r="J1724" s="223" t="b">
        <f t="shared" si="1"/>
        <v>1</v>
      </c>
      <c r="K1724" s="145" t="s">
        <v>1528</v>
      </c>
      <c r="L1724" s="156"/>
      <c r="M1724" s="134" t="s">
        <v>440</v>
      </c>
      <c r="N1724" s="150">
        <f>if(and(O1724=TRUE,P1724=TRUE), VLOOKUP($E1724,PESSOAL!$B$35:$S$45,MONTH($F1724)+6,false)*G1724*24,0)</f>
        <v>0</v>
      </c>
      <c r="O1724" s="117" t="b">
        <f t="shared" si="7"/>
        <v>1</v>
      </c>
      <c r="P1724" s="117" t="b">
        <v>0</v>
      </c>
      <c r="Q1724" s="117" t="s">
        <v>368</v>
      </c>
    </row>
    <row r="1725" hidden="1">
      <c r="A1725" s="108"/>
      <c r="B1725" s="220"/>
      <c r="C1725" s="220" t="s">
        <v>55</v>
      </c>
      <c r="D1725" s="220" t="str">
        <f>vlookup(M1725,'Página10'!A:B,2,false)</f>
        <v>INOV00017</v>
      </c>
      <c r="E1725" s="134" t="s">
        <v>126</v>
      </c>
      <c r="F1725" s="225">
        <v>45273.0</v>
      </c>
      <c r="G1725" s="222">
        <v>0.08333333333333333</v>
      </c>
      <c r="H1725" s="134" t="s">
        <v>411</v>
      </c>
      <c r="I1725" s="223" t="s">
        <v>411</v>
      </c>
      <c r="J1725" s="223" t="b">
        <f t="shared" si="1"/>
        <v>1</v>
      </c>
      <c r="K1725" s="145" t="s">
        <v>592</v>
      </c>
      <c r="L1725" s="156"/>
      <c r="M1725" s="134" t="s">
        <v>429</v>
      </c>
      <c r="N1725" s="150">
        <f>if(and(O1725=TRUE,P1725=TRUE), VLOOKUP($E1725,PESSOAL!$B$35:$S$45,MONTH($F1725)+6,false)*G1725*24,0)</f>
        <v>100.4498983</v>
      </c>
      <c r="O1725" s="117" t="b">
        <f t="shared" si="7"/>
        <v>1</v>
      </c>
      <c r="P1725" s="117" t="b">
        <v>1</v>
      </c>
      <c r="Q1725" s="117" t="s">
        <v>368</v>
      </c>
    </row>
    <row r="1726" hidden="1">
      <c r="A1726" s="108"/>
      <c r="B1726" s="220"/>
      <c r="C1726" s="220" t="s">
        <v>50</v>
      </c>
      <c r="D1726" s="220" t="str">
        <f>vlookup(M1726,'Página10'!A:B,2,false)</f>
        <v>INOV00006</v>
      </c>
      <c r="E1726" s="134" t="s">
        <v>126</v>
      </c>
      <c r="F1726" s="225">
        <v>45275.0</v>
      </c>
      <c r="G1726" s="222">
        <v>0.20833333333333334</v>
      </c>
      <c r="H1726" s="134" t="s">
        <v>411</v>
      </c>
      <c r="I1726" s="223" t="s">
        <v>411</v>
      </c>
      <c r="J1726" s="223" t="b">
        <f t="shared" si="1"/>
        <v>1</v>
      </c>
      <c r="K1726" s="145" t="s">
        <v>592</v>
      </c>
      <c r="L1726" s="156"/>
      <c r="M1726" s="134" t="s">
        <v>422</v>
      </c>
      <c r="N1726" s="150">
        <f>if(and(O1726=TRUE,P1726=TRUE), VLOOKUP($E1726,PESSOAL!$B$35:$S$45,MONTH($F1726)+6,false)*G1726*24,0)</f>
        <v>251.1247458</v>
      </c>
      <c r="O1726" s="117" t="b">
        <f t="shared" si="7"/>
        <v>1</v>
      </c>
      <c r="P1726" s="117" t="b">
        <v>1</v>
      </c>
      <c r="Q1726" s="117" t="s">
        <v>368</v>
      </c>
    </row>
    <row r="1727" hidden="1">
      <c r="A1727" s="108"/>
      <c r="B1727" s="220"/>
      <c r="C1727" s="220" t="s">
        <v>49</v>
      </c>
      <c r="D1727" s="220" t="str">
        <f>vlookup(M1727,'Página10'!A:B,2,false)</f>
        <v>INOV00004</v>
      </c>
      <c r="E1727" s="134" t="s">
        <v>126</v>
      </c>
      <c r="F1727" s="225">
        <v>45278.0</v>
      </c>
      <c r="G1727" s="222">
        <v>0.16666666666666666</v>
      </c>
      <c r="H1727" s="134" t="s">
        <v>411</v>
      </c>
      <c r="I1727" s="223" t="s">
        <v>411</v>
      </c>
      <c r="J1727" s="223" t="b">
        <f t="shared" si="1"/>
        <v>1</v>
      </c>
      <c r="K1727" s="145" t="s">
        <v>1530</v>
      </c>
      <c r="L1727" s="156"/>
      <c r="M1727" s="134" t="s">
        <v>421</v>
      </c>
      <c r="N1727" s="150">
        <f>if(and(O1727=TRUE,P1727=TRUE), VLOOKUP($E1727,PESSOAL!$B$35:$S$45,MONTH($F1727)+6,false)*G1727*24,0)</f>
        <v>200.8997966</v>
      </c>
      <c r="O1727" s="117" t="b">
        <f t="shared" si="7"/>
        <v>1</v>
      </c>
      <c r="P1727" s="117" t="b">
        <v>1</v>
      </c>
      <c r="Q1727" s="117" t="s">
        <v>368</v>
      </c>
    </row>
    <row r="1728" hidden="1">
      <c r="A1728" s="108"/>
      <c r="B1728" s="220"/>
      <c r="C1728" s="220" t="s">
        <v>441</v>
      </c>
      <c r="D1728" s="220" t="str">
        <f>vlookup(M1728,'Página10'!A:B,2,false)</f>
        <v>INOV00025</v>
      </c>
      <c r="E1728" s="134" t="s">
        <v>126</v>
      </c>
      <c r="F1728" s="225">
        <v>45279.0</v>
      </c>
      <c r="G1728" s="222">
        <v>0.041666666666666664</v>
      </c>
      <c r="H1728" s="134" t="s">
        <v>411</v>
      </c>
      <c r="I1728" s="223" t="s">
        <v>411</v>
      </c>
      <c r="J1728" s="223" t="b">
        <f t="shared" si="1"/>
        <v>1</v>
      </c>
      <c r="K1728" s="145" t="s">
        <v>1528</v>
      </c>
      <c r="L1728" s="156"/>
      <c r="M1728" s="134" t="s">
        <v>440</v>
      </c>
      <c r="N1728" s="150">
        <f>if(and(O1728=TRUE,P1728=TRUE), VLOOKUP($E1728,PESSOAL!$B$35:$S$45,MONTH($F1728)+6,false)*G1728*24,0)</f>
        <v>0</v>
      </c>
      <c r="O1728" s="117" t="b">
        <f t="shared" si="7"/>
        <v>1</v>
      </c>
      <c r="P1728" s="117" t="b">
        <v>0</v>
      </c>
      <c r="Q1728" s="117" t="s">
        <v>368</v>
      </c>
    </row>
    <row r="1729" hidden="1">
      <c r="A1729" s="108"/>
      <c r="B1729" s="220"/>
      <c r="C1729" s="220" t="s">
        <v>59</v>
      </c>
      <c r="D1729" s="220" t="str">
        <f>vlookup(M1729,'Página10'!A:B,2,false)</f>
        <v>INOV00024</v>
      </c>
      <c r="E1729" s="134" t="s">
        <v>126</v>
      </c>
      <c r="F1729" s="225">
        <v>45280.0</v>
      </c>
      <c r="G1729" s="222">
        <v>0.08333333333333333</v>
      </c>
      <c r="H1729" s="134" t="s">
        <v>475</v>
      </c>
      <c r="I1729" s="223" t="s">
        <v>475</v>
      </c>
      <c r="J1729" s="223" t="b">
        <f t="shared" si="1"/>
        <v>1</v>
      </c>
      <c r="K1729" s="145" t="s">
        <v>595</v>
      </c>
      <c r="L1729" s="156"/>
      <c r="M1729" s="134" t="s">
        <v>439</v>
      </c>
      <c r="N1729" s="150">
        <f>if(and(O1729=TRUE,P1729=TRUE), VLOOKUP($E1729,PESSOAL!$B$35:$S$45,MONTH($F1729)+6,false)*G1729*24,0)</f>
        <v>100.4498983</v>
      </c>
      <c r="O1729" s="117" t="b">
        <f t="shared" si="7"/>
        <v>1</v>
      </c>
      <c r="P1729" s="117" t="b">
        <v>1</v>
      </c>
      <c r="Q1729" s="117" t="s">
        <v>368</v>
      </c>
    </row>
    <row r="1730" hidden="1">
      <c r="A1730" s="108"/>
      <c r="B1730" s="220"/>
      <c r="C1730" s="220" t="s">
        <v>49</v>
      </c>
      <c r="D1730" s="220" t="str">
        <f>vlookup(M1730,'Página10'!A:B,2,false)</f>
        <v>INOV00004</v>
      </c>
      <c r="E1730" s="134" t="s">
        <v>126</v>
      </c>
      <c r="F1730" s="225">
        <v>45280.0</v>
      </c>
      <c r="G1730" s="222">
        <v>0.20833333333333334</v>
      </c>
      <c r="H1730" s="134" t="s">
        <v>411</v>
      </c>
      <c r="I1730" s="223" t="s">
        <v>411</v>
      </c>
      <c r="J1730" s="223" t="b">
        <f t="shared" si="1"/>
        <v>1</v>
      </c>
      <c r="K1730" s="145" t="s">
        <v>1530</v>
      </c>
      <c r="L1730" s="156"/>
      <c r="M1730" s="134" t="s">
        <v>421</v>
      </c>
      <c r="N1730" s="150">
        <f>if(and(O1730=TRUE,P1730=TRUE), VLOOKUP($E1730,PESSOAL!$B$35:$S$45,MONTH($F1730)+6,false)*G1730*24,0)</f>
        <v>251.1247458</v>
      </c>
      <c r="O1730" s="117" t="b">
        <f t="shared" si="7"/>
        <v>1</v>
      </c>
      <c r="P1730" s="117" t="b">
        <v>1</v>
      </c>
      <c r="Q1730" s="117" t="s">
        <v>368</v>
      </c>
    </row>
    <row r="1731" hidden="1">
      <c r="A1731" s="108"/>
      <c r="B1731" s="220"/>
      <c r="C1731" s="220" t="s">
        <v>49</v>
      </c>
      <c r="D1731" s="220" t="str">
        <f>vlookup(M1731,'Página10'!A:B,2,false)</f>
        <v>INOV00004</v>
      </c>
      <c r="E1731" s="134" t="s">
        <v>126</v>
      </c>
      <c r="F1731" s="225">
        <v>45281.0</v>
      </c>
      <c r="G1731" s="222">
        <v>0.16666666666666666</v>
      </c>
      <c r="H1731" s="134" t="s">
        <v>411</v>
      </c>
      <c r="I1731" s="223" t="s">
        <v>411</v>
      </c>
      <c r="J1731" s="223" t="b">
        <f t="shared" si="1"/>
        <v>1</v>
      </c>
      <c r="K1731" s="145" t="s">
        <v>1530</v>
      </c>
      <c r="L1731" s="156"/>
      <c r="M1731" s="134" t="s">
        <v>421</v>
      </c>
      <c r="N1731" s="150">
        <f>if(and(O1731=TRUE,P1731=TRUE), VLOOKUP($E1731,PESSOAL!$B$35:$S$45,MONTH($F1731)+6,false)*G1731*24,0)</f>
        <v>200.8997966</v>
      </c>
      <c r="O1731" s="117" t="b">
        <f t="shared" si="7"/>
        <v>1</v>
      </c>
      <c r="P1731" s="117" t="b">
        <v>1</v>
      </c>
      <c r="Q1731" s="117" t="s">
        <v>368</v>
      </c>
    </row>
    <row r="1732" hidden="1">
      <c r="A1732" s="108"/>
      <c r="B1732" s="220"/>
      <c r="C1732" s="220" t="s">
        <v>49</v>
      </c>
      <c r="D1732" s="220" t="str">
        <f>vlookup(M1732,'Página10'!A:B,2,false)</f>
        <v>INOV00004</v>
      </c>
      <c r="E1732" s="134" t="s">
        <v>126</v>
      </c>
      <c r="F1732" s="225">
        <v>45282.0</v>
      </c>
      <c r="G1732" s="222">
        <v>0.125</v>
      </c>
      <c r="H1732" s="134" t="s">
        <v>411</v>
      </c>
      <c r="I1732" s="223" t="s">
        <v>411</v>
      </c>
      <c r="J1732" s="223" t="b">
        <f t="shared" si="1"/>
        <v>1</v>
      </c>
      <c r="K1732" s="145" t="s">
        <v>1530</v>
      </c>
      <c r="L1732" s="156"/>
      <c r="M1732" s="134" t="s">
        <v>421</v>
      </c>
      <c r="N1732" s="150">
        <f>if(and(O1732=TRUE,P1732=TRUE), VLOOKUP($E1732,PESSOAL!$B$35:$S$45,MONTH($F1732)+6,false)*G1732*24,0)</f>
        <v>150.6748475</v>
      </c>
      <c r="O1732" s="117" t="b">
        <f t="shared" si="7"/>
        <v>1</v>
      </c>
      <c r="P1732" s="117" t="b">
        <v>1</v>
      </c>
      <c r="Q1732" s="117" t="s">
        <v>368</v>
      </c>
    </row>
    <row r="1733" hidden="1">
      <c r="A1733" s="108"/>
      <c r="B1733" s="220"/>
      <c r="C1733" s="220" t="s">
        <v>70</v>
      </c>
      <c r="D1733" s="220" t="str">
        <f>vlookup(M1733,'Página10'!A:B,2,false)</f>
        <v>INOV00046</v>
      </c>
      <c r="E1733" s="134" t="s">
        <v>126</v>
      </c>
      <c r="F1733" s="225">
        <v>45287.0</v>
      </c>
      <c r="G1733" s="222">
        <v>0.20833333333333334</v>
      </c>
      <c r="H1733" s="134" t="s">
        <v>411</v>
      </c>
      <c r="I1733" s="223" t="s">
        <v>411</v>
      </c>
      <c r="J1733" s="223" t="b">
        <f t="shared" si="1"/>
        <v>1</v>
      </c>
      <c r="K1733" s="145" t="s">
        <v>592</v>
      </c>
      <c r="L1733" s="156"/>
      <c r="M1733" s="134" t="s">
        <v>472</v>
      </c>
      <c r="N1733" s="150">
        <f>if(and(O1733=TRUE,P1733=TRUE), VLOOKUP($E1733,PESSOAL!$B$35:$S$45,MONTH($F1733)+6,false)*G1733*24,0)</f>
        <v>0</v>
      </c>
      <c r="O1733" s="117" t="b">
        <f t="shared" si="7"/>
        <v>1</v>
      </c>
      <c r="P1733" s="117" t="b">
        <v>0</v>
      </c>
      <c r="Q1733" s="117" t="s">
        <v>368</v>
      </c>
    </row>
    <row r="1734" hidden="1">
      <c r="A1734" s="108"/>
      <c r="B1734" s="220"/>
      <c r="C1734" s="220" t="s">
        <v>49</v>
      </c>
      <c r="D1734" s="220" t="str">
        <f>vlookup(M1734,'Página10'!A:B,2,false)</f>
        <v>INOV00004</v>
      </c>
      <c r="E1734" s="134" t="s">
        <v>126</v>
      </c>
      <c r="F1734" s="225">
        <v>45288.0</v>
      </c>
      <c r="G1734" s="222">
        <v>0.16666666666666666</v>
      </c>
      <c r="H1734" s="134" t="s">
        <v>411</v>
      </c>
      <c r="I1734" s="223" t="s">
        <v>411</v>
      </c>
      <c r="J1734" s="223" t="b">
        <f t="shared" si="1"/>
        <v>1</v>
      </c>
      <c r="K1734" s="145" t="s">
        <v>1530</v>
      </c>
      <c r="L1734" s="156"/>
      <c r="M1734" s="134" t="s">
        <v>421</v>
      </c>
      <c r="N1734" s="150">
        <f>if(and(O1734=TRUE,P1734=TRUE), VLOOKUP($E1734,PESSOAL!$B$35:$S$45,MONTH($F1734)+6,false)*G1734*24,0)</f>
        <v>200.8997966</v>
      </c>
      <c r="O1734" s="117" t="b">
        <f t="shared" si="7"/>
        <v>1</v>
      </c>
      <c r="P1734" s="117" t="b">
        <v>1</v>
      </c>
      <c r="Q1734" s="117" t="s">
        <v>368</v>
      </c>
    </row>
    <row r="1735" hidden="1">
      <c r="A1735" s="108"/>
      <c r="B1735" s="220"/>
      <c r="C1735" s="220" t="s">
        <v>50</v>
      </c>
      <c r="D1735" s="220" t="str">
        <f>vlookup(M1735,'Página10'!A:B,2,false)</f>
        <v>INOV00006</v>
      </c>
      <c r="E1735" s="134" t="s">
        <v>126</v>
      </c>
      <c r="F1735" s="225">
        <v>45288.0</v>
      </c>
      <c r="G1735" s="222">
        <v>0.08333333333333333</v>
      </c>
      <c r="H1735" s="134" t="s">
        <v>411</v>
      </c>
      <c r="I1735" s="223" t="s">
        <v>411</v>
      </c>
      <c r="J1735" s="223" t="b">
        <f t="shared" si="1"/>
        <v>1</v>
      </c>
      <c r="K1735" s="145" t="s">
        <v>592</v>
      </c>
      <c r="L1735" s="156"/>
      <c r="M1735" s="134" t="s">
        <v>422</v>
      </c>
      <c r="N1735" s="150">
        <f>if(and(O1735=TRUE,P1735=TRUE), VLOOKUP($E1735,PESSOAL!$B$35:$S$45,MONTH($F1735)+6,false)*G1735*24,0)</f>
        <v>100.4498983</v>
      </c>
      <c r="O1735" s="117" t="b">
        <f t="shared" si="7"/>
        <v>1</v>
      </c>
      <c r="P1735" s="117" t="b">
        <v>1</v>
      </c>
      <c r="Q1735" s="117" t="s">
        <v>368</v>
      </c>
    </row>
    <row r="1736" hidden="1">
      <c r="A1736" s="108"/>
      <c r="B1736" s="220"/>
      <c r="C1736" s="220" t="s">
        <v>70</v>
      </c>
      <c r="D1736" s="220" t="str">
        <f>vlookup(M1736,'Página10'!A:B,2,false)</f>
        <v>INOV00046</v>
      </c>
      <c r="E1736" s="134" t="s">
        <v>126</v>
      </c>
      <c r="F1736" s="225">
        <v>45289.0</v>
      </c>
      <c r="G1736" s="222">
        <v>0.16666666666666666</v>
      </c>
      <c r="H1736" s="134" t="s">
        <v>411</v>
      </c>
      <c r="I1736" s="223" t="s">
        <v>411</v>
      </c>
      <c r="J1736" s="223" t="b">
        <f t="shared" si="1"/>
        <v>1</v>
      </c>
      <c r="K1736" s="145" t="s">
        <v>592</v>
      </c>
      <c r="L1736" s="156"/>
      <c r="M1736" s="134" t="s">
        <v>472</v>
      </c>
      <c r="N1736" s="150">
        <f>if(and(O1736=TRUE,P1736=TRUE), VLOOKUP($E1736,PESSOAL!$B$35:$S$45,MONTH($F1736)+6,false)*G1736*24,0)</f>
        <v>0</v>
      </c>
      <c r="O1736" s="117" t="b">
        <f t="shared" si="7"/>
        <v>1</v>
      </c>
      <c r="P1736" s="117" t="b">
        <v>0</v>
      </c>
      <c r="Q1736" s="117" t="s">
        <v>368</v>
      </c>
    </row>
    <row r="1737" hidden="1">
      <c r="A1737" s="108"/>
      <c r="B1737" s="220"/>
      <c r="C1737" s="220" t="s">
        <v>290</v>
      </c>
      <c r="D1737" s="220" t="str">
        <f>vlookup(M1737,'Página10'!A:B,2,false)</f>
        <v>INOV00001</v>
      </c>
      <c r="E1737" s="134" t="s">
        <v>146</v>
      </c>
      <c r="F1737" s="225">
        <v>45205.0</v>
      </c>
      <c r="G1737" s="222">
        <v>0.10416666666666667</v>
      </c>
      <c r="H1737" s="134" t="s">
        <v>411</v>
      </c>
      <c r="I1737" s="223" t="s">
        <v>411</v>
      </c>
      <c r="J1737" s="223" t="b">
        <f t="shared" si="1"/>
        <v>1</v>
      </c>
      <c r="K1737" s="145" t="s">
        <v>1531</v>
      </c>
      <c r="L1737" s="156"/>
      <c r="M1737" s="134" t="s">
        <v>416</v>
      </c>
      <c r="N1737" s="150">
        <f>if(and(O1737=TRUE,P1737=TRUE), VLOOKUP($E1737,PESSOAL!$B$35:$S$45,MONTH($F1737)+6,false)*G1737*24,0)</f>
        <v>245.4181701</v>
      </c>
      <c r="O1737" s="117" t="b">
        <f t="shared" si="7"/>
        <v>1</v>
      </c>
      <c r="P1737" s="117" t="b">
        <v>1</v>
      </c>
      <c r="Q1737" s="117" t="s">
        <v>368</v>
      </c>
    </row>
    <row r="1738" hidden="1">
      <c r="A1738" s="108"/>
      <c r="B1738" s="220"/>
      <c r="C1738" s="220" t="s">
        <v>49</v>
      </c>
      <c r="D1738" s="220" t="str">
        <f>vlookup(M1738,'Página10'!A:B,2,false)</f>
        <v>INOV00004</v>
      </c>
      <c r="E1738" s="134" t="s">
        <v>146</v>
      </c>
      <c r="F1738" s="225">
        <v>45208.0</v>
      </c>
      <c r="G1738" s="222">
        <v>0.041666666666666664</v>
      </c>
      <c r="H1738" s="134" t="s">
        <v>411</v>
      </c>
      <c r="I1738" s="223" t="s">
        <v>411</v>
      </c>
      <c r="J1738" s="223" t="b">
        <f t="shared" si="1"/>
        <v>1</v>
      </c>
      <c r="K1738" s="145" t="s">
        <v>1532</v>
      </c>
      <c r="L1738" s="156"/>
      <c r="M1738" s="134" t="s">
        <v>421</v>
      </c>
      <c r="N1738" s="150">
        <f>if(and(O1738=TRUE,P1738=TRUE), VLOOKUP($E1738,PESSOAL!$B$35:$S$45,MONTH($F1738)+6,false)*G1738*24,0)</f>
        <v>98.16726806</v>
      </c>
      <c r="O1738" s="117" t="b">
        <f t="shared" si="7"/>
        <v>1</v>
      </c>
      <c r="P1738" s="117" t="b">
        <v>1</v>
      </c>
      <c r="Q1738" s="117" t="s">
        <v>368</v>
      </c>
    </row>
    <row r="1739" hidden="1">
      <c r="A1739" s="108"/>
      <c r="B1739" s="220"/>
      <c r="C1739" s="220" t="s">
        <v>56</v>
      </c>
      <c r="D1739" s="220" t="str">
        <f>vlookup(M1739,'Página10'!A:B,2,false)</f>
        <v>INOV00021</v>
      </c>
      <c r="E1739" s="134" t="s">
        <v>146</v>
      </c>
      <c r="F1739" s="225">
        <v>45208.0</v>
      </c>
      <c r="G1739" s="222">
        <v>0.041666666666666664</v>
      </c>
      <c r="H1739" s="134" t="s">
        <v>411</v>
      </c>
      <c r="I1739" s="223" t="s">
        <v>411</v>
      </c>
      <c r="J1739" s="223" t="b">
        <f t="shared" si="1"/>
        <v>1</v>
      </c>
      <c r="K1739" s="145" t="s">
        <v>1532</v>
      </c>
      <c r="L1739" s="156"/>
      <c r="M1739" s="134" t="s">
        <v>436</v>
      </c>
      <c r="N1739" s="150">
        <f>if(and(O1739=TRUE,P1739=TRUE), VLOOKUP($E1739,PESSOAL!$B$35:$S$45,MONTH($F1739)+6,false)*G1739*24,0)</f>
        <v>98.16726806</v>
      </c>
      <c r="O1739" s="117" t="b">
        <f t="shared" si="7"/>
        <v>1</v>
      </c>
      <c r="P1739" s="117" t="b">
        <v>1</v>
      </c>
      <c r="Q1739" s="117" t="s">
        <v>368</v>
      </c>
    </row>
    <row r="1740" hidden="1">
      <c r="A1740" s="108"/>
      <c r="B1740" s="220"/>
      <c r="C1740" s="220" t="s">
        <v>290</v>
      </c>
      <c r="D1740" s="220" t="str">
        <f>vlookup(M1740,'Página10'!A:B,2,false)</f>
        <v>INOV00001</v>
      </c>
      <c r="E1740" s="134" t="s">
        <v>146</v>
      </c>
      <c r="F1740" s="225">
        <v>45209.0</v>
      </c>
      <c r="G1740" s="222">
        <v>0.125</v>
      </c>
      <c r="H1740" s="134" t="s">
        <v>411</v>
      </c>
      <c r="I1740" s="223" t="s">
        <v>411</v>
      </c>
      <c r="J1740" s="223" t="b">
        <f t="shared" si="1"/>
        <v>1</v>
      </c>
      <c r="K1740" s="145" t="s">
        <v>1533</v>
      </c>
      <c r="L1740" s="156"/>
      <c r="M1740" s="134" t="s">
        <v>416</v>
      </c>
      <c r="N1740" s="150">
        <f>if(and(O1740=TRUE,P1740=TRUE), VLOOKUP($E1740,PESSOAL!$B$35:$S$45,MONTH($F1740)+6,false)*G1740*24,0)</f>
        <v>294.5018042</v>
      </c>
      <c r="O1740" s="117" t="b">
        <f t="shared" si="7"/>
        <v>1</v>
      </c>
      <c r="P1740" s="117" t="b">
        <v>1</v>
      </c>
      <c r="Q1740" s="117" t="s">
        <v>368</v>
      </c>
    </row>
    <row r="1741" hidden="1">
      <c r="A1741" s="108"/>
      <c r="B1741" s="220"/>
      <c r="C1741" s="220" t="s">
        <v>290</v>
      </c>
      <c r="D1741" s="220" t="str">
        <f>vlookup(M1741,'Página10'!A:B,2,false)</f>
        <v>INOV00001</v>
      </c>
      <c r="E1741" s="134" t="s">
        <v>146</v>
      </c>
      <c r="F1741" s="225">
        <v>45210.0</v>
      </c>
      <c r="G1741" s="222">
        <v>0.125</v>
      </c>
      <c r="H1741" s="134" t="s">
        <v>411</v>
      </c>
      <c r="I1741" s="223" t="s">
        <v>411</v>
      </c>
      <c r="J1741" s="223" t="b">
        <f t="shared" si="1"/>
        <v>1</v>
      </c>
      <c r="K1741" s="145" t="s">
        <v>1534</v>
      </c>
      <c r="L1741" s="156"/>
      <c r="M1741" s="134" t="s">
        <v>416</v>
      </c>
      <c r="N1741" s="150">
        <f>if(and(O1741=TRUE,P1741=TRUE), VLOOKUP($E1741,PESSOAL!$B$35:$S$45,MONTH($F1741)+6,false)*G1741*24,0)</f>
        <v>294.5018042</v>
      </c>
      <c r="O1741" s="117" t="b">
        <f t="shared" si="7"/>
        <v>1</v>
      </c>
      <c r="P1741" s="117" t="b">
        <v>1</v>
      </c>
      <c r="Q1741" s="117" t="s">
        <v>368</v>
      </c>
    </row>
    <row r="1742" hidden="1">
      <c r="A1742" s="108"/>
      <c r="B1742" s="220"/>
      <c r="C1742" s="220" t="s">
        <v>54</v>
      </c>
      <c r="D1742" s="220" t="str">
        <f>vlookup(M1742,'Página10'!A:B,2,false)</f>
        <v>INOV00016</v>
      </c>
      <c r="E1742" s="134" t="s">
        <v>146</v>
      </c>
      <c r="F1742" s="225">
        <v>45210.0</v>
      </c>
      <c r="G1742" s="222">
        <v>0.041666666666666664</v>
      </c>
      <c r="H1742" s="134" t="s">
        <v>411</v>
      </c>
      <c r="I1742" s="223" t="s">
        <v>411</v>
      </c>
      <c r="J1742" s="223" t="b">
        <f t="shared" si="1"/>
        <v>1</v>
      </c>
      <c r="K1742" s="145" t="s">
        <v>1535</v>
      </c>
      <c r="L1742" s="156"/>
      <c r="M1742" s="134" t="s">
        <v>428</v>
      </c>
      <c r="N1742" s="150">
        <f>if(and(O1742=TRUE,P1742=TRUE), VLOOKUP($E1742,PESSOAL!$B$35:$S$45,MONTH($F1742)+6,false)*G1742*24,0)</f>
        <v>98.16726806</v>
      </c>
      <c r="O1742" s="117" t="b">
        <f t="shared" si="7"/>
        <v>1</v>
      </c>
      <c r="P1742" s="117" t="b">
        <v>1</v>
      </c>
      <c r="Q1742" s="117" t="s">
        <v>368</v>
      </c>
    </row>
    <row r="1743" hidden="1">
      <c r="A1743" s="108"/>
      <c r="B1743" s="220"/>
      <c r="C1743" s="220" t="s">
        <v>53</v>
      </c>
      <c r="D1743" s="220" t="str">
        <f>vlookup(M1743,'Página10'!A:B,2,false)</f>
        <v>INOV00014</v>
      </c>
      <c r="E1743" s="134" t="s">
        <v>146</v>
      </c>
      <c r="F1743" s="225">
        <v>45210.0</v>
      </c>
      <c r="G1743" s="222">
        <v>0.041666666666666664</v>
      </c>
      <c r="H1743" s="134" t="s">
        <v>411</v>
      </c>
      <c r="I1743" s="223" t="s">
        <v>411</v>
      </c>
      <c r="J1743" s="223" t="b">
        <f t="shared" si="1"/>
        <v>1</v>
      </c>
      <c r="K1743" s="145" t="s">
        <v>1535</v>
      </c>
      <c r="L1743" s="156"/>
      <c r="M1743" s="134" t="s">
        <v>427</v>
      </c>
      <c r="N1743" s="150">
        <f>if(and(O1743=TRUE,P1743=TRUE), VLOOKUP($E1743,PESSOAL!$B$35:$S$45,MONTH($F1743)+6,false)*G1743*24,0)</f>
        <v>98.16726806</v>
      </c>
      <c r="O1743" s="117" t="b">
        <f t="shared" si="7"/>
        <v>1</v>
      </c>
      <c r="P1743" s="117" t="b">
        <v>1</v>
      </c>
      <c r="Q1743" s="117" t="s">
        <v>368</v>
      </c>
    </row>
    <row r="1744" hidden="1">
      <c r="A1744" s="108"/>
      <c r="B1744" s="220"/>
      <c r="C1744" s="220" t="s">
        <v>49</v>
      </c>
      <c r="D1744" s="220" t="str">
        <f>vlookup(M1744,'Página10'!A:B,2,false)</f>
        <v>INOV00004</v>
      </c>
      <c r="E1744" s="134" t="s">
        <v>146</v>
      </c>
      <c r="F1744" s="225">
        <v>45210.0</v>
      </c>
      <c r="G1744" s="222">
        <v>0.08333333333333333</v>
      </c>
      <c r="H1744" s="134" t="s">
        <v>411</v>
      </c>
      <c r="I1744" s="223" t="s">
        <v>411</v>
      </c>
      <c r="J1744" s="223" t="b">
        <f t="shared" si="1"/>
        <v>1</v>
      </c>
      <c r="K1744" s="145" t="s">
        <v>1536</v>
      </c>
      <c r="L1744" s="156"/>
      <c r="M1744" s="134" t="s">
        <v>421</v>
      </c>
      <c r="N1744" s="150">
        <f>if(and(O1744=TRUE,P1744=TRUE), VLOOKUP($E1744,PESSOAL!$B$35:$S$45,MONTH($F1744)+6,false)*G1744*24,0)</f>
        <v>196.3345361</v>
      </c>
      <c r="O1744" s="117" t="b">
        <f t="shared" si="7"/>
        <v>1</v>
      </c>
      <c r="P1744" s="117" t="b">
        <v>1</v>
      </c>
      <c r="Q1744" s="117" t="s">
        <v>368</v>
      </c>
    </row>
    <row r="1745" hidden="1">
      <c r="A1745" s="108"/>
      <c r="B1745" s="220"/>
      <c r="C1745" s="220" t="s">
        <v>53</v>
      </c>
      <c r="D1745" s="220" t="str">
        <f>vlookup(M1745,'Página10'!A:B,2,false)</f>
        <v>INOV00014</v>
      </c>
      <c r="E1745" s="134" t="s">
        <v>146</v>
      </c>
      <c r="F1745" s="225">
        <v>45216.0</v>
      </c>
      <c r="G1745" s="222">
        <v>0.041666666666666664</v>
      </c>
      <c r="H1745" s="134" t="s">
        <v>411</v>
      </c>
      <c r="I1745" s="223" t="s">
        <v>411</v>
      </c>
      <c r="J1745" s="223" t="b">
        <f t="shared" si="1"/>
        <v>1</v>
      </c>
      <c r="K1745" s="145" t="s">
        <v>1537</v>
      </c>
      <c r="L1745" s="156"/>
      <c r="M1745" s="134" t="s">
        <v>427</v>
      </c>
      <c r="N1745" s="150">
        <f>if(and(O1745=TRUE,P1745=TRUE), VLOOKUP($E1745,PESSOAL!$B$35:$S$45,MONTH($F1745)+6,false)*G1745*24,0)</f>
        <v>98.16726806</v>
      </c>
      <c r="O1745" s="117" t="b">
        <f t="shared" si="7"/>
        <v>1</v>
      </c>
      <c r="P1745" s="117" t="b">
        <v>1</v>
      </c>
      <c r="Q1745" s="117" t="s">
        <v>368</v>
      </c>
    </row>
    <row r="1746" hidden="1">
      <c r="A1746" s="108"/>
      <c r="B1746" s="220"/>
      <c r="C1746" s="220" t="s">
        <v>54</v>
      </c>
      <c r="D1746" s="220" t="str">
        <f>vlookup(M1746,'Página10'!A:B,2,false)</f>
        <v>INOV00016</v>
      </c>
      <c r="E1746" s="134" t="s">
        <v>146</v>
      </c>
      <c r="F1746" s="225">
        <v>45216.0</v>
      </c>
      <c r="G1746" s="222">
        <v>0.041666666666666664</v>
      </c>
      <c r="H1746" s="134" t="s">
        <v>411</v>
      </c>
      <c r="I1746" s="223" t="s">
        <v>411</v>
      </c>
      <c r="J1746" s="223" t="b">
        <f t="shared" si="1"/>
        <v>1</v>
      </c>
      <c r="K1746" s="145" t="s">
        <v>1538</v>
      </c>
      <c r="L1746" s="156"/>
      <c r="M1746" s="134" t="s">
        <v>428</v>
      </c>
      <c r="N1746" s="150">
        <f>if(and(O1746=TRUE,P1746=TRUE), VLOOKUP($E1746,PESSOAL!$B$35:$S$45,MONTH($F1746)+6,false)*G1746*24,0)</f>
        <v>98.16726806</v>
      </c>
      <c r="O1746" s="117" t="b">
        <f t="shared" si="7"/>
        <v>1</v>
      </c>
      <c r="P1746" s="117" t="b">
        <v>1</v>
      </c>
      <c r="Q1746" s="117" t="s">
        <v>368</v>
      </c>
    </row>
    <row r="1747" hidden="1">
      <c r="A1747" s="108"/>
      <c r="B1747" s="220"/>
      <c r="C1747" s="220" t="s">
        <v>53</v>
      </c>
      <c r="D1747" s="220" t="str">
        <f>vlookup(M1747,'Página10'!A:B,2,false)</f>
        <v>INOV00014</v>
      </c>
      <c r="E1747" s="134" t="s">
        <v>146</v>
      </c>
      <c r="F1747" s="225">
        <v>45217.0</v>
      </c>
      <c r="G1747" s="222">
        <v>0.08333333333333333</v>
      </c>
      <c r="H1747" s="134" t="s">
        <v>411</v>
      </c>
      <c r="I1747" s="223" t="s">
        <v>411</v>
      </c>
      <c r="J1747" s="223" t="b">
        <f t="shared" si="1"/>
        <v>1</v>
      </c>
      <c r="K1747" s="145" t="s">
        <v>1539</v>
      </c>
      <c r="L1747" s="156"/>
      <c r="M1747" s="134" t="s">
        <v>427</v>
      </c>
      <c r="N1747" s="150">
        <f>if(and(O1747=TRUE,P1747=TRUE), VLOOKUP($E1747,PESSOAL!$B$35:$S$45,MONTH($F1747)+6,false)*G1747*24,0)</f>
        <v>196.3345361</v>
      </c>
      <c r="O1747" s="117" t="b">
        <f t="shared" si="7"/>
        <v>1</v>
      </c>
      <c r="P1747" s="117" t="b">
        <v>1</v>
      </c>
      <c r="Q1747" s="117" t="s">
        <v>368</v>
      </c>
    </row>
    <row r="1748" hidden="1">
      <c r="A1748" s="108"/>
      <c r="B1748" s="220"/>
      <c r="C1748" s="220" t="s">
        <v>290</v>
      </c>
      <c r="D1748" s="220" t="str">
        <f>vlookup(M1748,'Página10'!A:B,2,false)</f>
        <v>INOV00001</v>
      </c>
      <c r="E1748" s="134" t="s">
        <v>146</v>
      </c>
      <c r="F1748" s="225">
        <v>45222.0</v>
      </c>
      <c r="G1748" s="222">
        <v>0.10416666666666667</v>
      </c>
      <c r="H1748" s="134" t="s">
        <v>411</v>
      </c>
      <c r="I1748" s="223" t="s">
        <v>411</v>
      </c>
      <c r="J1748" s="223" t="b">
        <f t="shared" si="1"/>
        <v>1</v>
      </c>
      <c r="K1748" s="145" t="s">
        <v>1540</v>
      </c>
      <c r="L1748" s="156"/>
      <c r="M1748" s="134" t="s">
        <v>416</v>
      </c>
      <c r="N1748" s="150">
        <f>if(and(O1748=TRUE,P1748=TRUE), VLOOKUP($E1748,PESSOAL!$B$35:$S$45,MONTH($F1748)+6,false)*G1748*24,0)</f>
        <v>245.4181701</v>
      </c>
      <c r="O1748" s="117" t="b">
        <f t="shared" si="7"/>
        <v>1</v>
      </c>
      <c r="P1748" s="117" t="b">
        <v>1</v>
      </c>
      <c r="Q1748" s="117" t="s">
        <v>368</v>
      </c>
    </row>
    <row r="1749" hidden="1">
      <c r="A1749" s="108"/>
      <c r="B1749" s="220"/>
      <c r="C1749" s="220" t="s">
        <v>471</v>
      </c>
      <c r="D1749" s="220" t="str">
        <f>vlookup(M1749,'Página10'!A:B,2,false)</f>
        <v>INOV00045</v>
      </c>
      <c r="E1749" s="134" t="s">
        <v>146</v>
      </c>
      <c r="F1749" s="225">
        <v>45231.0</v>
      </c>
      <c r="G1749" s="222">
        <v>0.08333333333333333</v>
      </c>
      <c r="H1749" s="134" t="s">
        <v>475</v>
      </c>
      <c r="I1749" s="223" t="s">
        <v>475</v>
      </c>
      <c r="J1749" s="223" t="b">
        <f t="shared" si="1"/>
        <v>1</v>
      </c>
      <c r="K1749" s="145" t="s">
        <v>1541</v>
      </c>
      <c r="L1749" s="156"/>
      <c r="M1749" s="134" t="s">
        <v>470</v>
      </c>
      <c r="N1749" s="150">
        <f>if(and(O1749=TRUE,P1749=TRUE), VLOOKUP($E1749,PESSOAL!$B$35:$S$45,MONTH($F1749)+6,false)*G1749*24,0)</f>
        <v>0</v>
      </c>
      <c r="O1749" s="117" t="b">
        <f t="shared" si="7"/>
        <v>1</v>
      </c>
      <c r="P1749" s="117" t="b">
        <v>0</v>
      </c>
      <c r="Q1749" s="117" t="s">
        <v>368</v>
      </c>
    </row>
    <row r="1750" hidden="1">
      <c r="A1750" s="108"/>
      <c r="B1750" s="220"/>
      <c r="C1750" s="220" t="s">
        <v>290</v>
      </c>
      <c r="D1750" s="220" t="str">
        <f>vlookup(M1750,'Página10'!A:B,2,false)</f>
        <v>INOV00001</v>
      </c>
      <c r="E1750" s="134" t="s">
        <v>146</v>
      </c>
      <c r="F1750" s="225">
        <v>45231.0</v>
      </c>
      <c r="G1750" s="222">
        <v>0.125</v>
      </c>
      <c r="H1750" s="134" t="s">
        <v>411</v>
      </c>
      <c r="I1750" s="223" t="s">
        <v>411</v>
      </c>
      <c r="J1750" s="223" t="b">
        <f t="shared" si="1"/>
        <v>1</v>
      </c>
      <c r="K1750" s="145" t="s">
        <v>1542</v>
      </c>
      <c r="L1750" s="156"/>
      <c r="M1750" s="134" t="s">
        <v>416</v>
      </c>
      <c r="N1750" s="150">
        <f>if(and(O1750=TRUE,P1750=TRUE), VLOOKUP($E1750,PESSOAL!$B$35:$S$45,MONTH($F1750)+6,false)*G1750*24,0)</f>
        <v>309.2268944</v>
      </c>
      <c r="O1750" s="117" t="b">
        <f t="shared" si="7"/>
        <v>1</v>
      </c>
      <c r="P1750" s="117" t="b">
        <v>1</v>
      </c>
      <c r="Q1750" s="117" t="s">
        <v>368</v>
      </c>
    </row>
    <row r="1751" hidden="1">
      <c r="A1751" s="108"/>
      <c r="B1751" s="220"/>
      <c r="C1751" s="220" t="s">
        <v>441</v>
      </c>
      <c r="D1751" s="220" t="str">
        <f>vlookup(M1751,'Página10'!A:B,2,false)</f>
        <v>INOV00025</v>
      </c>
      <c r="E1751" s="134" t="s">
        <v>146</v>
      </c>
      <c r="F1751" s="225">
        <v>45237.0</v>
      </c>
      <c r="G1751" s="222">
        <v>0.16666666666666666</v>
      </c>
      <c r="H1751" s="134" t="s">
        <v>411</v>
      </c>
      <c r="I1751" s="223" t="s">
        <v>411</v>
      </c>
      <c r="J1751" s="223" t="b">
        <f t="shared" si="1"/>
        <v>1</v>
      </c>
      <c r="K1751" s="145" t="s">
        <v>1543</v>
      </c>
      <c r="L1751" s="156"/>
      <c r="M1751" s="134" t="s">
        <v>440</v>
      </c>
      <c r="N1751" s="150">
        <f>if(and(O1751=TRUE,P1751=TRUE), VLOOKUP($E1751,PESSOAL!$B$35:$S$45,MONTH($F1751)+6,false)*G1751*24,0)</f>
        <v>0</v>
      </c>
      <c r="O1751" s="117" t="b">
        <f t="shared" si="7"/>
        <v>1</v>
      </c>
      <c r="P1751" s="117" t="b">
        <v>0</v>
      </c>
      <c r="Q1751" s="117" t="s">
        <v>368</v>
      </c>
    </row>
    <row r="1752" hidden="1">
      <c r="A1752" s="108"/>
      <c r="B1752" s="220"/>
      <c r="C1752" s="220" t="s">
        <v>290</v>
      </c>
      <c r="D1752" s="220" t="str">
        <f>vlookup(M1752,'Página10'!A:B,2,false)</f>
        <v>INOV00001</v>
      </c>
      <c r="E1752" s="134" t="s">
        <v>146</v>
      </c>
      <c r="F1752" s="225">
        <v>45245.0</v>
      </c>
      <c r="G1752" s="222">
        <v>0.16666666666666666</v>
      </c>
      <c r="H1752" s="134" t="s">
        <v>411</v>
      </c>
      <c r="I1752" s="223" t="s">
        <v>411</v>
      </c>
      <c r="J1752" s="223" t="b">
        <f t="shared" si="1"/>
        <v>1</v>
      </c>
      <c r="K1752" s="145" t="s">
        <v>1544</v>
      </c>
      <c r="L1752" s="156"/>
      <c r="M1752" s="134" t="s">
        <v>416</v>
      </c>
      <c r="N1752" s="150">
        <f>if(and(O1752=TRUE,P1752=TRUE), VLOOKUP($E1752,PESSOAL!$B$35:$S$45,MONTH($F1752)+6,false)*G1752*24,0)</f>
        <v>412.3025258</v>
      </c>
      <c r="O1752" s="117" t="b">
        <f t="shared" si="7"/>
        <v>1</v>
      </c>
      <c r="P1752" s="117" t="b">
        <v>1</v>
      </c>
      <c r="Q1752" s="117" t="s">
        <v>368</v>
      </c>
    </row>
    <row r="1753" hidden="1">
      <c r="A1753" s="108"/>
      <c r="B1753" s="220"/>
      <c r="C1753" s="220" t="s">
        <v>68</v>
      </c>
      <c r="D1753" s="220" t="str">
        <f>vlookup(M1753,'Página10'!A:B,2,false)</f>
        <v>INOV00040</v>
      </c>
      <c r="E1753" s="134" t="s">
        <v>146</v>
      </c>
      <c r="F1753" s="225">
        <v>45246.0</v>
      </c>
      <c r="G1753" s="222">
        <v>0.041666666666666664</v>
      </c>
      <c r="H1753" s="134" t="s">
        <v>411</v>
      </c>
      <c r="I1753" s="223" t="s">
        <v>411</v>
      </c>
      <c r="J1753" s="223" t="b">
        <f t="shared" si="1"/>
        <v>1</v>
      </c>
      <c r="K1753" s="145" t="s">
        <v>1545</v>
      </c>
      <c r="L1753" s="156"/>
      <c r="M1753" s="134" t="s">
        <v>462</v>
      </c>
      <c r="N1753" s="150">
        <f>if(and(O1753=TRUE,P1753=TRUE), VLOOKUP($E1753,PESSOAL!$B$35:$S$45,MONTH($F1753)+6,false)*G1753*24,0)</f>
        <v>0</v>
      </c>
      <c r="O1753" s="117" t="b">
        <f t="shared" si="7"/>
        <v>1</v>
      </c>
      <c r="P1753" s="117" t="b">
        <v>0</v>
      </c>
      <c r="Q1753" s="117" t="s">
        <v>368</v>
      </c>
    </row>
    <row r="1754" hidden="1">
      <c r="A1754" s="108"/>
      <c r="B1754" s="220"/>
      <c r="C1754" s="220" t="s">
        <v>68</v>
      </c>
      <c r="D1754" s="220" t="str">
        <f>vlookup(M1754,'Página10'!A:B,2,false)</f>
        <v>INOV00040</v>
      </c>
      <c r="E1754" s="134" t="s">
        <v>146</v>
      </c>
      <c r="F1754" s="225">
        <v>45247.0</v>
      </c>
      <c r="G1754" s="222">
        <v>0.08333333333333333</v>
      </c>
      <c r="H1754" s="134" t="s">
        <v>411</v>
      </c>
      <c r="I1754" s="223" t="s">
        <v>411</v>
      </c>
      <c r="J1754" s="223" t="b">
        <f t="shared" si="1"/>
        <v>1</v>
      </c>
      <c r="K1754" s="145" t="s">
        <v>1546</v>
      </c>
      <c r="L1754" s="156"/>
      <c r="M1754" s="134" t="s">
        <v>462</v>
      </c>
      <c r="N1754" s="150">
        <f>if(and(O1754=TRUE,P1754=TRUE), VLOOKUP($E1754,PESSOAL!$B$35:$S$45,MONTH($F1754)+6,false)*G1754*24,0)</f>
        <v>0</v>
      </c>
      <c r="O1754" s="117" t="b">
        <f t="shared" si="7"/>
        <v>1</v>
      </c>
      <c r="P1754" s="117" t="b">
        <v>0</v>
      </c>
      <c r="Q1754" s="117" t="s">
        <v>368</v>
      </c>
    </row>
    <row r="1755" hidden="1">
      <c r="A1755" s="108"/>
      <c r="B1755" s="220"/>
      <c r="C1755" s="220" t="s">
        <v>290</v>
      </c>
      <c r="D1755" s="220" t="str">
        <f>vlookup(M1755,'Página10'!A:B,2,false)</f>
        <v>INOV00001</v>
      </c>
      <c r="E1755" s="134" t="s">
        <v>146</v>
      </c>
      <c r="F1755" s="225">
        <v>45247.0</v>
      </c>
      <c r="G1755" s="222">
        <v>0.16666666666666666</v>
      </c>
      <c r="H1755" s="134" t="s">
        <v>411</v>
      </c>
      <c r="I1755" s="223" t="s">
        <v>411</v>
      </c>
      <c r="J1755" s="223" t="b">
        <f t="shared" si="1"/>
        <v>1</v>
      </c>
      <c r="K1755" s="145" t="s">
        <v>1544</v>
      </c>
      <c r="L1755" s="156"/>
      <c r="M1755" s="134" t="s">
        <v>416</v>
      </c>
      <c r="N1755" s="150">
        <f>if(and(O1755=TRUE,P1755=TRUE), VLOOKUP($E1755,PESSOAL!$B$35:$S$45,MONTH($F1755)+6,false)*G1755*24,0)</f>
        <v>412.3025258</v>
      </c>
      <c r="O1755" s="117" t="b">
        <f t="shared" si="7"/>
        <v>1</v>
      </c>
      <c r="P1755" s="117" t="b">
        <v>1</v>
      </c>
      <c r="Q1755" s="117" t="s">
        <v>368</v>
      </c>
    </row>
    <row r="1756" hidden="1">
      <c r="A1756" s="108"/>
      <c r="B1756" s="220"/>
      <c r="C1756" s="220" t="s">
        <v>54</v>
      </c>
      <c r="D1756" s="220" t="str">
        <f>vlookup(M1756,'Página10'!A:B,2,false)</f>
        <v>INOV00016</v>
      </c>
      <c r="E1756" s="134" t="s">
        <v>146</v>
      </c>
      <c r="F1756" s="225">
        <v>45250.0</v>
      </c>
      <c r="G1756" s="222">
        <v>0.08333333333333333</v>
      </c>
      <c r="H1756" s="134" t="s">
        <v>411</v>
      </c>
      <c r="I1756" s="223" t="s">
        <v>411</v>
      </c>
      <c r="J1756" s="223" t="b">
        <f t="shared" si="1"/>
        <v>1</v>
      </c>
      <c r="K1756" s="145" t="s">
        <v>1547</v>
      </c>
      <c r="L1756" s="156"/>
      <c r="M1756" s="134" t="s">
        <v>428</v>
      </c>
      <c r="N1756" s="150">
        <f>if(and(O1756=TRUE,P1756=TRUE), VLOOKUP($E1756,PESSOAL!$B$35:$S$45,MONTH($F1756)+6,false)*G1756*24,0)</f>
        <v>206.1512629</v>
      </c>
      <c r="O1756" s="117" t="b">
        <f t="shared" si="7"/>
        <v>1</v>
      </c>
      <c r="P1756" s="117" t="b">
        <v>1</v>
      </c>
      <c r="Q1756" s="117" t="s">
        <v>368</v>
      </c>
    </row>
    <row r="1757" hidden="1">
      <c r="A1757" s="108"/>
      <c r="B1757" s="220"/>
      <c r="C1757" s="220" t="s">
        <v>290</v>
      </c>
      <c r="D1757" s="220" t="str">
        <f>vlookup(M1757,'Página10'!A:B,2,false)</f>
        <v>INOV00001</v>
      </c>
      <c r="E1757" s="134" t="s">
        <v>146</v>
      </c>
      <c r="F1757" s="225">
        <v>45251.0</v>
      </c>
      <c r="G1757" s="222">
        <v>0.08333333333333333</v>
      </c>
      <c r="H1757" s="134" t="s">
        <v>411</v>
      </c>
      <c r="I1757" s="223" t="s">
        <v>411</v>
      </c>
      <c r="J1757" s="223" t="b">
        <f t="shared" si="1"/>
        <v>1</v>
      </c>
      <c r="K1757" s="145" t="s">
        <v>1548</v>
      </c>
      <c r="L1757" s="156"/>
      <c r="M1757" s="134" t="s">
        <v>416</v>
      </c>
      <c r="N1757" s="150">
        <f>if(and(O1757=TRUE,P1757=TRUE), VLOOKUP($E1757,PESSOAL!$B$35:$S$45,MONTH($F1757)+6,false)*G1757*24,0)</f>
        <v>206.1512629</v>
      </c>
      <c r="O1757" s="117" t="b">
        <f t="shared" si="7"/>
        <v>1</v>
      </c>
      <c r="P1757" s="117" t="b">
        <v>1</v>
      </c>
      <c r="Q1757" s="117" t="s">
        <v>368</v>
      </c>
    </row>
    <row r="1758" hidden="1">
      <c r="A1758" s="108"/>
      <c r="B1758" s="220"/>
      <c r="C1758" s="220" t="s">
        <v>441</v>
      </c>
      <c r="D1758" s="220" t="str">
        <f>vlookup(M1758,'Página10'!A:B,2,false)</f>
        <v>INOV00025</v>
      </c>
      <c r="E1758" s="134" t="s">
        <v>146</v>
      </c>
      <c r="F1758" s="225">
        <v>45252.0</v>
      </c>
      <c r="G1758" s="222">
        <v>0.08333333333333333</v>
      </c>
      <c r="H1758" s="134" t="s">
        <v>411</v>
      </c>
      <c r="I1758" s="223" t="s">
        <v>411</v>
      </c>
      <c r="J1758" s="223" t="b">
        <f t="shared" si="1"/>
        <v>1</v>
      </c>
      <c r="K1758" s="145" t="s">
        <v>1549</v>
      </c>
      <c r="L1758" s="156"/>
      <c r="M1758" s="134" t="s">
        <v>440</v>
      </c>
      <c r="N1758" s="150">
        <f>if(and(O1758=TRUE,P1758=TRUE), VLOOKUP($E1758,PESSOAL!$B$35:$S$45,MONTH($F1758)+6,false)*G1758*24,0)</f>
        <v>0</v>
      </c>
      <c r="O1758" s="117" t="b">
        <f t="shared" si="7"/>
        <v>1</v>
      </c>
      <c r="P1758" s="117" t="b">
        <v>0</v>
      </c>
      <c r="Q1758" s="117" t="s">
        <v>368</v>
      </c>
    </row>
    <row r="1759" hidden="1">
      <c r="A1759" s="108"/>
      <c r="B1759" s="220"/>
      <c r="C1759" s="220" t="s">
        <v>290</v>
      </c>
      <c r="D1759" s="220" t="str">
        <f>vlookup(M1759,'Página10'!A:B,2,false)</f>
        <v>INOV00001</v>
      </c>
      <c r="E1759" s="134" t="s">
        <v>146</v>
      </c>
      <c r="F1759" s="225">
        <v>45253.0</v>
      </c>
      <c r="G1759" s="222">
        <v>0.08333333333333333</v>
      </c>
      <c r="H1759" s="134" t="s">
        <v>411</v>
      </c>
      <c r="I1759" s="223" t="s">
        <v>411</v>
      </c>
      <c r="J1759" s="223" t="b">
        <f t="shared" si="1"/>
        <v>1</v>
      </c>
      <c r="K1759" s="145" t="s">
        <v>1550</v>
      </c>
      <c r="L1759" s="156"/>
      <c r="M1759" s="134" t="s">
        <v>416</v>
      </c>
      <c r="N1759" s="150">
        <f>if(and(O1759=TRUE,P1759=TRUE), VLOOKUP($E1759,PESSOAL!$B$35:$S$45,MONTH($F1759)+6,false)*G1759*24,0)</f>
        <v>206.1512629</v>
      </c>
      <c r="O1759" s="117" t="b">
        <f t="shared" si="7"/>
        <v>1</v>
      </c>
      <c r="P1759" s="117" t="b">
        <v>1</v>
      </c>
      <c r="Q1759" s="117" t="s">
        <v>368</v>
      </c>
    </row>
    <row r="1760" hidden="1">
      <c r="A1760" s="108"/>
      <c r="B1760" s="220"/>
      <c r="C1760" s="220" t="s">
        <v>68</v>
      </c>
      <c r="D1760" s="220" t="str">
        <f>vlookup(M1760,'Página10'!A:B,2,false)</f>
        <v>INOV00040</v>
      </c>
      <c r="E1760" s="134" t="s">
        <v>146</v>
      </c>
      <c r="F1760" s="225">
        <v>45254.0</v>
      </c>
      <c r="G1760" s="222">
        <v>0.07291666666666667</v>
      </c>
      <c r="H1760" s="134" t="s">
        <v>411</v>
      </c>
      <c r="I1760" s="223" t="s">
        <v>411</v>
      </c>
      <c r="J1760" s="223" t="b">
        <f t="shared" si="1"/>
        <v>1</v>
      </c>
      <c r="K1760" s="145" t="s">
        <v>1551</v>
      </c>
      <c r="L1760" s="156"/>
      <c r="M1760" s="134" t="s">
        <v>462</v>
      </c>
      <c r="N1760" s="150">
        <f>if(and(O1760=TRUE,P1760=TRUE), VLOOKUP($E1760,PESSOAL!$B$35:$S$45,MONTH($F1760)+6,false)*G1760*24,0)</f>
        <v>0</v>
      </c>
      <c r="O1760" s="117" t="b">
        <f t="shared" si="7"/>
        <v>1</v>
      </c>
      <c r="P1760" s="117" t="b">
        <v>0</v>
      </c>
      <c r="Q1760" s="117" t="s">
        <v>368</v>
      </c>
    </row>
    <row r="1761" hidden="1">
      <c r="A1761" s="108"/>
      <c r="B1761" s="220"/>
      <c r="C1761" s="220" t="s">
        <v>471</v>
      </c>
      <c r="D1761" s="220" t="str">
        <f>vlookup(M1761,'Página10'!A:B,2,false)</f>
        <v>INOV00045</v>
      </c>
      <c r="E1761" s="134" t="s">
        <v>146</v>
      </c>
      <c r="F1761" s="225">
        <v>45257.0</v>
      </c>
      <c r="G1761" s="222">
        <v>0.3229166666666667</v>
      </c>
      <c r="H1761" s="134" t="s">
        <v>475</v>
      </c>
      <c r="I1761" s="223" t="s">
        <v>475</v>
      </c>
      <c r="J1761" s="223" t="b">
        <f t="shared" si="1"/>
        <v>1</v>
      </c>
      <c r="K1761" s="145" t="s">
        <v>1552</v>
      </c>
      <c r="L1761" s="156"/>
      <c r="M1761" s="134" t="s">
        <v>470</v>
      </c>
      <c r="N1761" s="150">
        <f>if(and(O1761=TRUE,P1761=TRUE), VLOOKUP($E1761,PESSOAL!$B$35:$S$45,MONTH($F1761)+6,false)*G1761*24,0)</f>
        <v>0</v>
      </c>
      <c r="O1761" s="117" t="b">
        <f t="shared" si="7"/>
        <v>1</v>
      </c>
      <c r="P1761" s="117" t="b">
        <v>0</v>
      </c>
      <c r="Q1761" s="117" t="s">
        <v>368</v>
      </c>
    </row>
    <row r="1762" hidden="1">
      <c r="A1762" s="108"/>
      <c r="B1762" s="220"/>
      <c r="C1762" s="220" t="s">
        <v>53</v>
      </c>
      <c r="D1762" s="220" t="str">
        <f>vlookup(M1762,'Página10'!A:B,2,false)</f>
        <v>INOV00014</v>
      </c>
      <c r="E1762" s="134" t="s">
        <v>146</v>
      </c>
      <c r="F1762" s="225">
        <v>45258.0</v>
      </c>
      <c r="G1762" s="222">
        <v>0.3229166666666667</v>
      </c>
      <c r="H1762" s="134" t="s">
        <v>411</v>
      </c>
      <c r="I1762" s="223" t="s">
        <v>411</v>
      </c>
      <c r="J1762" s="223" t="b">
        <f t="shared" si="1"/>
        <v>1</v>
      </c>
      <c r="K1762" s="145" t="s">
        <v>1553</v>
      </c>
      <c r="L1762" s="156"/>
      <c r="M1762" s="134" t="s">
        <v>427</v>
      </c>
      <c r="N1762" s="150">
        <f>if(and(O1762=TRUE,P1762=TRUE), VLOOKUP($E1762,PESSOAL!$B$35:$S$45,MONTH($F1762)+6,false)*G1762*24,0)</f>
        <v>798.8361438</v>
      </c>
      <c r="O1762" s="117" t="b">
        <f t="shared" si="7"/>
        <v>1</v>
      </c>
      <c r="P1762" s="117" t="b">
        <v>1</v>
      </c>
      <c r="Q1762" s="117" t="s">
        <v>368</v>
      </c>
    </row>
    <row r="1763" hidden="1">
      <c r="A1763" s="108"/>
      <c r="B1763" s="220"/>
      <c r="C1763" s="220" t="s">
        <v>290</v>
      </c>
      <c r="D1763" s="220" t="str">
        <f>vlookup(M1763,'Página10'!A:B,2,false)</f>
        <v>INOV00001</v>
      </c>
      <c r="E1763" s="134" t="s">
        <v>146</v>
      </c>
      <c r="F1763" s="225">
        <v>45259.0</v>
      </c>
      <c r="G1763" s="222">
        <v>0.08333333333333333</v>
      </c>
      <c r="H1763" s="134" t="s">
        <v>411</v>
      </c>
      <c r="I1763" s="223" t="s">
        <v>411</v>
      </c>
      <c r="J1763" s="223" t="b">
        <f t="shared" si="1"/>
        <v>1</v>
      </c>
      <c r="K1763" s="145" t="s">
        <v>1554</v>
      </c>
      <c r="L1763" s="156"/>
      <c r="M1763" s="134" t="s">
        <v>416</v>
      </c>
      <c r="N1763" s="150">
        <f>if(and(O1763=TRUE,P1763=TRUE), VLOOKUP($E1763,PESSOAL!$B$35:$S$45,MONTH($F1763)+6,false)*G1763*24,0)</f>
        <v>206.1512629</v>
      </c>
      <c r="O1763" s="117" t="b">
        <f t="shared" si="7"/>
        <v>1</v>
      </c>
      <c r="P1763" s="117" t="b">
        <v>1</v>
      </c>
      <c r="Q1763" s="117" t="s">
        <v>368</v>
      </c>
    </row>
    <row r="1764" hidden="1">
      <c r="A1764" s="108"/>
      <c r="B1764" s="220"/>
      <c r="C1764" s="220" t="s">
        <v>471</v>
      </c>
      <c r="D1764" s="220" t="str">
        <f>vlookup(M1764,'Página10'!A:B,2,false)</f>
        <v>INOV00045</v>
      </c>
      <c r="E1764" s="134" t="s">
        <v>146</v>
      </c>
      <c r="F1764" s="225">
        <v>45260.0</v>
      </c>
      <c r="G1764" s="222">
        <v>0.08333333333333333</v>
      </c>
      <c r="H1764" s="134" t="s">
        <v>411</v>
      </c>
      <c r="I1764" s="223" t="s">
        <v>411</v>
      </c>
      <c r="J1764" s="223" t="b">
        <f t="shared" si="1"/>
        <v>1</v>
      </c>
      <c r="K1764" s="145" t="s">
        <v>1555</v>
      </c>
      <c r="L1764" s="156"/>
      <c r="M1764" s="134" t="s">
        <v>470</v>
      </c>
      <c r="N1764" s="150">
        <f>if(and(O1764=TRUE,P1764=TRUE), VLOOKUP($E1764,PESSOAL!$B$35:$S$45,MONTH($F1764)+6,false)*G1764*24,0)</f>
        <v>0</v>
      </c>
      <c r="O1764" s="117" t="b">
        <f t="shared" si="7"/>
        <v>1</v>
      </c>
      <c r="P1764" s="117" t="b">
        <v>0</v>
      </c>
      <c r="Q1764" s="117" t="s">
        <v>368</v>
      </c>
    </row>
    <row r="1765" hidden="1">
      <c r="A1765" s="108"/>
      <c r="B1765" s="220"/>
      <c r="C1765" s="220" t="s">
        <v>471</v>
      </c>
      <c r="D1765" s="220" t="str">
        <f>vlookup(M1765,'Página10'!A:B,2,false)</f>
        <v>INOV00045</v>
      </c>
      <c r="E1765" s="134" t="s">
        <v>146</v>
      </c>
      <c r="F1765" s="225">
        <v>45264.0</v>
      </c>
      <c r="G1765" s="222">
        <v>0.125</v>
      </c>
      <c r="H1765" s="134" t="s">
        <v>411</v>
      </c>
      <c r="I1765" s="223" t="s">
        <v>411</v>
      </c>
      <c r="J1765" s="223" t="b">
        <f t="shared" si="1"/>
        <v>1</v>
      </c>
      <c r="K1765" s="145" t="s">
        <v>1556</v>
      </c>
      <c r="L1765" s="156"/>
      <c r="M1765" s="134" t="s">
        <v>470</v>
      </c>
      <c r="N1765" s="150">
        <f>if(and(O1765=TRUE,P1765=TRUE), VLOOKUP($E1765,PESSOAL!$B$35:$S$45,MONTH($F1765)+6,false)*G1765*24,0)</f>
        <v>0</v>
      </c>
      <c r="O1765" s="117" t="b">
        <f t="shared" si="7"/>
        <v>1</v>
      </c>
      <c r="P1765" s="117" t="b">
        <v>0</v>
      </c>
      <c r="Q1765" s="117" t="s">
        <v>368</v>
      </c>
    </row>
    <row r="1766" hidden="1">
      <c r="A1766" s="108"/>
      <c r="B1766" s="220"/>
      <c r="C1766" s="220" t="s">
        <v>441</v>
      </c>
      <c r="D1766" s="220" t="str">
        <f>vlookup(M1766,'Página10'!A:B,2,false)</f>
        <v>INOV00025</v>
      </c>
      <c r="E1766" s="134" t="s">
        <v>116</v>
      </c>
      <c r="F1766" s="225">
        <v>45236.0</v>
      </c>
      <c r="G1766" s="222">
        <v>0.041666666666666664</v>
      </c>
      <c r="H1766" s="134" t="s">
        <v>411</v>
      </c>
      <c r="I1766" s="223" t="s">
        <v>411</v>
      </c>
      <c r="J1766" s="223" t="b">
        <f t="shared" si="1"/>
        <v>1</v>
      </c>
      <c r="K1766" s="145" t="s">
        <v>1557</v>
      </c>
      <c r="L1766" s="156"/>
      <c r="M1766" s="134" t="s">
        <v>440</v>
      </c>
      <c r="N1766" s="150">
        <f>if(and(O1766=TRUE,P1766=TRUE), VLOOKUP($E1766,PESSOAL!$B$35:$S$45,MONTH($F1766)+6,false)*G1766*24,0)</f>
        <v>0</v>
      </c>
      <c r="O1766" s="117" t="b">
        <f t="shared" si="7"/>
        <v>1</v>
      </c>
      <c r="P1766" s="117" t="b">
        <v>0</v>
      </c>
      <c r="Q1766" s="117" t="s">
        <v>368</v>
      </c>
    </row>
    <row r="1767" hidden="1">
      <c r="A1767" s="108"/>
      <c r="B1767" s="220"/>
      <c r="C1767" s="220" t="s">
        <v>441</v>
      </c>
      <c r="D1767" s="220" t="str">
        <f>vlookup(M1767,'Página10'!A:B,2,false)</f>
        <v>INOV00025</v>
      </c>
      <c r="E1767" s="134" t="s">
        <v>116</v>
      </c>
      <c r="F1767" s="225">
        <v>45244.0</v>
      </c>
      <c r="G1767" s="222">
        <v>0.041666666666666664</v>
      </c>
      <c r="H1767" s="134" t="s">
        <v>411</v>
      </c>
      <c r="I1767" s="223" t="s">
        <v>411</v>
      </c>
      <c r="J1767" s="223" t="b">
        <f t="shared" si="1"/>
        <v>1</v>
      </c>
      <c r="K1767" s="145" t="s">
        <v>1557</v>
      </c>
      <c r="L1767" s="156"/>
      <c r="M1767" s="134" t="s">
        <v>440</v>
      </c>
      <c r="N1767" s="150">
        <f>if(and(O1767=TRUE,P1767=TRUE), VLOOKUP($E1767,PESSOAL!$B$35:$S$45,MONTH($F1767)+6,false)*G1767*24,0)</f>
        <v>0</v>
      </c>
      <c r="O1767" s="117" t="b">
        <f t="shared" si="7"/>
        <v>1</v>
      </c>
      <c r="P1767" s="117" t="b">
        <v>0</v>
      </c>
      <c r="Q1767" s="117" t="s">
        <v>368</v>
      </c>
    </row>
    <row r="1768" hidden="1">
      <c r="A1768" s="108"/>
      <c r="B1768" s="220"/>
      <c r="C1768" s="220" t="s">
        <v>441</v>
      </c>
      <c r="D1768" s="220" t="str">
        <f>vlookup(M1768,'Página10'!A:B,2,false)</f>
        <v>INOV00025</v>
      </c>
      <c r="E1768" s="134" t="s">
        <v>116</v>
      </c>
      <c r="F1768" s="225">
        <v>45250.0</v>
      </c>
      <c r="G1768" s="222">
        <v>0.020833333333333332</v>
      </c>
      <c r="H1768" s="134" t="s">
        <v>411</v>
      </c>
      <c r="I1768" s="223" t="s">
        <v>479</v>
      </c>
      <c r="J1768" s="223" t="b">
        <f t="shared" si="1"/>
        <v>0</v>
      </c>
      <c r="K1768" s="145" t="s">
        <v>1558</v>
      </c>
      <c r="L1768" s="156"/>
      <c r="M1768" s="134" t="s">
        <v>440</v>
      </c>
      <c r="N1768" s="150">
        <f>if(and(O1768=TRUE,P1768=TRUE), VLOOKUP($E1768,PESSOAL!$B$35:$S$45,MONTH($F1768)+6,false)*G1768*24,0)</f>
        <v>0</v>
      </c>
      <c r="O1768" s="117" t="b">
        <f t="shared" si="7"/>
        <v>0</v>
      </c>
      <c r="P1768" s="117" t="b">
        <v>0</v>
      </c>
      <c r="Q1768" s="117" t="s">
        <v>368</v>
      </c>
    </row>
    <row r="1769" hidden="1">
      <c r="A1769" s="108"/>
      <c r="B1769" s="220"/>
      <c r="C1769" s="220" t="s">
        <v>441</v>
      </c>
      <c r="D1769" s="220" t="str">
        <f>vlookup(M1769,'Página10'!A:B,2,false)</f>
        <v>INOV00025</v>
      </c>
      <c r="E1769" s="134" t="s">
        <v>116</v>
      </c>
      <c r="F1769" s="225">
        <v>45251.0</v>
      </c>
      <c r="G1769" s="222">
        <v>0.041666666666666664</v>
      </c>
      <c r="H1769" s="134" t="s">
        <v>411</v>
      </c>
      <c r="I1769" s="223" t="s">
        <v>411</v>
      </c>
      <c r="J1769" s="223" t="b">
        <f t="shared" si="1"/>
        <v>1</v>
      </c>
      <c r="K1769" s="145" t="s">
        <v>1557</v>
      </c>
      <c r="L1769" s="156"/>
      <c r="M1769" s="134" t="s">
        <v>440</v>
      </c>
      <c r="N1769" s="150">
        <f>if(and(O1769=TRUE,P1769=TRUE), VLOOKUP($E1769,PESSOAL!$B$35:$S$45,MONTH($F1769)+6,false)*G1769*24,0)</f>
        <v>0</v>
      </c>
      <c r="O1769" s="117" t="b">
        <f t="shared" si="7"/>
        <v>1</v>
      </c>
      <c r="P1769" s="117" t="b">
        <v>0</v>
      </c>
      <c r="Q1769" s="117" t="s">
        <v>368</v>
      </c>
    </row>
    <row r="1770" hidden="1">
      <c r="A1770" s="108"/>
      <c r="B1770" s="220"/>
      <c r="C1770" s="220" t="s">
        <v>68</v>
      </c>
      <c r="D1770" s="220" t="str">
        <f>vlookup(M1770,'Página10'!A:B,2,false)</f>
        <v>INOV00040</v>
      </c>
      <c r="E1770" s="134" t="s">
        <v>116</v>
      </c>
      <c r="F1770" s="225">
        <v>45252.0</v>
      </c>
      <c r="G1770" s="222">
        <v>0.041666666666666664</v>
      </c>
      <c r="H1770" s="134" t="s">
        <v>474</v>
      </c>
      <c r="I1770" s="223" t="s">
        <v>479</v>
      </c>
      <c r="J1770" s="223" t="b">
        <f t="shared" si="1"/>
        <v>0</v>
      </c>
      <c r="K1770" s="145" t="s">
        <v>1559</v>
      </c>
      <c r="L1770" s="156"/>
      <c r="M1770" s="134" t="s">
        <v>462</v>
      </c>
      <c r="N1770" s="150">
        <f>if(and(O1770=TRUE,P1770=TRUE), VLOOKUP($E1770,PESSOAL!$B$35:$S$45,MONTH($F1770)+6,false)*G1770*24,0)</f>
        <v>0</v>
      </c>
      <c r="O1770" s="117" t="b">
        <f t="shared" si="7"/>
        <v>0</v>
      </c>
      <c r="P1770" s="117" t="b">
        <v>0</v>
      </c>
      <c r="Q1770" s="117" t="s">
        <v>368</v>
      </c>
    </row>
    <row r="1771" hidden="1">
      <c r="A1771" s="108"/>
      <c r="B1771" s="220"/>
      <c r="C1771" s="220" t="s">
        <v>290</v>
      </c>
      <c r="D1771" s="220" t="str">
        <f>vlookup(M1771,'Página10'!A:B,2,false)</f>
        <v>INOV00001</v>
      </c>
      <c r="E1771" s="134" t="s">
        <v>116</v>
      </c>
      <c r="F1771" s="225">
        <v>45253.0</v>
      </c>
      <c r="G1771" s="222">
        <v>0.041666666666666664</v>
      </c>
      <c r="H1771" s="134" t="s">
        <v>479</v>
      </c>
      <c r="I1771" s="223" t="s">
        <v>411</v>
      </c>
      <c r="J1771" s="223" t="b">
        <f t="shared" si="1"/>
        <v>0</v>
      </c>
      <c r="K1771" s="145" t="s">
        <v>1560</v>
      </c>
      <c r="L1771" s="156"/>
      <c r="M1771" s="134" t="s">
        <v>416</v>
      </c>
      <c r="N1771" s="150">
        <f>if(and(O1771=TRUE,P1771=TRUE), VLOOKUP($E1771,PESSOAL!$B$35:$S$45,MONTH($F1771)+6,false)*G1771*24,0)</f>
        <v>212.3878754</v>
      </c>
      <c r="O1771" s="117" t="b">
        <f t="shared" si="7"/>
        <v>1</v>
      </c>
      <c r="P1771" s="117" t="b">
        <v>1</v>
      </c>
      <c r="Q1771" s="117" t="s">
        <v>368</v>
      </c>
    </row>
    <row r="1772" hidden="1">
      <c r="A1772" s="108"/>
      <c r="B1772" s="220"/>
      <c r="C1772" s="220" t="s">
        <v>68</v>
      </c>
      <c r="D1772" s="220" t="str">
        <f>vlookup(M1772,'Página10'!A:B,2,false)</f>
        <v>INOV00040</v>
      </c>
      <c r="E1772" s="134" t="s">
        <v>116</v>
      </c>
      <c r="F1772" s="225">
        <v>45258.0</v>
      </c>
      <c r="G1772" s="222">
        <v>0.041666666666666664</v>
      </c>
      <c r="H1772" s="134" t="s">
        <v>474</v>
      </c>
      <c r="I1772" s="223" t="s">
        <v>479</v>
      </c>
      <c r="J1772" s="223" t="b">
        <f t="shared" si="1"/>
        <v>0</v>
      </c>
      <c r="K1772" s="145" t="s">
        <v>1561</v>
      </c>
      <c r="L1772" s="156"/>
      <c r="M1772" s="134" t="s">
        <v>462</v>
      </c>
      <c r="N1772" s="150">
        <f>if(and(O1772=TRUE,P1772=TRUE), VLOOKUP($E1772,PESSOAL!$B$35:$S$45,MONTH($F1772)+6,false)*G1772*24,0)</f>
        <v>0</v>
      </c>
      <c r="O1772" s="117" t="b">
        <f t="shared" si="7"/>
        <v>0</v>
      </c>
      <c r="P1772" s="117" t="b">
        <v>0</v>
      </c>
      <c r="Q1772" s="117" t="s">
        <v>368</v>
      </c>
    </row>
    <row r="1773" hidden="1">
      <c r="A1773" s="108"/>
      <c r="B1773" s="220"/>
      <c r="C1773" s="220" t="s">
        <v>441</v>
      </c>
      <c r="D1773" s="220" t="str">
        <f>vlookup(M1773,'Página10'!A:B,2,false)</f>
        <v>INOV00025</v>
      </c>
      <c r="E1773" s="134" t="s">
        <v>116</v>
      </c>
      <c r="F1773" s="225">
        <v>45260.0</v>
      </c>
      <c r="G1773" s="222">
        <v>0.041666666666666664</v>
      </c>
      <c r="H1773" s="134" t="s">
        <v>411</v>
      </c>
      <c r="I1773" s="223" t="s">
        <v>411</v>
      </c>
      <c r="J1773" s="223" t="b">
        <f t="shared" si="1"/>
        <v>1</v>
      </c>
      <c r="K1773" s="145" t="s">
        <v>1557</v>
      </c>
      <c r="L1773" s="156"/>
      <c r="M1773" s="134" t="s">
        <v>440</v>
      </c>
      <c r="N1773" s="150">
        <f>if(and(O1773=TRUE,P1773=TRUE), VLOOKUP($E1773,PESSOAL!$B$35:$S$45,MONTH($F1773)+6,false)*G1773*24,0)</f>
        <v>0</v>
      </c>
      <c r="O1773" s="117" t="b">
        <f t="shared" si="7"/>
        <v>1</v>
      </c>
      <c r="P1773" s="117" t="b">
        <v>0</v>
      </c>
      <c r="Q1773" s="117" t="s">
        <v>368</v>
      </c>
    </row>
    <row r="1774" hidden="1">
      <c r="A1774" s="108"/>
      <c r="B1774" s="220"/>
      <c r="C1774" s="220" t="s">
        <v>441</v>
      </c>
      <c r="D1774" s="220" t="str">
        <f>vlookup(M1774,'Página10'!A:B,2,false)</f>
        <v>INOV00025</v>
      </c>
      <c r="E1774" s="134" t="s">
        <v>116</v>
      </c>
      <c r="F1774" s="225">
        <v>45264.0</v>
      </c>
      <c r="G1774" s="222">
        <v>0.16666666666666666</v>
      </c>
      <c r="H1774" s="134" t="s">
        <v>411</v>
      </c>
      <c r="I1774" s="223" t="s">
        <v>411</v>
      </c>
      <c r="J1774" s="223" t="b">
        <f t="shared" si="1"/>
        <v>1</v>
      </c>
      <c r="K1774" s="145" t="s">
        <v>1562</v>
      </c>
      <c r="L1774" s="156"/>
      <c r="M1774" s="134" t="s">
        <v>440</v>
      </c>
      <c r="N1774" s="150">
        <f>if(and(O1774=TRUE,P1774=TRUE), VLOOKUP($E1774,PESSOAL!$B$35:$S$45,MONTH($F1774)+6,false)*G1774*24,0)</f>
        <v>0</v>
      </c>
      <c r="O1774" s="117" t="b">
        <f t="shared" si="7"/>
        <v>1</v>
      </c>
      <c r="P1774" s="117" t="b">
        <v>0</v>
      </c>
      <c r="Q1774" s="117" t="s">
        <v>368</v>
      </c>
    </row>
    <row r="1775" hidden="1">
      <c r="A1775" s="108"/>
      <c r="B1775" s="220"/>
      <c r="C1775" s="220" t="s">
        <v>68</v>
      </c>
      <c r="D1775" s="220" t="str">
        <f>vlookup(M1775,'Página10'!A:B,2,false)</f>
        <v>INOV00040</v>
      </c>
      <c r="E1775" s="134" t="s">
        <v>116</v>
      </c>
      <c r="F1775" s="225">
        <v>45266.0</v>
      </c>
      <c r="G1775" s="222">
        <v>0.14583333333333334</v>
      </c>
      <c r="H1775" s="134" t="s">
        <v>474</v>
      </c>
      <c r="I1775" s="223" t="s">
        <v>479</v>
      </c>
      <c r="J1775" s="223" t="b">
        <f t="shared" si="1"/>
        <v>0</v>
      </c>
      <c r="K1775" s="145" t="s">
        <v>1563</v>
      </c>
      <c r="L1775" s="156"/>
      <c r="M1775" s="134" t="s">
        <v>462</v>
      </c>
      <c r="N1775" s="150">
        <f>if(and(O1775=TRUE,P1775=TRUE), VLOOKUP($E1775,PESSOAL!$B$35:$S$45,MONTH($F1775)+6,false)*G1775*24,0)</f>
        <v>0</v>
      </c>
      <c r="O1775" s="117" t="b">
        <f t="shared" si="7"/>
        <v>0</v>
      </c>
      <c r="P1775" s="117" t="b">
        <v>0</v>
      </c>
      <c r="Q1775" s="117" t="s">
        <v>368</v>
      </c>
    </row>
    <row r="1776" hidden="1">
      <c r="A1776" s="108"/>
      <c r="B1776" s="220"/>
      <c r="C1776" s="220" t="s">
        <v>54</v>
      </c>
      <c r="D1776" s="220" t="str">
        <f>vlookup(M1776,'Página10'!A:B,2,false)</f>
        <v>INOV00016</v>
      </c>
      <c r="E1776" s="134" t="s">
        <v>116</v>
      </c>
      <c r="F1776" s="225">
        <v>45271.0</v>
      </c>
      <c r="G1776" s="222">
        <v>0.041666666666666664</v>
      </c>
      <c r="H1776" s="134" t="s">
        <v>475</v>
      </c>
      <c r="I1776" s="223" t="s">
        <v>475</v>
      </c>
      <c r="J1776" s="223" t="b">
        <f t="shared" si="1"/>
        <v>1</v>
      </c>
      <c r="K1776" s="145" t="s">
        <v>1564</v>
      </c>
      <c r="L1776" s="156"/>
      <c r="M1776" s="134" t="s">
        <v>428</v>
      </c>
      <c r="N1776" s="150">
        <f>if(and(O1776=TRUE,P1776=TRUE), VLOOKUP($E1776,PESSOAL!$B$35:$S$45,MONTH($F1776)+6,false)*G1776*24,0)</f>
        <v>202.2741671</v>
      </c>
      <c r="O1776" s="117" t="b">
        <f t="shared" si="7"/>
        <v>1</v>
      </c>
      <c r="P1776" s="117" t="b">
        <v>1</v>
      </c>
      <c r="Q1776" s="117" t="s">
        <v>368</v>
      </c>
    </row>
    <row r="1777" hidden="1">
      <c r="A1777" s="108"/>
      <c r="B1777" s="220"/>
      <c r="C1777" s="220" t="s">
        <v>441</v>
      </c>
      <c r="D1777" s="220" t="str">
        <f>vlookup(M1777,'Página10'!A:B,2,false)</f>
        <v>INOV00025</v>
      </c>
      <c r="E1777" s="134" t="s">
        <v>116</v>
      </c>
      <c r="F1777" s="225">
        <v>45272.0</v>
      </c>
      <c r="G1777" s="222">
        <v>0.041666666666666664</v>
      </c>
      <c r="H1777" s="134" t="s">
        <v>411</v>
      </c>
      <c r="I1777" s="223" t="s">
        <v>411</v>
      </c>
      <c r="J1777" s="223" t="b">
        <f t="shared" si="1"/>
        <v>1</v>
      </c>
      <c r="K1777" s="145" t="s">
        <v>1557</v>
      </c>
      <c r="L1777" s="156"/>
      <c r="M1777" s="134" t="s">
        <v>440</v>
      </c>
      <c r="N1777" s="150">
        <f>if(and(O1777=TRUE,P1777=TRUE), VLOOKUP($E1777,PESSOAL!$B$35:$S$45,MONTH($F1777)+6,false)*G1777*24,0)</f>
        <v>0</v>
      </c>
      <c r="O1777" s="117" t="b">
        <f t="shared" si="7"/>
        <v>1</v>
      </c>
      <c r="P1777" s="117" t="b">
        <v>0</v>
      </c>
      <c r="Q1777" s="117" t="s">
        <v>368</v>
      </c>
    </row>
    <row r="1778" hidden="1">
      <c r="A1778" s="108"/>
      <c r="B1778" s="220"/>
      <c r="C1778" s="220" t="s">
        <v>290</v>
      </c>
      <c r="D1778" s="220" t="str">
        <f>vlookup(M1778,'Página10'!A:B,2,false)</f>
        <v>INOV00001</v>
      </c>
      <c r="E1778" s="134" t="s">
        <v>116</v>
      </c>
      <c r="F1778" s="225">
        <v>45274.0</v>
      </c>
      <c r="G1778" s="222">
        <v>0.16666666666666666</v>
      </c>
      <c r="H1778" s="134" t="s">
        <v>411</v>
      </c>
      <c r="I1778" s="223" t="s">
        <v>411</v>
      </c>
      <c r="J1778" s="223" t="b">
        <f t="shared" si="1"/>
        <v>1</v>
      </c>
      <c r="K1778" s="145" t="s">
        <v>1565</v>
      </c>
      <c r="L1778" s="156"/>
      <c r="M1778" s="134" t="s">
        <v>416</v>
      </c>
      <c r="N1778" s="150">
        <f>if(and(O1778=TRUE,P1778=TRUE), VLOOKUP($E1778,PESSOAL!$B$35:$S$45,MONTH($F1778)+6,false)*G1778*24,0)</f>
        <v>809.0966683</v>
      </c>
      <c r="O1778" s="117" t="b">
        <f t="shared" si="7"/>
        <v>1</v>
      </c>
      <c r="P1778" s="117" t="b">
        <v>1</v>
      </c>
      <c r="Q1778" s="117" t="s">
        <v>368</v>
      </c>
    </row>
    <row r="1779" hidden="1">
      <c r="A1779" s="108"/>
      <c r="B1779" s="220"/>
      <c r="C1779" s="220" t="s">
        <v>441</v>
      </c>
      <c r="D1779" s="220" t="str">
        <f>vlookup(M1779,'Página10'!A:B,2,false)</f>
        <v>INOV00025</v>
      </c>
      <c r="E1779" s="134" t="s">
        <v>116</v>
      </c>
      <c r="F1779" s="225">
        <v>45279.0</v>
      </c>
      <c r="G1779" s="222">
        <v>0.041666666666666664</v>
      </c>
      <c r="H1779" s="134" t="s">
        <v>411</v>
      </c>
      <c r="I1779" s="223" t="s">
        <v>411</v>
      </c>
      <c r="J1779" s="223" t="b">
        <f t="shared" si="1"/>
        <v>1</v>
      </c>
      <c r="K1779" s="145" t="s">
        <v>1557</v>
      </c>
      <c r="L1779" s="156"/>
      <c r="M1779" s="134" t="s">
        <v>440</v>
      </c>
      <c r="N1779" s="150">
        <f>if(and(O1779=TRUE,P1779=TRUE), VLOOKUP($E1779,PESSOAL!$B$35:$S$45,MONTH($F1779)+6,false)*G1779*24,0)</f>
        <v>0</v>
      </c>
      <c r="O1779" s="117" t="b">
        <f t="shared" si="7"/>
        <v>1</v>
      </c>
      <c r="P1779" s="117" t="b">
        <v>0</v>
      </c>
      <c r="Q1779" s="117" t="s">
        <v>368</v>
      </c>
    </row>
    <row r="1780" hidden="1">
      <c r="A1780" s="108"/>
      <c r="B1780" s="220"/>
      <c r="C1780" s="220" t="s">
        <v>52</v>
      </c>
      <c r="D1780" s="220" t="str">
        <f>vlookup(M1780,'Página10'!A:B,2,false)</f>
        <v>INOV00013</v>
      </c>
      <c r="E1780" s="134" t="s">
        <v>110</v>
      </c>
      <c r="F1780" s="225">
        <v>45202.0</v>
      </c>
      <c r="G1780" s="222">
        <v>0.08333333333333333</v>
      </c>
      <c r="H1780" s="134" t="s">
        <v>411</v>
      </c>
      <c r="I1780" s="223" t="s">
        <v>411</v>
      </c>
      <c r="J1780" s="223" t="b">
        <f t="shared" si="1"/>
        <v>1</v>
      </c>
      <c r="K1780" s="145" t="s">
        <v>1566</v>
      </c>
      <c r="L1780" s="156"/>
      <c r="M1780" s="134" t="s">
        <v>426</v>
      </c>
      <c r="N1780" s="150">
        <f>if(and(O1780=TRUE,P1780=TRUE), VLOOKUP($E1780,PESSOAL!$B$35:$S$45,MONTH($F1780)+6,false)*G1780*24,0)</f>
        <v>132.2851659</v>
      </c>
      <c r="O1780" s="117" t="b">
        <f t="shared" si="7"/>
        <v>1</v>
      </c>
      <c r="P1780" s="117" t="b">
        <v>1</v>
      </c>
      <c r="Q1780" s="117" t="s">
        <v>368</v>
      </c>
    </row>
    <row r="1781" hidden="1">
      <c r="A1781" s="108"/>
      <c r="B1781" s="220"/>
      <c r="C1781" s="220" t="s">
        <v>290</v>
      </c>
      <c r="D1781" s="220" t="str">
        <f>vlookup(M1781,'Página10'!A:B,2,false)</f>
        <v>INOV00001</v>
      </c>
      <c r="E1781" s="134" t="s">
        <v>110</v>
      </c>
      <c r="F1781" s="225">
        <v>45202.0</v>
      </c>
      <c r="G1781" s="222">
        <v>0.07291666666666667</v>
      </c>
      <c r="H1781" s="134" t="s">
        <v>411</v>
      </c>
      <c r="I1781" s="223" t="s">
        <v>411</v>
      </c>
      <c r="J1781" s="223" t="b">
        <f t="shared" si="1"/>
        <v>1</v>
      </c>
      <c r="K1781" s="145" t="s">
        <v>1486</v>
      </c>
      <c r="L1781" s="156"/>
      <c r="M1781" s="134" t="s">
        <v>416</v>
      </c>
      <c r="N1781" s="150">
        <f>if(and(O1781=TRUE,P1781=TRUE), VLOOKUP($E1781,PESSOAL!$B$35:$S$45,MONTH($F1781)+6,false)*G1781*24,0)</f>
        <v>115.7495201</v>
      </c>
      <c r="O1781" s="117" t="b">
        <f t="shared" si="7"/>
        <v>1</v>
      </c>
      <c r="P1781" s="117" t="b">
        <v>1</v>
      </c>
      <c r="Q1781" s="117" t="s">
        <v>368</v>
      </c>
    </row>
    <row r="1782" hidden="1">
      <c r="A1782" s="108"/>
      <c r="B1782" s="220"/>
      <c r="C1782" s="220" t="s">
        <v>69</v>
      </c>
      <c r="D1782" s="220" t="str">
        <f>vlookup(M1782,'Página10'!A:B,2,false)</f>
        <v>INOV00041</v>
      </c>
      <c r="E1782" s="134" t="s">
        <v>110</v>
      </c>
      <c r="F1782" s="225">
        <v>45202.0</v>
      </c>
      <c r="G1782" s="222">
        <v>0.08333333333333333</v>
      </c>
      <c r="H1782" s="134" t="s">
        <v>411</v>
      </c>
      <c r="I1782" s="223" t="s">
        <v>411</v>
      </c>
      <c r="J1782" s="223" t="b">
        <f t="shared" si="1"/>
        <v>1</v>
      </c>
      <c r="K1782" s="145" t="s">
        <v>1567</v>
      </c>
      <c r="L1782" s="156"/>
      <c r="M1782" s="134" t="s">
        <v>1388</v>
      </c>
      <c r="N1782" s="150">
        <f>if(and(O1782=TRUE,P1782=TRUE), VLOOKUP($E1782,PESSOAL!$B$35:$S$45,MONTH($F1782)+6,false)*G1782*24,0)</f>
        <v>132.2851659</v>
      </c>
      <c r="O1782" s="117" t="b">
        <f t="shared" si="7"/>
        <v>1</v>
      </c>
      <c r="P1782" s="117" t="b">
        <v>1</v>
      </c>
      <c r="Q1782" s="117" t="s">
        <v>368</v>
      </c>
    </row>
    <row r="1783" hidden="1">
      <c r="A1783" s="108"/>
      <c r="B1783" s="220"/>
      <c r="C1783" s="220" t="s">
        <v>56</v>
      </c>
      <c r="D1783" s="220" t="str">
        <f>vlookup(M1783,'Página10'!A:B,2,false)</f>
        <v>INOV00021</v>
      </c>
      <c r="E1783" s="134" t="s">
        <v>110</v>
      </c>
      <c r="F1783" s="225">
        <v>45202.0</v>
      </c>
      <c r="G1783" s="222">
        <v>0.041666666666666664</v>
      </c>
      <c r="H1783" s="134" t="s">
        <v>411</v>
      </c>
      <c r="I1783" s="223" t="s">
        <v>411</v>
      </c>
      <c r="J1783" s="223" t="b">
        <f t="shared" si="1"/>
        <v>1</v>
      </c>
      <c r="K1783" s="145" t="s">
        <v>1566</v>
      </c>
      <c r="L1783" s="156"/>
      <c r="M1783" s="134" t="s">
        <v>436</v>
      </c>
      <c r="N1783" s="150">
        <f>if(and(O1783=TRUE,P1783=TRUE), VLOOKUP($E1783,PESSOAL!$B$35:$S$45,MONTH($F1783)+6,false)*G1783*24,0)</f>
        <v>66.14258294</v>
      </c>
      <c r="O1783" s="117" t="b">
        <f t="shared" si="7"/>
        <v>1</v>
      </c>
      <c r="P1783" s="117" t="b">
        <v>1</v>
      </c>
      <c r="Q1783" s="117" t="s">
        <v>368</v>
      </c>
    </row>
    <row r="1784" hidden="1">
      <c r="A1784" s="108"/>
      <c r="B1784" s="220"/>
      <c r="C1784" s="220" t="s">
        <v>290</v>
      </c>
      <c r="D1784" s="220" t="str">
        <f>vlookup(M1784,'Página10'!A:B,2,false)</f>
        <v>INOV00001</v>
      </c>
      <c r="E1784" s="134" t="s">
        <v>110</v>
      </c>
      <c r="F1784" s="225">
        <v>45203.0</v>
      </c>
      <c r="G1784" s="222">
        <v>0.07291666666666667</v>
      </c>
      <c r="H1784" s="134" t="s">
        <v>475</v>
      </c>
      <c r="I1784" s="223" t="s">
        <v>411</v>
      </c>
      <c r="J1784" s="223" t="b">
        <f t="shared" si="1"/>
        <v>0</v>
      </c>
      <c r="K1784" s="145" t="s">
        <v>1568</v>
      </c>
      <c r="L1784" s="156"/>
      <c r="M1784" s="134" t="s">
        <v>416</v>
      </c>
      <c r="N1784" s="150">
        <f>if(and(O1784=TRUE,P1784=TRUE), VLOOKUP($E1784,PESSOAL!$B$35:$S$45,MONTH($F1784)+6,false)*G1784*24,0)</f>
        <v>115.7495201</v>
      </c>
      <c r="O1784" s="117" t="b">
        <f t="shared" si="7"/>
        <v>1</v>
      </c>
      <c r="P1784" s="117" t="b">
        <v>1</v>
      </c>
      <c r="Q1784" s="117" t="s">
        <v>368</v>
      </c>
    </row>
    <row r="1785" hidden="1">
      <c r="A1785" s="108"/>
      <c r="B1785" s="220"/>
      <c r="C1785" s="220" t="s">
        <v>290</v>
      </c>
      <c r="D1785" s="220" t="str">
        <f>vlookup(M1785,'Página10'!A:B,2,false)</f>
        <v>INOV00001</v>
      </c>
      <c r="E1785" s="134" t="s">
        <v>110</v>
      </c>
      <c r="F1785" s="225">
        <v>45203.0</v>
      </c>
      <c r="G1785" s="222">
        <v>0.041666666666666664</v>
      </c>
      <c r="H1785" s="134" t="s">
        <v>411</v>
      </c>
      <c r="I1785" s="223" t="s">
        <v>411</v>
      </c>
      <c r="J1785" s="223" t="b">
        <f t="shared" si="1"/>
        <v>1</v>
      </c>
      <c r="K1785" s="145" t="s">
        <v>1486</v>
      </c>
      <c r="L1785" s="156"/>
      <c r="M1785" s="134" t="s">
        <v>416</v>
      </c>
      <c r="N1785" s="150">
        <f>if(and(O1785=TRUE,P1785=TRUE), VLOOKUP($E1785,PESSOAL!$B$35:$S$45,MONTH($F1785)+6,false)*G1785*24,0)</f>
        <v>66.14258294</v>
      </c>
      <c r="O1785" s="117" t="b">
        <f t="shared" si="7"/>
        <v>1</v>
      </c>
      <c r="P1785" s="117" t="b">
        <v>1</v>
      </c>
      <c r="Q1785" s="117" t="s">
        <v>368</v>
      </c>
    </row>
    <row r="1786" hidden="1">
      <c r="A1786" s="108"/>
      <c r="B1786" s="220"/>
      <c r="C1786" s="220" t="s">
        <v>435</v>
      </c>
      <c r="D1786" s="220" t="str">
        <f>vlookup(M1786,'Página10'!A:B,2,false)</f>
        <v>INOV00020</v>
      </c>
      <c r="E1786" s="134" t="s">
        <v>110</v>
      </c>
      <c r="F1786" s="225">
        <v>45203.0</v>
      </c>
      <c r="G1786" s="222">
        <v>0.08333333333333333</v>
      </c>
      <c r="H1786" s="134" t="s">
        <v>475</v>
      </c>
      <c r="I1786" s="223" t="s">
        <v>475</v>
      </c>
      <c r="J1786" s="223" t="b">
        <f t="shared" si="1"/>
        <v>1</v>
      </c>
      <c r="K1786" s="145" t="s">
        <v>1442</v>
      </c>
      <c r="L1786" s="156"/>
      <c r="M1786" s="134" t="s">
        <v>434</v>
      </c>
      <c r="N1786" s="150">
        <f>if(and(O1786=TRUE,P1786=TRUE), VLOOKUP($E1786,PESSOAL!$B$35:$S$45,MONTH($F1786)+6,false)*G1786*24,0)</f>
        <v>0</v>
      </c>
      <c r="O1786" s="117" t="b">
        <f t="shared" si="7"/>
        <v>1</v>
      </c>
      <c r="P1786" s="117" t="b">
        <v>0</v>
      </c>
      <c r="Q1786" s="117" t="s">
        <v>368</v>
      </c>
    </row>
    <row r="1787" hidden="1">
      <c r="A1787" s="108"/>
      <c r="B1787" s="220"/>
      <c r="C1787" s="220" t="s">
        <v>56</v>
      </c>
      <c r="D1787" s="220" t="str">
        <f>vlookup(M1787,'Página10'!A:B,2,false)</f>
        <v>INOV00021</v>
      </c>
      <c r="E1787" s="134" t="s">
        <v>110</v>
      </c>
      <c r="F1787" s="225">
        <v>45203.0</v>
      </c>
      <c r="G1787" s="222">
        <v>0.0625</v>
      </c>
      <c r="H1787" s="134" t="s">
        <v>411</v>
      </c>
      <c r="I1787" s="223" t="s">
        <v>411</v>
      </c>
      <c r="J1787" s="223" t="b">
        <f t="shared" si="1"/>
        <v>1</v>
      </c>
      <c r="K1787" s="145" t="s">
        <v>1566</v>
      </c>
      <c r="L1787" s="156"/>
      <c r="M1787" s="134" t="s">
        <v>436</v>
      </c>
      <c r="N1787" s="150">
        <f>if(and(O1787=TRUE,P1787=TRUE), VLOOKUP($E1787,PESSOAL!$B$35:$S$45,MONTH($F1787)+6,false)*G1787*24,0)</f>
        <v>99.2138744</v>
      </c>
      <c r="O1787" s="117" t="b">
        <f t="shared" si="7"/>
        <v>1</v>
      </c>
      <c r="P1787" s="117" t="b">
        <v>1</v>
      </c>
      <c r="Q1787" s="117" t="s">
        <v>368</v>
      </c>
    </row>
    <row r="1788" hidden="1">
      <c r="A1788" s="108"/>
      <c r="B1788" s="220"/>
      <c r="C1788" s="220" t="s">
        <v>290</v>
      </c>
      <c r="D1788" s="220" t="str">
        <f>vlookup(M1788,'Página10'!A:B,2,false)</f>
        <v>INOV00001</v>
      </c>
      <c r="E1788" s="134" t="s">
        <v>110</v>
      </c>
      <c r="F1788" s="225">
        <v>45203.0</v>
      </c>
      <c r="G1788" s="222">
        <v>0.041666666666666664</v>
      </c>
      <c r="H1788" s="134" t="s">
        <v>411</v>
      </c>
      <c r="I1788" s="223" t="s">
        <v>411</v>
      </c>
      <c r="J1788" s="223" t="b">
        <f t="shared" si="1"/>
        <v>1</v>
      </c>
      <c r="K1788" s="145" t="s">
        <v>1486</v>
      </c>
      <c r="L1788" s="156"/>
      <c r="M1788" s="134" t="s">
        <v>416</v>
      </c>
      <c r="N1788" s="150">
        <f>if(and(O1788=TRUE,P1788=TRUE), VLOOKUP($E1788,PESSOAL!$B$35:$S$45,MONTH($F1788)+6,false)*G1788*24,0)</f>
        <v>66.14258294</v>
      </c>
      <c r="O1788" s="117" t="b">
        <f t="shared" si="7"/>
        <v>1</v>
      </c>
      <c r="P1788" s="117" t="b">
        <v>1</v>
      </c>
      <c r="Q1788" s="117" t="s">
        <v>368</v>
      </c>
    </row>
    <row r="1789" hidden="1">
      <c r="A1789" s="108"/>
      <c r="B1789" s="220"/>
      <c r="C1789" s="220" t="s">
        <v>69</v>
      </c>
      <c r="D1789" s="220" t="str">
        <f>vlookup(M1789,'Página10'!A:B,2,false)</f>
        <v>INOV00041</v>
      </c>
      <c r="E1789" s="134" t="s">
        <v>110</v>
      </c>
      <c r="F1789" s="225">
        <v>45204.0</v>
      </c>
      <c r="G1789" s="222">
        <v>0.10416666666666667</v>
      </c>
      <c r="H1789" s="134" t="s">
        <v>411</v>
      </c>
      <c r="I1789" s="223" t="s">
        <v>411</v>
      </c>
      <c r="J1789" s="223" t="b">
        <f t="shared" si="1"/>
        <v>1</v>
      </c>
      <c r="K1789" s="145" t="s">
        <v>1569</v>
      </c>
      <c r="L1789" s="156"/>
      <c r="M1789" s="134" t="s">
        <v>1388</v>
      </c>
      <c r="N1789" s="150">
        <f>if(and(O1789=TRUE,P1789=TRUE), VLOOKUP($E1789,PESSOAL!$B$35:$S$45,MONTH($F1789)+6,false)*G1789*24,0)</f>
        <v>165.3564573</v>
      </c>
      <c r="O1789" s="117" t="b">
        <f t="shared" si="7"/>
        <v>1</v>
      </c>
      <c r="P1789" s="117" t="b">
        <v>1</v>
      </c>
      <c r="Q1789" s="117" t="s">
        <v>368</v>
      </c>
    </row>
    <row r="1790" hidden="1">
      <c r="A1790" s="108"/>
      <c r="B1790" s="220"/>
      <c r="C1790" s="220" t="s">
        <v>52</v>
      </c>
      <c r="D1790" s="220" t="str">
        <f>vlookup(M1790,'Página10'!A:B,2,false)</f>
        <v>INOV00013</v>
      </c>
      <c r="E1790" s="134" t="s">
        <v>110</v>
      </c>
      <c r="F1790" s="225">
        <v>45204.0</v>
      </c>
      <c r="G1790" s="222">
        <v>0.0625</v>
      </c>
      <c r="H1790" s="134" t="s">
        <v>411</v>
      </c>
      <c r="I1790" s="223" t="s">
        <v>411</v>
      </c>
      <c r="J1790" s="223" t="b">
        <f t="shared" si="1"/>
        <v>1</v>
      </c>
      <c r="K1790" s="145" t="s">
        <v>1566</v>
      </c>
      <c r="L1790" s="156"/>
      <c r="M1790" s="134" t="s">
        <v>426</v>
      </c>
      <c r="N1790" s="150">
        <f>if(and(O1790=TRUE,P1790=TRUE), VLOOKUP($E1790,PESSOAL!$B$35:$S$45,MONTH($F1790)+6,false)*G1790*24,0)</f>
        <v>99.2138744</v>
      </c>
      <c r="O1790" s="117" t="b">
        <f t="shared" si="7"/>
        <v>1</v>
      </c>
      <c r="P1790" s="117" t="b">
        <v>1</v>
      </c>
      <c r="Q1790" s="117" t="s">
        <v>368</v>
      </c>
    </row>
    <row r="1791" hidden="1">
      <c r="A1791" s="108"/>
      <c r="B1791" s="220"/>
      <c r="C1791" s="220" t="s">
        <v>290</v>
      </c>
      <c r="D1791" s="220" t="str">
        <f>vlookup(M1791,'Página10'!A:B,2,false)</f>
        <v>INOV00001</v>
      </c>
      <c r="E1791" s="134" t="s">
        <v>110</v>
      </c>
      <c r="F1791" s="225">
        <v>45205.0</v>
      </c>
      <c r="G1791" s="222">
        <v>0.11458333333333333</v>
      </c>
      <c r="H1791" s="134" t="s">
        <v>475</v>
      </c>
      <c r="I1791" s="223" t="s">
        <v>411</v>
      </c>
      <c r="J1791" s="223" t="b">
        <f t="shared" si="1"/>
        <v>0</v>
      </c>
      <c r="K1791" s="145" t="s">
        <v>1568</v>
      </c>
      <c r="L1791" s="156"/>
      <c r="M1791" s="134" t="s">
        <v>416</v>
      </c>
      <c r="N1791" s="150">
        <f>if(and(O1791=TRUE,P1791=TRUE), VLOOKUP($E1791,PESSOAL!$B$35:$S$45,MONTH($F1791)+6,false)*G1791*24,0)</f>
        <v>181.8921031</v>
      </c>
      <c r="O1791" s="117" t="b">
        <f t="shared" si="7"/>
        <v>1</v>
      </c>
      <c r="P1791" s="117" t="b">
        <v>1</v>
      </c>
      <c r="Q1791" s="117" t="s">
        <v>368</v>
      </c>
    </row>
    <row r="1792" hidden="1">
      <c r="A1792" s="108"/>
      <c r="B1792" s="220"/>
      <c r="C1792" s="220" t="s">
        <v>290</v>
      </c>
      <c r="D1792" s="220" t="str">
        <f>vlookup(M1792,'Página10'!A:B,2,false)</f>
        <v>INOV00001</v>
      </c>
      <c r="E1792" s="134" t="s">
        <v>110</v>
      </c>
      <c r="F1792" s="225">
        <v>45205.0</v>
      </c>
      <c r="G1792" s="222">
        <v>0.041666666666666664</v>
      </c>
      <c r="H1792" s="134" t="s">
        <v>411</v>
      </c>
      <c r="I1792" s="223" t="s">
        <v>411</v>
      </c>
      <c r="J1792" s="223" t="b">
        <f t="shared" si="1"/>
        <v>1</v>
      </c>
      <c r="K1792" s="145" t="s">
        <v>1486</v>
      </c>
      <c r="L1792" s="156"/>
      <c r="M1792" s="134" t="s">
        <v>416</v>
      </c>
      <c r="N1792" s="150">
        <f>if(and(O1792=TRUE,P1792=TRUE), VLOOKUP($E1792,PESSOAL!$B$35:$S$45,MONTH($F1792)+6,false)*G1792*24,0)</f>
        <v>66.14258294</v>
      </c>
      <c r="O1792" s="117" t="b">
        <f t="shared" si="7"/>
        <v>1</v>
      </c>
      <c r="P1792" s="117" t="b">
        <v>1</v>
      </c>
      <c r="Q1792" s="117" t="s">
        <v>368</v>
      </c>
    </row>
    <row r="1793" hidden="1">
      <c r="A1793" s="108"/>
      <c r="B1793" s="220"/>
      <c r="C1793" s="220" t="s">
        <v>56</v>
      </c>
      <c r="D1793" s="220" t="str">
        <f>vlookup(M1793,'Página10'!A:B,2,false)</f>
        <v>INOV00021</v>
      </c>
      <c r="E1793" s="134" t="s">
        <v>110</v>
      </c>
      <c r="F1793" s="225">
        <v>45205.0</v>
      </c>
      <c r="G1793" s="222">
        <v>0.041666666666666664</v>
      </c>
      <c r="H1793" s="134" t="s">
        <v>411</v>
      </c>
      <c r="I1793" s="223" t="s">
        <v>411</v>
      </c>
      <c r="J1793" s="223" t="b">
        <f t="shared" si="1"/>
        <v>1</v>
      </c>
      <c r="K1793" s="145" t="s">
        <v>1566</v>
      </c>
      <c r="L1793" s="156"/>
      <c r="M1793" s="134" t="s">
        <v>436</v>
      </c>
      <c r="N1793" s="150">
        <f>if(and(O1793=TRUE,P1793=TRUE), VLOOKUP($E1793,PESSOAL!$B$35:$S$45,MONTH($F1793)+6,false)*G1793*24,0)</f>
        <v>66.14258294</v>
      </c>
      <c r="O1793" s="117" t="b">
        <f t="shared" si="7"/>
        <v>1</v>
      </c>
      <c r="P1793" s="117" t="b">
        <v>1</v>
      </c>
      <c r="Q1793" s="117" t="s">
        <v>368</v>
      </c>
    </row>
    <row r="1794" hidden="1">
      <c r="A1794" s="108"/>
      <c r="B1794" s="220"/>
      <c r="C1794" s="220" t="s">
        <v>56</v>
      </c>
      <c r="D1794" s="220" t="str">
        <f>vlookup(M1794,'Página10'!A:B,2,false)</f>
        <v>INOV00021</v>
      </c>
      <c r="E1794" s="134" t="s">
        <v>110</v>
      </c>
      <c r="F1794" s="225">
        <v>45205.0</v>
      </c>
      <c r="G1794" s="222">
        <v>0.041666666666666664</v>
      </c>
      <c r="H1794" s="134" t="s">
        <v>475</v>
      </c>
      <c r="I1794" s="223" t="s">
        <v>411</v>
      </c>
      <c r="J1794" s="223" t="b">
        <f t="shared" si="1"/>
        <v>0</v>
      </c>
      <c r="K1794" s="145" t="s">
        <v>1570</v>
      </c>
      <c r="L1794" s="156"/>
      <c r="M1794" s="134" t="s">
        <v>436</v>
      </c>
      <c r="N1794" s="150">
        <f>if(and(O1794=TRUE,P1794=TRUE), VLOOKUP($E1794,PESSOAL!$B$35:$S$45,MONTH($F1794)+6,false)*G1794*24,0)</f>
        <v>66.14258294</v>
      </c>
      <c r="O1794" s="117" t="b">
        <f t="shared" si="7"/>
        <v>1</v>
      </c>
      <c r="P1794" s="117" t="b">
        <v>1</v>
      </c>
      <c r="Q1794" s="117" t="s">
        <v>368</v>
      </c>
    </row>
    <row r="1795" hidden="1">
      <c r="A1795" s="108"/>
      <c r="B1795" s="220"/>
      <c r="C1795" s="220" t="s">
        <v>290</v>
      </c>
      <c r="D1795" s="220" t="str">
        <f>vlookup(M1795,'Página10'!A:B,2,false)</f>
        <v>INOV00001</v>
      </c>
      <c r="E1795" s="134" t="s">
        <v>110</v>
      </c>
      <c r="F1795" s="225">
        <v>45208.0</v>
      </c>
      <c r="G1795" s="222">
        <v>0.11458333333333333</v>
      </c>
      <c r="H1795" s="134" t="s">
        <v>411</v>
      </c>
      <c r="I1795" s="223" t="s">
        <v>411</v>
      </c>
      <c r="J1795" s="223" t="b">
        <f t="shared" si="1"/>
        <v>1</v>
      </c>
      <c r="K1795" s="145" t="s">
        <v>1571</v>
      </c>
      <c r="L1795" s="156"/>
      <c r="M1795" s="134" t="s">
        <v>416</v>
      </c>
      <c r="N1795" s="150">
        <f>if(and(O1795=TRUE,P1795=TRUE), VLOOKUP($E1795,PESSOAL!$B$35:$S$45,MONTH($F1795)+6,false)*G1795*24,0)</f>
        <v>181.8921031</v>
      </c>
      <c r="O1795" s="117" t="b">
        <f t="shared" si="7"/>
        <v>1</v>
      </c>
      <c r="P1795" s="117" t="b">
        <v>1</v>
      </c>
      <c r="Q1795" s="117" t="s">
        <v>368</v>
      </c>
    </row>
    <row r="1796" hidden="1">
      <c r="A1796" s="108"/>
      <c r="B1796" s="220"/>
      <c r="C1796" s="220" t="s">
        <v>56</v>
      </c>
      <c r="D1796" s="220" t="str">
        <f>vlookup(M1796,'Página10'!A:B,2,false)</f>
        <v>INOV00021</v>
      </c>
      <c r="E1796" s="134" t="s">
        <v>110</v>
      </c>
      <c r="F1796" s="225">
        <v>45208.0</v>
      </c>
      <c r="G1796" s="222">
        <v>0.041666666666666664</v>
      </c>
      <c r="H1796" s="134" t="s">
        <v>475</v>
      </c>
      <c r="I1796" s="223" t="s">
        <v>411</v>
      </c>
      <c r="J1796" s="223" t="b">
        <f t="shared" si="1"/>
        <v>0</v>
      </c>
      <c r="K1796" s="145" t="s">
        <v>1572</v>
      </c>
      <c r="L1796" s="156"/>
      <c r="M1796" s="134" t="s">
        <v>436</v>
      </c>
      <c r="N1796" s="150">
        <f>if(and(O1796=TRUE,P1796=TRUE), VLOOKUP($E1796,PESSOAL!$B$35:$S$45,MONTH($F1796)+6,false)*G1796*24,0)</f>
        <v>66.14258294</v>
      </c>
      <c r="O1796" s="117" t="b">
        <f t="shared" si="7"/>
        <v>1</v>
      </c>
      <c r="P1796" s="117" t="b">
        <v>1</v>
      </c>
      <c r="Q1796" s="117" t="s">
        <v>368</v>
      </c>
    </row>
    <row r="1797" hidden="1">
      <c r="A1797" s="108"/>
      <c r="B1797" s="220"/>
      <c r="C1797" s="220" t="s">
        <v>290</v>
      </c>
      <c r="D1797" s="220" t="str">
        <f>vlookup(M1797,'Página10'!A:B,2,false)</f>
        <v>INOV00001</v>
      </c>
      <c r="E1797" s="134" t="s">
        <v>110</v>
      </c>
      <c r="F1797" s="225">
        <v>45208.0</v>
      </c>
      <c r="G1797" s="222">
        <v>0.08333333333333333</v>
      </c>
      <c r="H1797" s="134" t="s">
        <v>475</v>
      </c>
      <c r="I1797" s="223" t="s">
        <v>411</v>
      </c>
      <c r="J1797" s="223" t="b">
        <f t="shared" si="1"/>
        <v>0</v>
      </c>
      <c r="K1797" s="145" t="s">
        <v>1568</v>
      </c>
      <c r="L1797" s="156"/>
      <c r="M1797" s="134" t="s">
        <v>416</v>
      </c>
      <c r="N1797" s="150">
        <f>if(and(O1797=TRUE,P1797=TRUE), VLOOKUP($E1797,PESSOAL!$B$35:$S$45,MONTH($F1797)+6,false)*G1797*24,0)</f>
        <v>132.2851659</v>
      </c>
      <c r="O1797" s="117" t="b">
        <f t="shared" si="7"/>
        <v>1</v>
      </c>
      <c r="P1797" s="117" t="b">
        <v>1</v>
      </c>
      <c r="Q1797" s="117" t="s">
        <v>368</v>
      </c>
    </row>
    <row r="1798" hidden="1">
      <c r="A1798" s="108"/>
      <c r="B1798" s="220"/>
      <c r="C1798" s="220" t="s">
        <v>69</v>
      </c>
      <c r="D1798" s="220" t="str">
        <f>vlookup(M1798,'Página10'!A:B,2,false)</f>
        <v>INOV00041</v>
      </c>
      <c r="E1798" s="134" t="s">
        <v>110</v>
      </c>
      <c r="F1798" s="225">
        <v>45208.0</v>
      </c>
      <c r="G1798" s="222">
        <v>0.041666666666666664</v>
      </c>
      <c r="H1798" s="134" t="s">
        <v>475</v>
      </c>
      <c r="I1798" s="223" t="s">
        <v>411</v>
      </c>
      <c r="J1798" s="223" t="b">
        <f t="shared" si="1"/>
        <v>0</v>
      </c>
      <c r="K1798" s="145" t="s">
        <v>1573</v>
      </c>
      <c r="L1798" s="156"/>
      <c r="M1798" s="134" t="s">
        <v>1388</v>
      </c>
      <c r="N1798" s="150">
        <f>if(and(O1798=TRUE,P1798=TRUE), VLOOKUP($E1798,PESSOAL!$B$35:$S$45,MONTH($F1798)+6,false)*G1798*24,0)</f>
        <v>66.14258294</v>
      </c>
      <c r="O1798" s="117" t="b">
        <f t="shared" si="7"/>
        <v>1</v>
      </c>
      <c r="P1798" s="117" t="b">
        <v>1</v>
      </c>
      <c r="Q1798" s="117" t="s">
        <v>368</v>
      </c>
    </row>
    <row r="1799" hidden="1">
      <c r="A1799" s="108"/>
      <c r="B1799" s="220"/>
      <c r="C1799" s="220" t="s">
        <v>52</v>
      </c>
      <c r="D1799" s="220" t="str">
        <f>vlookup(M1799,'Página10'!A:B,2,false)</f>
        <v>INOV00013</v>
      </c>
      <c r="E1799" s="134" t="s">
        <v>110</v>
      </c>
      <c r="F1799" s="225">
        <v>45209.0</v>
      </c>
      <c r="G1799" s="222">
        <v>0.08333333333333333</v>
      </c>
      <c r="H1799" s="134" t="s">
        <v>411</v>
      </c>
      <c r="I1799" s="223" t="s">
        <v>411</v>
      </c>
      <c r="J1799" s="223" t="b">
        <f t="shared" si="1"/>
        <v>1</v>
      </c>
      <c r="K1799" s="145" t="s">
        <v>1574</v>
      </c>
      <c r="L1799" s="156"/>
      <c r="M1799" s="134" t="s">
        <v>426</v>
      </c>
      <c r="N1799" s="150">
        <f>if(and(O1799=TRUE,P1799=TRUE), VLOOKUP($E1799,PESSOAL!$B$35:$S$45,MONTH($F1799)+6,false)*G1799*24,0)</f>
        <v>132.2851659</v>
      </c>
      <c r="O1799" s="117" t="b">
        <f t="shared" si="7"/>
        <v>1</v>
      </c>
      <c r="P1799" s="117" t="b">
        <v>1</v>
      </c>
      <c r="Q1799" s="117" t="s">
        <v>368</v>
      </c>
    </row>
    <row r="1800" hidden="1">
      <c r="A1800" s="108"/>
      <c r="B1800" s="220"/>
      <c r="C1800" s="220" t="s">
        <v>290</v>
      </c>
      <c r="D1800" s="220" t="str">
        <f>vlookup(M1800,'Página10'!A:B,2,false)</f>
        <v>INOV00001</v>
      </c>
      <c r="E1800" s="134" t="s">
        <v>110</v>
      </c>
      <c r="F1800" s="225">
        <v>45209.0</v>
      </c>
      <c r="G1800" s="222">
        <v>0.08333333333333333</v>
      </c>
      <c r="H1800" s="134" t="s">
        <v>411</v>
      </c>
      <c r="I1800" s="223" t="s">
        <v>411</v>
      </c>
      <c r="J1800" s="223" t="b">
        <f t="shared" si="1"/>
        <v>1</v>
      </c>
      <c r="K1800" s="145" t="s">
        <v>1486</v>
      </c>
      <c r="L1800" s="156"/>
      <c r="M1800" s="134" t="s">
        <v>416</v>
      </c>
      <c r="N1800" s="150">
        <f>if(and(O1800=TRUE,P1800=TRUE), VLOOKUP($E1800,PESSOAL!$B$35:$S$45,MONTH($F1800)+6,false)*G1800*24,0)</f>
        <v>132.2851659</v>
      </c>
      <c r="O1800" s="117" t="b">
        <f t="shared" si="7"/>
        <v>1</v>
      </c>
      <c r="P1800" s="117" t="b">
        <v>1</v>
      </c>
      <c r="Q1800" s="117" t="s">
        <v>368</v>
      </c>
    </row>
    <row r="1801" hidden="1">
      <c r="A1801" s="108"/>
      <c r="B1801" s="220"/>
      <c r="C1801" s="220" t="s">
        <v>290</v>
      </c>
      <c r="D1801" s="220" t="str">
        <f>vlookup(M1801,'Página10'!A:B,2,false)</f>
        <v>INOV00001</v>
      </c>
      <c r="E1801" s="134" t="s">
        <v>110</v>
      </c>
      <c r="F1801" s="225">
        <v>45210.0</v>
      </c>
      <c r="G1801" s="222">
        <v>0.16666666666666666</v>
      </c>
      <c r="H1801" s="134" t="s">
        <v>475</v>
      </c>
      <c r="I1801" s="223" t="s">
        <v>411</v>
      </c>
      <c r="J1801" s="223" t="b">
        <f t="shared" si="1"/>
        <v>0</v>
      </c>
      <c r="K1801" s="145" t="s">
        <v>1568</v>
      </c>
      <c r="L1801" s="156"/>
      <c r="M1801" s="134" t="s">
        <v>416</v>
      </c>
      <c r="N1801" s="150">
        <f>if(and(O1801=TRUE,P1801=TRUE), VLOOKUP($E1801,PESSOAL!$B$35:$S$45,MONTH($F1801)+6,false)*G1801*24,0)</f>
        <v>264.5703317</v>
      </c>
      <c r="O1801" s="117" t="b">
        <f t="shared" si="7"/>
        <v>1</v>
      </c>
      <c r="P1801" s="117" t="b">
        <v>1</v>
      </c>
      <c r="Q1801" s="117" t="s">
        <v>368</v>
      </c>
    </row>
    <row r="1802" hidden="1">
      <c r="A1802" s="108"/>
      <c r="B1802" s="220"/>
      <c r="C1802" s="220" t="s">
        <v>290</v>
      </c>
      <c r="D1802" s="220" t="str">
        <f>vlookup(M1802,'Página10'!A:B,2,false)</f>
        <v>INOV00001</v>
      </c>
      <c r="E1802" s="134" t="s">
        <v>110</v>
      </c>
      <c r="F1802" s="225">
        <v>45215.0</v>
      </c>
      <c r="G1802" s="222">
        <v>0.10416666666666667</v>
      </c>
      <c r="H1802" s="134" t="s">
        <v>411</v>
      </c>
      <c r="I1802" s="223" t="s">
        <v>411</v>
      </c>
      <c r="J1802" s="223" t="b">
        <f t="shared" si="1"/>
        <v>1</v>
      </c>
      <c r="K1802" s="145" t="s">
        <v>1486</v>
      </c>
      <c r="L1802" s="156"/>
      <c r="M1802" s="134" t="s">
        <v>416</v>
      </c>
      <c r="N1802" s="150">
        <f>if(and(O1802=TRUE,P1802=TRUE), VLOOKUP($E1802,PESSOAL!$B$35:$S$45,MONTH($F1802)+6,false)*G1802*24,0)</f>
        <v>165.3564573</v>
      </c>
      <c r="O1802" s="117" t="b">
        <f t="shared" si="7"/>
        <v>1</v>
      </c>
      <c r="P1802" s="117" t="b">
        <v>1</v>
      </c>
      <c r="Q1802" s="117" t="s">
        <v>368</v>
      </c>
    </row>
    <row r="1803" hidden="1">
      <c r="A1803" s="108"/>
      <c r="B1803" s="220"/>
      <c r="C1803" s="220" t="s">
        <v>69</v>
      </c>
      <c r="D1803" s="220" t="str">
        <f>vlookup(M1803,'Página10'!A:B,2,false)</f>
        <v>INOV00041</v>
      </c>
      <c r="E1803" s="134" t="s">
        <v>110</v>
      </c>
      <c r="F1803" s="225">
        <v>45215.0</v>
      </c>
      <c r="G1803" s="222">
        <v>0.0625</v>
      </c>
      <c r="H1803" s="134" t="s">
        <v>411</v>
      </c>
      <c r="I1803" s="223" t="s">
        <v>411</v>
      </c>
      <c r="J1803" s="223" t="b">
        <f t="shared" si="1"/>
        <v>1</v>
      </c>
      <c r="K1803" s="145" t="s">
        <v>1569</v>
      </c>
      <c r="L1803" s="156"/>
      <c r="M1803" s="134" t="s">
        <v>1388</v>
      </c>
      <c r="N1803" s="150">
        <f>if(and(O1803=TRUE,P1803=TRUE), VLOOKUP($E1803,PESSOAL!$B$35:$S$45,MONTH($F1803)+6,false)*G1803*24,0)</f>
        <v>99.2138744</v>
      </c>
      <c r="O1803" s="117" t="b">
        <f t="shared" si="7"/>
        <v>1</v>
      </c>
      <c r="P1803" s="117" t="b">
        <v>1</v>
      </c>
      <c r="Q1803" s="117" t="s">
        <v>368</v>
      </c>
    </row>
    <row r="1804" hidden="1">
      <c r="A1804" s="108"/>
      <c r="B1804" s="220"/>
      <c r="C1804" s="220" t="s">
        <v>290</v>
      </c>
      <c r="D1804" s="220" t="str">
        <f>vlookup(M1804,'Página10'!A:B,2,false)</f>
        <v>INOV00001</v>
      </c>
      <c r="E1804" s="134" t="s">
        <v>110</v>
      </c>
      <c r="F1804" s="225">
        <v>45216.0</v>
      </c>
      <c r="G1804" s="222">
        <v>0.11458333333333333</v>
      </c>
      <c r="H1804" s="134" t="s">
        <v>475</v>
      </c>
      <c r="I1804" s="223" t="s">
        <v>411</v>
      </c>
      <c r="J1804" s="223" t="b">
        <f t="shared" si="1"/>
        <v>0</v>
      </c>
      <c r="K1804" s="145" t="s">
        <v>1575</v>
      </c>
      <c r="L1804" s="156"/>
      <c r="M1804" s="134" t="s">
        <v>416</v>
      </c>
      <c r="N1804" s="150">
        <f>if(and(O1804=TRUE,P1804=TRUE), VLOOKUP($E1804,PESSOAL!$B$35:$S$45,MONTH($F1804)+6,false)*G1804*24,0)</f>
        <v>181.8921031</v>
      </c>
      <c r="O1804" s="117" t="b">
        <f t="shared" si="7"/>
        <v>1</v>
      </c>
      <c r="P1804" s="117" t="b">
        <v>1</v>
      </c>
      <c r="Q1804" s="117" t="s">
        <v>368</v>
      </c>
    </row>
    <row r="1805" hidden="1">
      <c r="A1805" s="108"/>
      <c r="B1805" s="220"/>
      <c r="C1805" s="220" t="s">
        <v>290</v>
      </c>
      <c r="D1805" s="220" t="str">
        <f>vlookup(M1805,'Página10'!A:B,2,false)</f>
        <v>INOV00001</v>
      </c>
      <c r="E1805" s="134" t="s">
        <v>110</v>
      </c>
      <c r="F1805" s="225">
        <v>45216.0</v>
      </c>
      <c r="G1805" s="222">
        <v>0.041666666666666664</v>
      </c>
      <c r="H1805" s="134" t="s">
        <v>475</v>
      </c>
      <c r="I1805" s="223" t="s">
        <v>411</v>
      </c>
      <c r="J1805" s="223" t="b">
        <f t="shared" si="1"/>
        <v>0</v>
      </c>
      <c r="K1805" s="145" t="s">
        <v>1575</v>
      </c>
      <c r="L1805" s="156"/>
      <c r="M1805" s="134" t="s">
        <v>416</v>
      </c>
      <c r="N1805" s="150">
        <f>if(and(O1805=TRUE,P1805=TRUE), VLOOKUP($E1805,PESSOAL!$B$35:$S$45,MONTH($F1805)+6,false)*G1805*24,0)</f>
        <v>66.14258294</v>
      </c>
      <c r="O1805" s="117" t="b">
        <f t="shared" si="7"/>
        <v>1</v>
      </c>
      <c r="P1805" s="117" t="b">
        <v>1</v>
      </c>
      <c r="Q1805" s="117" t="s">
        <v>368</v>
      </c>
    </row>
    <row r="1806" hidden="1">
      <c r="A1806" s="108"/>
      <c r="B1806" s="220"/>
      <c r="C1806" s="220" t="s">
        <v>290</v>
      </c>
      <c r="D1806" s="220" t="str">
        <f>vlookup(M1806,'Página10'!A:B,2,false)</f>
        <v>INOV00001</v>
      </c>
      <c r="E1806" s="134" t="s">
        <v>110</v>
      </c>
      <c r="F1806" s="225">
        <v>45216.0</v>
      </c>
      <c r="G1806" s="222">
        <v>0.16666666666666666</v>
      </c>
      <c r="H1806" s="134" t="s">
        <v>411</v>
      </c>
      <c r="I1806" s="223" t="s">
        <v>411</v>
      </c>
      <c r="J1806" s="223" t="b">
        <f t="shared" si="1"/>
        <v>1</v>
      </c>
      <c r="K1806" s="145" t="s">
        <v>1486</v>
      </c>
      <c r="L1806" s="156"/>
      <c r="M1806" s="134" t="s">
        <v>416</v>
      </c>
      <c r="N1806" s="150">
        <f>if(and(O1806=TRUE,P1806=TRUE), VLOOKUP($E1806,PESSOAL!$B$35:$S$45,MONTH($F1806)+6,false)*G1806*24,0)</f>
        <v>264.5703317</v>
      </c>
      <c r="O1806" s="117" t="b">
        <f t="shared" si="7"/>
        <v>1</v>
      </c>
      <c r="P1806" s="117" t="b">
        <v>1</v>
      </c>
      <c r="Q1806" s="117" t="s">
        <v>368</v>
      </c>
    </row>
    <row r="1807" hidden="1">
      <c r="A1807" s="108"/>
      <c r="B1807" s="220"/>
      <c r="C1807" s="220" t="s">
        <v>290</v>
      </c>
      <c r="D1807" s="220" t="str">
        <f>vlookup(M1807,'Página10'!A:B,2,false)</f>
        <v>INOV00001</v>
      </c>
      <c r="E1807" s="134" t="s">
        <v>110</v>
      </c>
      <c r="F1807" s="225">
        <v>45217.0</v>
      </c>
      <c r="G1807" s="222">
        <v>0.19791666666666666</v>
      </c>
      <c r="H1807" s="134" t="s">
        <v>475</v>
      </c>
      <c r="I1807" s="223" t="s">
        <v>411</v>
      </c>
      <c r="J1807" s="223" t="b">
        <f t="shared" si="1"/>
        <v>0</v>
      </c>
      <c r="K1807" s="145" t="s">
        <v>1575</v>
      </c>
      <c r="L1807" s="156"/>
      <c r="M1807" s="134" t="s">
        <v>416</v>
      </c>
      <c r="N1807" s="150">
        <f>if(and(O1807=TRUE,P1807=TRUE), VLOOKUP($E1807,PESSOAL!$B$35:$S$45,MONTH($F1807)+6,false)*G1807*24,0)</f>
        <v>314.1772689</v>
      </c>
      <c r="O1807" s="117" t="b">
        <f t="shared" si="7"/>
        <v>1</v>
      </c>
      <c r="P1807" s="117" t="b">
        <v>1</v>
      </c>
      <c r="Q1807" s="117" t="s">
        <v>368</v>
      </c>
    </row>
    <row r="1808" hidden="1">
      <c r="A1808" s="108"/>
      <c r="B1808" s="220"/>
      <c r="C1808" s="220" t="s">
        <v>290</v>
      </c>
      <c r="D1808" s="220" t="str">
        <f>vlookup(M1808,'Página10'!A:B,2,false)</f>
        <v>INOV00001</v>
      </c>
      <c r="E1808" s="134" t="s">
        <v>110</v>
      </c>
      <c r="F1808" s="225">
        <v>45217.0</v>
      </c>
      <c r="G1808" s="222">
        <v>0.041666666666666664</v>
      </c>
      <c r="H1808" s="134" t="s">
        <v>411</v>
      </c>
      <c r="I1808" s="223" t="s">
        <v>475</v>
      </c>
      <c r="J1808" s="223" t="b">
        <f t="shared" si="1"/>
        <v>0</v>
      </c>
      <c r="K1808" s="145" t="s">
        <v>1576</v>
      </c>
      <c r="L1808" s="156"/>
      <c r="M1808" s="134" t="s">
        <v>416</v>
      </c>
      <c r="N1808" s="150">
        <f>if(and(O1808=TRUE,P1808=TRUE), VLOOKUP($E1808,PESSOAL!$B$35:$S$45,MONTH($F1808)+6,false)*G1808*24,0)</f>
        <v>66.14258294</v>
      </c>
      <c r="O1808" s="117" t="b">
        <f t="shared" si="7"/>
        <v>1</v>
      </c>
      <c r="P1808" s="117" t="b">
        <v>1</v>
      </c>
      <c r="Q1808" s="117" t="s">
        <v>368</v>
      </c>
    </row>
    <row r="1809" hidden="1">
      <c r="A1809" s="108"/>
      <c r="B1809" s="220"/>
      <c r="C1809" s="220" t="s">
        <v>290</v>
      </c>
      <c r="D1809" s="220" t="str">
        <f>vlookup(M1809,'Página10'!A:B,2,false)</f>
        <v>INOV00001</v>
      </c>
      <c r="E1809" s="134" t="s">
        <v>110</v>
      </c>
      <c r="F1809" s="225">
        <v>45218.0</v>
      </c>
      <c r="G1809" s="222">
        <v>0.125</v>
      </c>
      <c r="H1809" s="134" t="s">
        <v>411</v>
      </c>
      <c r="I1809" s="223" t="s">
        <v>411</v>
      </c>
      <c r="J1809" s="223" t="b">
        <f t="shared" si="1"/>
        <v>1</v>
      </c>
      <c r="K1809" s="145" t="s">
        <v>1490</v>
      </c>
      <c r="L1809" s="156"/>
      <c r="M1809" s="134" t="s">
        <v>416</v>
      </c>
      <c r="N1809" s="150">
        <f>if(and(O1809=TRUE,P1809=TRUE), VLOOKUP($E1809,PESSOAL!$B$35:$S$45,MONTH($F1809)+6,false)*G1809*24,0)</f>
        <v>198.4277488</v>
      </c>
      <c r="O1809" s="117" t="b">
        <f t="shared" si="7"/>
        <v>1</v>
      </c>
      <c r="P1809" s="117" t="b">
        <v>1</v>
      </c>
      <c r="Q1809" s="117" t="s">
        <v>368</v>
      </c>
    </row>
    <row r="1810" hidden="1">
      <c r="A1810" s="108"/>
      <c r="B1810" s="220"/>
      <c r="C1810" s="220" t="s">
        <v>52</v>
      </c>
      <c r="D1810" s="220" t="str">
        <f>vlookup(M1810,'Página10'!A:B,2,false)</f>
        <v>INOV00013</v>
      </c>
      <c r="E1810" s="134" t="s">
        <v>110</v>
      </c>
      <c r="F1810" s="225">
        <v>45218.0</v>
      </c>
      <c r="G1810" s="222">
        <v>0.0625</v>
      </c>
      <c r="H1810" s="134" t="s">
        <v>411</v>
      </c>
      <c r="I1810" s="223" t="s">
        <v>411</v>
      </c>
      <c r="J1810" s="223" t="b">
        <f t="shared" si="1"/>
        <v>1</v>
      </c>
      <c r="K1810" s="145" t="s">
        <v>1577</v>
      </c>
      <c r="L1810" s="156"/>
      <c r="M1810" s="134" t="s">
        <v>426</v>
      </c>
      <c r="N1810" s="150">
        <f>if(and(O1810=TRUE,P1810=TRUE), VLOOKUP($E1810,PESSOAL!$B$35:$S$45,MONTH($F1810)+6,false)*G1810*24,0)</f>
        <v>99.2138744</v>
      </c>
      <c r="O1810" s="117" t="b">
        <f t="shared" si="7"/>
        <v>1</v>
      </c>
      <c r="P1810" s="117" t="b">
        <v>1</v>
      </c>
      <c r="Q1810" s="117" t="s">
        <v>368</v>
      </c>
    </row>
    <row r="1811" hidden="1">
      <c r="A1811" s="108"/>
      <c r="B1811" s="220"/>
      <c r="C1811" s="220" t="s">
        <v>290</v>
      </c>
      <c r="D1811" s="220" t="str">
        <f>vlookup(M1811,'Página10'!A:B,2,false)</f>
        <v>INOV00001</v>
      </c>
      <c r="E1811" s="134" t="s">
        <v>110</v>
      </c>
      <c r="F1811" s="225">
        <v>45219.0</v>
      </c>
      <c r="G1811" s="222">
        <v>0.1875</v>
      </c>
      <c r="H1811" s="134" t="s">
        <v>475</v>
      </c>
      <c r="I1811" s="223" t="s">
        <v>475</v>
      </c>
      <c r="J1811" s="223" t="b">
        <f t="shared" si="1"/>
        <v>1</v>
      </c>
      <c r="K1811" s="145" t="s">
        <v>1575</v>
      </c>
      <c r="L1811" s="156"/>
      <c r="M1811" s="134" t="s">
        <v>416</v>
      </c>
      <c r="N1811" s="150">
        <f>if(and(O1811=TRUE,P1811=TRUE), VLOOKUP($E1811,PESSOAL!$B$35:$S$45,MONTH($F1811)+6,false)*G1811*24,0)</f>
        <v>297.6416232</v>
      </c>
      <c r="O1811" s="117" t="b">
        <f t="shared" si="7"/>
        <v>1</v>
      </c>
      <c r="P1811" s="117" t="b">
        <v>1</v>
      </c>
      <c r="Q1811" s="117" t="s">
        <v>368</v>
      </c>
    </row>
    <row r="1812" hidden="1">
      <c r="A1812" s="108"/>
      <c r="B1812" s="220"/>
      <c r="C1812" s="220" t="s">
        <v>290</v>
      </c>
      <c r="D1812" s="220" t="str">
        <f>vlookup(M1812,'Página10'!A:B,2,false)</f>
        <v>INOV00001</v>
      </c>
      <c r="E1812" s="134" t="s">
        <v>110</v>
      </c>
      <c r="F1812" s="225">
        <v>45219.0</v>
      </c>
      <c r="G1812" s="222">
        <v>0.020833333333333332</v>
      </c>
      <c r="H1812" s="134" t="s">
        <v>411</v>
      </c>
      <c r="I1812" s="223" t="s">
        <v>411</v>
      </c>
      <c r="J1812" s="223" t="b">
        <f t="shared" si="1"/>
        <v>1</v>
      </c>
      <c r="K1812" s="145" t="s">
        <v>1486</v>
      </c>
      <c r="L1812" s="156"/>
      <c r="M1812" s="134" t="s">
        <v>416</v>
      </c>
      <c r="N1812" s="150">
        <f>if(and(O1812=TRUE,P1812=TRUE), VLOOKUP($E1812,PESSOAL!$B$35:$S$45,MONTH($F1812)+6,false)*G1812*24,0)</f>
        <v>33.07129147</v>
      </c>
      <c r="O1812" s="117" t="b">
        <f t="shared" si="7"/>
        <v>1</v>
      </c>
      <c r="P1812" s="117" t="b">
        <v>1</v>
      </c>
      <c r="Q1812" s="117" t="s">
        <v>368</v>
      </c>
    </row>
    <row r="1813" hidden="1">
      <c r="A1813" s="108"/>
      <c r="B1813" s="220"/>
      <c r="C1813" s="220" t="s">
        <v>290</v>
      </c>
      <c r="D1813" s="220" t="str">
        <f>vlookup(M1813,'Página10'!A:B,2,false)</f>
        <v>INOV00001</v>
      </c>
      <c r="E1813" s="134" t="s">
        <v>110</v>
      </c>
      <c r="F1813" s="225">
        <v>45222.0</v>
      </c>
      <c r="G1813" s="222">
        <v>0.08333333333333333</v>
      </c>
      <c r="H1813" s="134" t="s">
        <v>475</v>
      </c>
      <c r="I1813" s="223" t="s">
        <v>475</v>
      </c>
      <c r="J1813" s="223" t="b">
        <f t="shared" si="1"/>
        <v>1</v>
      </c>
      <c r="K1813" s="145" t="s">
        <v>1575</v>
      </c>
      <c r="L1813" s="156"/>
      <c r="M1813" s="134" t="s">
        <v>416</v>
      </c>
      <c r="N1813" s="150">
        <f>if(and(O1813=TRUE,P1813=TRUE), VLOOKUP($E1813,PESSOAL!$B$35:$S$45,MONTH($F1813)+6,false)*G1813*24,0)</f>
        <v>132.2851659</v>
      </c>
      <c r="O1813" s="117" t="b">
        <f t="shared" si="7"/>
        <v>1</v>
      </c>
      <c r="P1813" s="117" t="b">
        <v>1</v>
      </c>
      <c r="Q1813" s="117" t="s">
        <v>368</v>
      </c>
    </row>
    <row r="1814" hidden="1">
      <c r="A1814" s="108"/>
      <c r="B1814" s="220"/>
      <c r="C1814" s="220" t="s">
        <v>290</v>
      </c>
      <c r="D1814" s="220" t="str">
        <f>vlookup(M1814,'Página10'!A:B,2,false)</f>
        <v>INOV00001</v>
      </c>
      <c r="E1814" s="134" t="s">
        <v>110</v>
      </c>
      <c r="F1814" s="225">
        <v>45222.0</v>
      </c>
      <c r="G1814" s="222">
        <v>0.16666666666666666</v>
      </c>
      <c r="H1814" s="134" t="s">
        <v>411</v>
      </c>
      <c r="I1814" s="223" t="s">
        <v>411</v>
      </c>
      <c r="J1814" s="223" t="b">
        <f t="shared" si="1"/>
        <v>1</v>
      </c>
      <c r="K1814" s="145" t="s">
        <v>1578</v>
      </c>
      <c r="L1814" s="156"/>
      <c r="M1814" s="134" t="s">
        <v>416</v>
      </c>
      <c r="N1814" s="150">
        <f>if(and(O1814=TRUE,P1814=TRUE), VLOOKUP($E1814,PESSOAL!$B$35:$S$45,MONTH($F1814)+6,false)*G1814*24,0)</f>
        <v>264.5703317</v>
      </c>
      <c r="O1814" s="117" t="b">
        <f t="shared" si="7"/>
        <v>1</v>
      </c>
      <c r="P1814" s="117" t="b">
        <v>1</v>
      </c>
      <c r="Q1814" s="117" t="s">
        <v>368</v>
      </c>
    </row>
    <row r="1815" hidden="1">
      <c r="A1815" s="108"/>
      <c r="B1815" s="220"/>
      <c r="C1815" s="220" t="s">
        <v>290</v>
      </c>
      <c r="D1815" s="220" t="str">
        <f>vlookup(M1815,'Página10'!A:B,2,false)</f>
        <v>INOV00001</v>
      </c>
      <c r="E1815" s="134" t="s">
        <v>110</v>
      </c>
      <c r="F1815" s="225">
        <v>45223.0</v>
      </c>
      <c r="G1815" s="222">
        <v>0.15625</v>
      </c>
      <c r="H1815" s="134" t="s">
        <v>475</v>
      </c>
      <c r="I1815" s="223" t="s">
        <v>475</v>
      </c>
      <c r="J1815" s="223" t="b">
        <f t="shared" si="1"/>
        <v>1</v>
      </c>
      <c r="K1815" s="145" t="s">
        <v>1579</v>
      </c>
      <c r="L1815" s="156"/>
      <c r="M1815" s="134" t="s">
        <v>416</v>
      </c>
      <c r="N1815" s="150">
        <f>if(and(O1815=TRUE,P1815=TRUE), VLOOKUP($E1815,PESSOAL!$B$35:$S$45,MONTH($F1815)+6,false)*G1815*24,0)</f>
        <v>248.034686</v>
      </c>
      <c r="O1815" s="117" t="b">
        <f t="shared" si="7"/>
        <v>1</v>
      </c>
      <c r="P1815" s="117" t="b">
        <v>1</v>
      </c>
      <c r="Q1815" s="117" t="s">
        <v>368</v>
      </c>
    </row>
    <row r="1816" hidden="1">
      <c r="A1816" s="108"/>
      <c r="B1816" s="220"/>
      <c r="C1816" s="220" t="s">
        <v>290</v>
      </c>
      <c r="D1816" s="220" t="str">
        <f>vlookup(M1816,'Página10'!A:B,2,false)</f>
        <v>INOV00001</v>
      </c>
      <c r="E1816" s="134" t="s">
        <v>110</v>
      </c>
      <c r="F1816" s="225">
        <v>45223.0</v>
      </c>
      <c r="G1816" s="222">
        <v>0.20833333333333334</v>
      </c>
      <c r="H1816" s="134" t="s">
        <v>475</v>
      </c>
      <c r="I1816" s="223" t="s">
        <v>475</v>
      </c>
      <c r="J1816" s="223" t="b">
        <f t="shared" si="1"/>
        <v>1</v>
      </c>
      <c r="K1816" s="145" t="s">
        <v>1579</v>
      </c>
      <c r="L1816" s="156"/>
      <c r="M1816" s="134" t="s">
        <v>416</v>
      </c>
      <c r="N1816" s="150">
        <f>if(and(O1816=TRUE,P1816=TRUE), VLOOKUP($E1816,PESSOAL!$B$35:$S$45,MONTH($F1816)+6,false)*G1816*24,0)</f>
        <v>330.7129147</v>
      </c>
      <c r="O1816" s="117" t="b">
        <f t="shared" si="7"/>
        <v>1</v>
      </c>
      <c r="P1816" s="117" t="b">
        <v>1</v>
      </c>
      <c r="Q1816" s="117" t="s">
        <v>368</v>
      </c>
    </row>
    <row r="1817" hidden="1">
      <c r="A1817" s="108"/>
      <c r="B1817" s="220"/>
      <c r="C1817" s="220" t="s">
        <v>290</v>
      </c>
      <c r="D1817" s="220" t="str">
        <f>vlookup(M1817,'Página10'!A:B,2,false)</f>
        <v>INOV00001</v>
      </c>
      <c r="E1817" s="134" t="s">
        <v>110</v>
      </c>
      <c r="F1817" s="225">
        <v>45224.0</v>
      </c>
      <c r="G1817" s="222">
        <v>0.19791666666666666</v>
      </c>
      <c r="H1817" s="134" t="s">
        <v>475</v>
      </c>
      <c r="I1817" s="223" t="s">
        <v>475</v>
      </c>
      <c r="J1817" s="223" t="b">
        <f t="shared" si="1"/>
        <v>1</v>
      </c>
      <c r="K1817" s="145" t="s">
        <v>1579</v>
      </c>
      <c r="L1817" s="156"/>
      <c r="M1817" s="134" t="s">
        <v>416</v>
      </c>
      <c r="N1817" s="150">
        <f>if(and(O1817=TRUE,P1817=TRUE), VLOOKUP($E1817,PESSOAL!$B$35:$S$45,MONTH($F1817)+6,false)*G1817*24,0)</f>
        <v>314.1772689</v>
      </c>
      <c r="O1817" s="117" t="b">
        <f t="shared" si="7"/>
        <v>1</v>
      </c>
      <c r="P1817" s="117" t="b">
        <v>1</v>
      </c>
      <c r="Q1817" s="117" t="s">
        <v>368</v>
      </c>
    </row>
    <row r="1818" hidden="1">
      <c r="A1818" s="108"/>
      <c r="B1818" s="220"/>
      <c r="C1818" s="220" t="s">
        <v>290</v>
      </c>
      <c r="D1818" s="220" t="str">
        <f>vlookup(M1818,'Página10'!A:B,2,false)</f>
        <v>INOV00001</v>
      </c>
      <c r="E1818" s="134" t="s">
        <v>110</v>
      </c>
      <c r="F1818" s="225">
        <v>45224.0</v>
      </c>
      <c r="G1818" s="222">
        <v>0.16666666666666666</v>
      </c>
      <c r="H1818" s="134" t="s">
        <v>411</v>
      </c>
      <c r="I1818" s="223" t="s">
        <v>411</v>
      </c>
      <c r="J1818" s="223" t="b">
        <f t="shared" si="1"/>
        <v>1</v>
      </c>
      <c r="K1818" s="145" t="s">
        <v>1578</v>
      </c>
      <c r="L1818" s="156"/>
      <c r="M1818" s="134" t="s">
        <v>416</v>
      </c>
      <c r="N1818" s="150">
        <f>if(and(O1818=TRUE,P1818=TRUE), VLOOKUP($E1818,PESSOAL!$B$35:$S$45,MONTH($F1818)+6,false)*G1818*24,0)</f>
        <v>264.5703317</v>
      </c>
      <c r="O1818" s="117" t="b">
        <f t="shared" si="7"/>
        <v>1</v>
      </c>
      <c r="P1818" s="117" t="b">
        <v>1</v>
      </c>
      <c r="Q1818" s="117" t="s">
        <v>368</v>
      </c>
    </row>
    <row r="1819" hidden="1">
      <c r="A1819" s="108"/>
      <c r="B1819" s="220"/>
      <c r="C1819" s="220" t="s">
        <v>290</v>
      </c>
      <c r="D1819" s="220" t="str">
        <f>vlookup(M1819,'Página10'!A:B,2,false)</f>
        <v>INOV00001</v>
      </c>
      <c r="E1819" s="134" t="s">
        <v>110</v>
      </c>
      <c r="F1819" s="225">
        <v>45225.0</v>
      </c>
      <c r="G1819" s="222">
        <v>0.19791666666666666</v>
      </c>
      <c r="H1819" s="134" t="s">
        <v>411</v>
      </c>
      <c r="I1819" s="223" t="s">
        <v>411</v>
      </c>
      <c r="J1819" s="223" t="b">
        <f t="shared" si="1"/>
        <v>1</v>
      </c>
      <c r="K1819" s="145" t="s">
        <v>1580</v>
      </c>
      <c r="L1819" s="156"/>
      <c r="M1819" s="134" t="s">
        <v>416</v>
      </c>
      <c r="N1819" s="150">
        <f>if(and(O1819=TRUE,P1819=TRUE), VLOOKUP($E1819,PESSOAL!$B$35:$S$45,MONTH($F1819)+6,false)*G1819*24,0)</f>
        <v>314.1772689</v>
      </c>
      <c r="O1819" s="117" t="b">
        <f t="shared" si="7"/>
        <v>1</v>
      </c>
      <c r="P1819" s="117" t="b">
        <v>1</v>
      </c>
      <c r="Q1819" s="117" t="s">
        <v>368</v>
      </c>
    </row>
    <row r="1820" hidden="1">
      <c r="A1820" s="108"/>
      <c r="B1820" s="220"/>
      <c r="C1820" s="220" t="s">
        <v>290</v>
      </c>
      <c r="D1820" s="220" t="str">
        <f>vlookup(M1820,'Página10'!A:B,2,false)</f>
        <v>INOV00001</v>
      </c>
      <c r="E1820" s="134" t="s">
        <v>110</v>
      </c>
      <c r="F1820" s="225">
        <v>45226.0</v>
      </c>
      <c r="G1820" s="222">
        <v>0.16666666666666666</v>
      </c>
      <c r="H1820" s="134" t="s">
        <v>411</v>
      </c>
      <c r="I1820" s="223" t="s">
        <v>411</v>
      </c>
      <c r="J1820" s="223" t="b">
        <f t="shared" si="1"/>
        <v>1</v>
      </c>
      <c r="K1820" s="145" t="s">
        <v>1580</v>
      </c>
      <c r="L1820" s="156"/>
      <c r="M1820" s="134" t="s">
        <v>416</v>
      </c>
      <c r="N1820" s="150">
        <f>if(and(O1820=TRUE,P1820=TRUE), VLOOKUP($E1820,PESSOAL!$B$35:$S$45,MONTH($F1820)+6,false)*G1820*24,0)</f>
        <v>264.5703317</v>
      </c>
      <c r="O1820" s="117" t="b">
        <f t="shared" si="7"/>
        <v>1</v>
      </c>
      <c r="P1820" s="117" t="b">
        <v>1</v>
      </c>
      <c r="Q1820" s="117" t="s">
        <v>368</v>
      </c>
    </row>
    <row r="1821" hidden="1">
      <c r="A1821" s="108"/>
      <c r="B1821" s="220"/>
      <c r="C1821" s="220" t="s">
        <v>290</v>
      </c>
      <c r="D1821" s="220" t="str">
        <f>vlookup(M1821,'Página10'!A:B,2,false)</f>
        <v>INOV00001</v>
      </c>
      <c r="E1821" s="134" t="s">
        <v>110</v>
      </c>
      <c r="F1821" s="225">
        <v>45229.0</v>
      </c>
      <c r="G1821" s="222">
        <v>0.14583333333333334</v>
      </c>
      <c r="H1821" s="134" t="s">
        <v>411</v>
      </c>
      <c r="I1821" s="223" t="s">
        <v>411</v>
      </c>
      <c r="J1821" s="223" t="b">
        <f t="shared" si="1"/>
        <v>1</v>
      </c>
      <c r="K1821" s="145" t="s">
        <v>1486</v>
      </c>
      <c r="L1821" s="156"/>
      <c r="M1821" s="134" t="s">
        <v>416</v>
      </c>
      <c r="N1821" s="150">
        <f>if(and(O1821=TRUE,P1821=TRUE), VLOOKUP($E1821,PESSOAL!$B$35:$S$45,MONTH($F1821)+6,false)*G1821*24,0)</f>
        <v>231.4990403</v>
      </c>
      <c r="O1821" s="117" t="b">
        <f t="shared" si="7"/>
        <v>1</v>
      </c>
      <c r="P1821" s="117" t="b">
        <v>1</v>
      </c>
      <c r="Q1821" s="117" t="s">
        <v>368</v>
      </c>
    </row>
    <row r="1822" hidden="1">
      <c r="A1822" s="108"/>
      <c r="B1822" s="220"/>
      <c r="C1822" s="220" t="s">
        <v>56</v>
      </c>
      <c r="D1822" s="220" t="str">
        <f>vlookup(M1822,'Página10'!A:B,2,false)</f>
        <v>INOV00021</v>
      </c>
      <c r="E1822" s="134" t="s">
        <v>110</v>
      </c>
      <c r="F1822" s="225">
        <v>45230.0</v>
      </c>
      <c r="G1822" s="222">
        <v>0.041666666666666664</v>
      </c>
      <c r="H1822" s="134" t="s">
        <v>411</v>
      </c>
      <c r="I1822" s="223" t="s">
        <v>411</v>
      </c>
      <c r="J1822" s="223" t="b">
        <f t="shared" si="1"/>
        <v>1</v>
      </c>
      <c r="K1822" s="145" t="s">
        <v>1566</v>
      </c>
      <c r="L1822" s="156"/>
      <c r="M1822" s="134" t="s">
        <v>436</v>
      </c>
      <c r="N1822" s="150">
        <f>if(and(O1822=TRUE,P1822=TRUE), VLOOKUP($E1822,PESSOAL!$B$35:$S$45,MONTH($F1822)+6,false)*G1822*24,0)</f>
        <v>66.14258294</v>
      </c>
      <c r="O1822" s="117" t="b">
        <f t="shared" si="7"/>
        <v>1</v>
      </c>
      <c r="P1822" s="117" t="b">
        <v>1</v>
      </c>
      <c r="Q1822" s="117" t="s">
        <v>368</v>
      </c>
    </row>
    <row r="1823" hidden="1">
      <c r="A1823" s="108"/>
      <c r="B1823" s="220"/>
      <c r="C1823" s="220" t="s">
        <v>290</v>
      </c>
      <c r="D1823" s="220" t="str">
        <f>vlookup(M1823,'Página10'!A:B,2,false)</f>
        <v>INOV00001</v>
      </c>
      <c r="E1823" s="134" t="s">
        <v>110</v>
      </c>
      <c r="F1823" s="225">
        <v>45230.0</v>
      </c>
      <c r="G1823" s="222">
        <v>0.0625</v>
      </c>
      <c r="H1823" s="134" t="s">
        <v>475</v>
      </c>
      <c r="I1823" s="223" t="s">
        <v>411</v>
      </c>
      <c r="J1823" s="223" t="b">
        <f t="shared" si="1"/>
        <v>0</v>
      </c>
      <c r="K1823" s="145" t="s">
        <v>1581</v>
      </c>
      <c r="L1823" s="156"/>
      <c r="M1823" s="134" t="s">
        <v>416</v>
      </c>
      <c r="N1823" s="150">
        <f>if(and(O1823=TRUE,P1823=TRUE), VLOOKUP($E1823,PESSOAL!$B$35:$S$45,MONTH($F1823)+6,false)*G1823*24,0)</f>
        <v>99.2138744</v>
      </c>
      <c r="O1823" s="117" t="b">
        <f t="shared" si="7"/>
        <v>1</v>
      </c>
      <c r="P1823" s="117" t="b">
        <v>1</v>
      </c>
      <c r="Q1823" s="117" t="s">
        <v>368</v>
      </c>
    </row>
    <row r="1824" hidden="1">
      <c r="A1824" s="108"/>
      <c r="B1824" s="220"/>
      <c r="C1824" s="220" t="s">
        <v>290</v>
      </c>
      <c r="D1824" s="220" t="str">
        <f>vlookup(M1824,'Página10'!A:B,2,false)</f>
        <v>INOV00001</v>
      </c>
      <c r="E1824" s="134" t="s">
        <v>110</v>
      </c>
      <c r="F1824" s="225">
        <v>45231.0</v>
      </c>
      <c r="G1824" s="222">
        <v>0.125</v>
      </c>
      <c r="H1824" s="134" t="s">
        <v>411</v>
      </c>
      <c r="I1824" s="223" t="s">
        <v>411</v>
      </c>
      <c r="J1824" s="223" t="b">
        <f t="shared" si="1"/>
        <v>1</v>
      </c>
      <c r="K1824" s="145" t="s">
        <v>1582</v>
      </c>
      <c r="L1824" s="156"/>
      <c r="M1824" s="134" t="s">
        <v>416</v>
      </c>
      <c r="N1824" s="150">
        <f>if(and(O1824=TRUE,P1824=TRUE), VLOOKUP($E1824,PESSOAL!$B$35:$S$45,MONTH($F1824)+6,false)*G1824*24,0)</f>
        <v>208.3491363</v>
      </c>
      <c r="O1824" s="117" t="b">
        <f t="shared" si="7"/>
        <v>1</v>
      </c>
      <c r="P1824" s="117" t="b">
        <v>1</v>
      </c>
      <c r="Q1824" s="117" t="s">
        <v>368</v>
      </c>
    </row>
    <row r="1825" hidden="1">
      <c r="A1825" s="108"/>
      <c r="B1825" s="220"/>
      <c r="C1825" s="220" t="s">
        <v>290</v>
      </c>
      <c r="D1825" s="220" t="str">
        <f>vlookup(M1825,'Página10'!A:B,2,false)</f>
        <v>INOV00001</v>
      </c>
      <c r="E1825" s="134" t="s">
        <v>110</v>
      </c>
      <c r="F1825" s="225">
        <v>45236.0</v>
      </c>
      <c r="G1825" s="222">
        <v>0.10416666666666667</v>
      </c>
      <c r="H1825" s="134" t="s">
        <v>411</v>
      </c>
      <c r="I1825" s="223" t="s">
        <v>411</v>
      </c>
      <c r="J1825" s="223" t="b">
        <f t="shared" si="1"/>
        <v>1</v>
      </c>
      <c r="K1825" s="145" t="s">
        <v>1583</v>
      </c>
      <c r="L1825" s="156"/>
      <c r="M1825" s="134" t="s">
        <v>416</v>
      </c>
      <c r="N1825" s="150">
        <f>if(and(O1825=TRUE,P1825=TRUE), VLOOKUP($E1825,PESSOAL!$B$35:$S$45,MONTH($F1825)+6,false)*G1825*24,0)</f>
        <v>173.6242802</v>
      </c>
      <c r="O1825" s="117" t="b">
        <f t="shared" si="7"/>
        <v>1</v>
      </c>
      <c r="P1825" s="117" t="b">
        <v>1</v>
      </c>
      <c r="Q1825" s="117" t="s">
        <v>368</v>
      </c>
    </row>
    <row r="1826" hidden="1">
      <c r="A1826" s="108"/>
      <c r="B1826" s="220"/>
      <c r="C1826" s="220" t="s">
        <v>290</v>
      </c>
      <c r="D1826" s="220" t="str">
        <f>vlookup(M1826,'Página10'!A:B,2,false)</f>
        <v>INOV00001</v>
      </c>
      <c r="E1826" s="134" t="s">
        <v>110</v>
      </c>
      <c r="F1826" s="225">
        <v>45236.0</v>
      </c>
      <c r="G1826" s="222">
        <v>0.125</v>
      </c>
      <c r="H1826" s="134" t="s">
        <v>475</v>
      </c>
      <c r="I1826" s="223" t="s">
        <v>411</v>
      </c>
      <c r="J1826" s="223" t="b">
        <f t="shared" si="1"/>
        <v>0</v>
      </c>
      <c r="K1826" s="145" t="s">
        <v>1584</v>
      </c>
      <c r="L1826" s="156"/>
      <c r="M1826" s="134" t="s">
        <v>416</v>
      </c>
      <c r="N1826" s="150">
        <f>if(and(O1826=TRUE,P1826=TRUE), VLOOKUP($E1826,PESSOAL!$B$35:$S$45,MONTH($F1826)+6,false)*G1826*24,0)</f>
        <v>208.3491363</v>
      </c>
      <c r="O1826" s="117" t="b">
        <f t="shared" si="7"/>
        <v>1</v>
      </c>
      <c r="P1826" s="117" t="b">
        <v>1</v>
      </c>
      <c r="Q1826" s="117" t="s">
        <v>368</v>
      </c>
    </row>
    <row r="1827" hidden="1">
      <c r="A1827" s="108"/>
      <c r="B1827" s="220"/>
      <c r="C1827" s="220" t="s">
        <v>69</v>
      </c>
      <c r="D1827" s="220" t="str">
        <f>vlookup(M1827,'Página10'!A:B,2,false)</f>
        <v>INOV00041</v>
      </c>
      <c r="E1827" s="134" t="s">
        <v>110</v>
      </c>
      <c r="F1827" s="225">
        <v>45237.0</v>
      </c>
      <c r="G1827" s="222">
        <v>0.08333333333333333</v>
      </c>
      <c r="H1827" s="134" t="s">
        <v>475</v>
      </c>
      <c r="I1827" s="223" t="s">
        <v>475</v>
      </c>
      <c r="J1827" s="223" t="b">
        <f t="shared" si="1"/>
        <v>1</v>
      </c>
      <c r="K1827" s="145" t="s">
        <v>1585</v>
      </c>
      <c r="L1827" s="156"/>
      <c r="M1827" s="134" t="s">
        <v>1388</v>
      </c>
      <c r="N1827" s="150">
        <f>if(and(O1827=TRUE,P1827=TRUE), VLOOKUP($E1827,PESSOAL!$B$35:$S$45,MONTH($F1827)+6,false)*G1827*24,0)</f>
        <v>138.8994242</v>
      </c>
      <c r="O1827" s="117" t="b">
        <f t="shared" si="7"/>
        <v>1</v>
      </c>
      <c r="P1827" s="117" t="b">
        <v>1</v>
      </c>
      <c r="Q1827" s="117" t="s">
        <v>368</v>
      </c>
    </row>
    <row r="1828" hidden="1">
      <c r="A1828" s="108"/>
      <c r="B1828" s="220"/>
      <c r="C1828" s="220" t="s">
        <v>290</v>
      </c>
      <c r="D1828" s="220" t="str">
        <f>vlookup(M1828,'Página10'!A:B,2,false)</f>
        <v>INOV00001</v>
      </c>
      <c r="E1828" s="134" t="s">
        <v>110</v>
      </c>
      <c r="F1828" s="225">
        <v>45237.0</v>
      </c>
      <c r="G1828" s="222">
        <v>0.08333333333333333</v>
      </c>
      <c r="H1828" s="134" t="s">
        <v>411</v>
      </c>
      <c r="I1828" s="223" t="s">
        <v>411</v>
      </c>
      <c r="J1828" s="223" t="b">
        <f t="shared" si="1"/>
        <v>1</v>
      </c>
      <c r="K1828" s="145" t="s">
        <v>1586</v>
      </c>
      <c r="L1828" s="156"/>
      <c r="M1828" s="134" t="s">
        <v>416</v>
      </c>
      <c r="N1828" s="150">
        <f>if(and(O1828=TRUE,P1828=TRUE), VLOOKUP($E1828,PESSOAL!$B$35:$S$45,MONTH($F1828)+6,false)*G1828*24,0)</f>
        <v>138.8994242</v>
      </c>
      <c r="O1828" s="117" t="b">
        <f t="shared" si="7"/>
        <v>1</v>
      </c>
      <c r="P1828" s="117" t="b">
        <v>1</v>
      </c>
      <c r="Q1828" s="117" t="s">
        <v>368</v>
      </c>
    </row>
    <row r="1829" hidden="1">
      <c r="A1829" s="108"/>
      <c r="B1829" s="220"/>
      <c r="C1829" s="220" t="s">
        <v>290</v>
      </c>
      <c r="D1829" s="220" t="str">
        <f>vlookup(M1829,'Página10'!A:B,2,false)</f>
        <v>INOV00001</v>
      </c>
      <c r="E1829" s="134" t="s">
        <v>110</v>
      </c>
      <c r="F1829" s="225">
        <v>45237.0</v>
      </c>
      <c r="G1829" s="222">
        <v>0.08333333333333333</v>
      </c>
      <c r="H1829" s="134" t="s">
        <v>475</v>
      </c>
      <c r="I1829" s="223" t="s">
        <v>411</v>
      </c>
      <c r="J1829" s="223" t="b">
        <f t="shared" si="1"/>
        <v>0</v>
      </c>
      <c r="K1829" s="145" t="s">
        <v>1584</v>
      </c>
      <c r="L1829" s="156"/>
      <c r="M1829" s="134" t="s">
        <v>416</v>
      </c>
      <c r="N1829" s="150">
        <f>if(and(O1829=TRUE,P1829=TRUE), VLOOKUP($E1829,PESSOAL!$B$35:$S$45,MONTH($F1829)+6,false)*G1829*24,0)</f>
        <v>138.8994242</v>
      </c>
      <c r="O1829" s="117" t="b">
        <f t="shared" si="7"/>
        <v>1</v>
      </c>
      <c r="P1829" s="117" t="b">
        <v>1</v>
      </c>
      <c r="Q1829" s="117" t="s">
        <v>368</v>
      </c>
    </row>
    <row r="1830" hidden="1">
      <c r="A1830" s="108"/>
      <c r="B1830" s="220"/>
      <c r="C1830" s="220" t="s">
        <v>290</v>
      </c>
      <c r="D1830" s="220" t="str">
        <f>vlookup(M1830,'Página10'!A:B,2,false)</f>
        <v>INOV00001</v>
      </c>
      <c r="E1830" s="134" t="s">
        <v>110</v>
      </c>
      <c r="F1830" s="225">
        <v>45238.0</v>
      </c>
      <c r="G1830" s="222">
        <v>0.0625</v>
      </c>
      <c r="H1830" s="134" t="s">
        <v>411</v>
      </c>
      <c r="I1830" s="223" t="s">
        <v>411</v>
      </c>
      <c r="J1830" s="223" t="b">
        <f t="shared" si="1"/>
        <v>1</v>
      </c>
      <c r="K1830" s="145" t="s">
        <v>1495</v>
      </c>
      <c r="L1830" s="156"/>
      <c r="M1830" s="134" t="s">
        <v>416</v>
      </c>
      <c r="N1830" s="150">
        <f>if(and(O1830=TRUE,P1830=TRUE), VLOOKUP($E1830,PESSOAL!$B$35:$S$45,MONTH($F1830)+6,false)*G1830*24,0)</f>
        <v>104.1745681</v>
      </c>
      <c r="O1830" s="117" t="b">
        <f t="shared" si="7"/>
        <v>1</v>
      </c>
      <c r="P1830" s="117" t="b">
        <v>1</v>
      </c>
      <c r="Q1830" s="117" t="s">
        <v>368</v>
      </c>
    </row>
    <row r="1831" hidden="1">
      <c r="A1831" s="108"/>
      <c r="B1831" s="220"/>
      <c r="C1831" s="220" t="s">
        <v>435</v>
      </c>
      <c r="D1831" s="220" t="str">
        <f>vlookup(M1831,'Página10'!A:B,2,false)</f>
        <v>INOV00020</v>
      </c>
      <c r="E1831" s="134" t="s">
        <v>110</v>
      </c>
      <c r="F1831" s="225">
        <v>45238.0</v>
      </c>
      <c r="G1831" s="222">
        <v>0.020833333333333332</v>
      </c>
      <c r="H1831" s="134" t="s">
        <v>479</v>
      </c>
      <c r="I1831" s="223" t="s">
        <v>479</v>
      </c>
      <c r="J1831" s="223" t="b">
        <f t="shared" si="1"/>
        <v>1</v>
      </c>
      <c r="K1831" s="145" t="s">
        <v>1587</v>
      </c>
      <c r="L1831" s="156"/>
      <c r="M1831" s="134" t="s">
        <v>434</v>
      </c>
      <c r="N1831" s="150">
        <f>if(and(O1831=TRUE,P1831=TRUE), VLOOKUP($E1831,PESSOAL!$B$35:$S$45,MONTH($F1831)+6,false)*G1831*24,0)</f>
        <v>0</v>
      </c>
      <c r="O1831" s="117" t="b">
        <f t="shared" si="7"/>
        <v>0</v>
      </c>
      <c r="P1831" s="117" t="b">
        <v>0</v>
      </c>
      <c r="Q1831" s="117" t="s">
        <v>368</v>
      </c>
    </row>
    <row r="1832" hidden="1">
      <c r="A1832" s="108"/>
      <c r="B1832" s="220"/>
      <c r="C1832" s="220" t="s">
        <v>435</v>
      </c>
      <c r="D1832" s="220" t="str">
        <f>vlookup(M1832,'Página10'!A:B,2,false)</f>
        <v>INOV00020</v>
      </c>
      <c r="E1832" s="134" t="s">
        <v>110</v>
      </c>
      <c r="F1832" s="225">
        <v>45238.0</v>
      </c>
      <c r="G1832" s="222">
        <v>0.08333333333333333</v>
      </c>
      <c r="H1832" s="134" t="s">
        <v>475</v>
      </c>
      <c r="I1832" s="223" t="s">
        <v>475</v>
      </c>
      <c r="J1832" s="223" t="b">
        <f t="shared" si="1"/>
        <v>1</v>
      </c>
      <c r="K1832" s="145" t="s">
        <v>1588</v>
      </c>
      <c r="L1832" s="156"/>
      <c r="M1832" s="134" t="s">
        <v>434</v>
      </c>
      <c r="N1832" s="150">
        <f>if(and(O1832=TRUE,P1832=TRUE), VLOOKUP($E1832,PESSOAL!$B$35:$S$45,MONTH($F1832)+6,false)*G1832*24,0)</f>
        <v>0</v>
      </c>
      <c r="O1832" s="117" t="b">
        <f t="shared" si="7"/>
        <v>1</v>
      </c>
      <c r="P1832" s="117" t="b">
        <v>0</v>
      </c>
      <c r="Q1832" s="117" t="s">
        <v>368</v>
      </c>
    </row>
    <row r="1833" hidden="1">
      <c r="A1833" s="108"/>
      <c r="B1833" s="220"/>
      <c r="C1833" s="220" t="s">
        <v>290</v>
      </c>
      <c r="D1833" s="220" t="str">
        <f>vlookup(M1833,'Página10'!A:B,2,false)</f>
        <v>INOV00001</v>
      </c>
      <c r="E1833" s="134" t="s">
        <v>110</v>
      </c>
      <c r="F1833" s="225">
        <v>45239.0</v>
      </c>
      <c r="G1833" s="222">
        <v>0.125</v>
      </c>
      <c r="H1833" s="134" t="s">
        <v>475</v>
      </c>
      <c r="I1833" s="223" t="s">
        <v>475</v>
      </c>
      <c r="J1833" s="223" t="b">
        <f t="shared" si="1"/>
        <v>1</v>
      </c>
      <c r="K1833" s="145" t="s">
        <v>1584</v>
      </c>
      <c r="L1833" s="156"/>
      <c r="M1833" s="134" t="s">
        <v>416</v>
      </c>
      <c r="N1833" s="150">
        <f>if(and(O1833=TRUE,P1833=TRUE), VLOOKUP($E1833,PESSOAL!$B$35:$S$45,MONTH($F1833)+6,false)*G1833*24,0)</f>
        <v>208.3491363</v>
      </c>
      <c r="O1833" s="117" t="b">
        <f t="shared" si="7"/>
        <v>1</v>
      </c>
      <c r="P1833" s="117" t="b">
        <v>1</v>
      </c>
      <c r="Q1833" s="117" t="s">
        <v>368</v>
      </c>
    </row>
    <row r="1834" hidden="1">
      <c r="A1834" s="108"/>
      <c r="B1834" s="220"/>
      <c r="C1834" s="220" t="s">
        <v>290</v>
      </c>
      <c r="D1834" s="220" t="str">
        <f>vlookup(M1834,'Página10'!A:B,2,false)</f>
        <v>INOV00001</v>
      </c>
      <c r="E1834" s="134" t="s">
        <v>110</v>
      </c>
      <c r="F1834" s="225">
        <v>45239.0</v>
      </c>
      <c r="G1834" s="222">
        <v>0.041666666666666664</v>
      </c>
      <c r="H1834" s="134" t="s">
        <v>411</v>
      </c>
      <c r="I1834" s="223" t="s">
        <v>411</v>
      </c>
      <c r="J1834" s="223" t="b">
        <f t="shared" si="1"/>
        <v>1</v>
      </c>
      <c r="K1834" s="145" t="s">
        <v>1589</v>
      </c>
      <c r="L1834" s="156"/>
      <c r="M1834" s="134" t="s">
        <v>416</v>
      </c>
      <c r="N1834" s="150">
        <f>if(and(O1834=TRUE,P1834=TRUE), VLOOKUP($E1834,PESSOAL!$B$35:$S$45,MONTH($F1834)+6,false)*G1834*24,0)</f>
        <v>69.44971208</v>
      </c>
      <c r="O1834" s="117" t="b">
        <f t="shared" si="7"/>
        <v>1</v>
      </c>
      <c r="P1834" s="117" t="b">
        <v>1</v>
      </c>
      <c r="Q1834" s="117" t="s">
        <v>368</v>
      </c>
    </row>
    <row r="1835" hidden="1">
      <c r="A1835" s="108"/>
      <c r="B1835" s="220"/>
      <c r="C1835" s="220" t="s">
        <v>56</v>
      </c>
      <c r="D1835" s="220" t="str">
        <f>vlookup(M1835,'Página10'!A:B,2,false)</f>
        <v>INOV00021</v>
      </c>
      <c r="E1835" s="134" t="s">
        <v>110</v>
      </c>
      <c r="F1835" s="225">
        <v>45240.0</v>
      </c>
      <c r="G1835" s="222">
        <v>0.020833333333333332</v>
      </c>
      <c r="H1835" s="134" t="s">
        <v>411</v>
      </c>
      <c r="I1835" s="223" t="s">
        <v>411</v>
      </c>
      <c r="J1835" s="223" t="b">
        <f t="shared" si="1"/>
        <v>1</v>
      </c>
      <c r="K1835" s="145" t="s">
        <v>1590</v>
      </c>
      <c r="L1835" s="156"/>
      <c r="M1835" s="134" t="s">
        <v>436</v>
      </c>
      <c r="N1835" s="150">
        <f>if(and(O1835=TRUE,P1835=TRUE), VLOOKUP($E1835,PESSOAL!$B$35:$S$45,MONTH($F1835)+6,false)*G1835*24,0)</f>
        <v>34.72485604</v>
      </c>
      <c r="O1835" s="117" t="b">
        <f t="shared" si="7"/>
        <v>1</v>
      </c>
      <c r="P1835" s="117" t="b">
        <v>1</v>
      </c>
      <c r="Q1835" s="117" t="s">
        <v>368</v>
      </c>
    </row>
    <row r="1836" hidden="1">
      <c r="A1836" s="108"/>
      <c r="B1836" s="220"/>
      <c r="C1836" s="220" t="s">
        <v>290</v>
      </c>
      <c r="D1836" s="220" t="str">
        <f>vlookup(M1836,'Página10'!A:B,2,false)</f>
        <v>INOV00001</v>
      </c>
      <c r="E1836" s="134" t="s">
        <v>110</v>
      </c>
      <c r="F1836" s="225">
        <v>45240.0</v>
      </c>
      <c r="G1836" s="222">
        <v>0.10416666666666667</v>
      </c>
      <c r="H1836" s="134" t="s">
        <v>411</v>
      </c>
      <c r="I1836" s="223" t="s">
        <v>411</v>
      </c>
      <c r="J1836" s="223" t="b">
        <f t="shared" si="1"/>
        <v>1</v>
      </c>
      <c r="K1836" s="145" t="s">
        <v>1494</v>
      </c>
      <c r="L1836" s="156"/>
      <c r="M1836" s="134" t="s">
        <v>416</v>
      </c>
      <c r="N1836" s="150">
        <f>if(and(O1836=TRUE,P1836=TRUE), VLOOKUP($E1836,PESSOAL!$B$35:$S$45,MONTH($F1836)+6,false)*G1836*24,0)</f>
        <v>173.6242802</v>
      </c>
      <c r="O1836" s="117" t="b">
        <f t="shared" si="7"/>
        <v>1</v>
      </c>
      <c r="P1836" s="117" t="b">
        <v>1</v>
      </c>
      <c r="Q1836" s="117" t="s">
        <v>368</v>
      </c>
    </row>
    <row r="1837" hidden="1">
      <c r="A1837" s="108"/>
      <c r="B1837" s="220"/>
      <c r="C1837" s="220" t="s">
        <v>52</v>
      </c>
      <c r="D1837" s="220" t="str">
        <f>vlookup(M1837,'Página10'!A:B,2,false)</f>
        <v>INOV00013</v>
      </c>
      <c r="E1837" s="134" t="s">
        <v>110</v>
      </c>
      <c r="F1837" s="225">
        <v>45240.0</v>
      </c>
      <c r="G1837" s="222">
        <v>0.041666666666666664</v>
      </c>
      <c r="H1837" s="134" t="s">
        <v>411</v>
      </c>
      <c r="I1837" s="223" t="s">
        <v>411</v>
      </c>
      <c r="J1837" s="223" t="b">
        <f t="shared" si="1"/>
        <v>1</v>
      </c>
      <c r="K1837" s="145" t="s">
        <v>1590</v>
      </c>
      <c r="L1837" s="156"/>
      <c r="M1837" s="134" t="s">
        <v>426</v>
      </c>
      <c r="N1837" s="150">
        <f>if(and(O1837=TRUE,P1837=TRUE), VLOOKUP($E1837,PESSOAL!$B$35:$S$45,MONTH($F1837)+6,false)*G1837*24,0)</f>
        <v>69.44971208</v>
      </c>
      <c r="O1837" s="117" t="b">
        <f t="shared" si="7"/>
        <v>1</v>
      </c>
      <c r="P1837" s="117" t="b">
        <v>1</v>
      </c>
      <c r="Q1837" s="117" t="s">
        <v>368</v>
      </c>
    </row>
    <row r="1838" hidden="1">
      <c r="A1838" s="108"/>
      <c r="B1838" s="220"/>
      <c r="C1838" s="220" t="s">
        <v>290</v>
      </c>
      <c r="D1838" s="220" t="str">
        <f>vlookup(M1838,'Página10'!A:B,2,false)</f>
        <v>INOV00001</v>
      </c>
      <c r="E1838" s="134" t="s">
        <v>110</v>
      </c>
      <c r="F1838" s="225">
        <v>45243.0</v>
      </c>
      <c r="G1838" s="222">
        <v>0.125</v>
      </c>
      <c r="H1838" s="134" t="s">
        <v>411</v>
      </c>
      <c r="I1838" s="223" t="s">
        <v>411</v>
      </c>
      <c r="J1838" s="223" t="b">
        <f t="shared" si="1"/>
        <v>1</v>
      </c>
      <c r="K1838" s="145" t="s">
        <v>1494</v>
      </c>
      <c r="L1838" s="156"/>
      <c r="M1838" s="134" t="s">
        <v>416</v>
      </c>
      <c r="N1838" s="150">
        <f>if(and(O1838=TRUE,P1838=TRUE), VLOOKUP($E1838,PESSOAL!$B$35:$S$45,MONTH($F1838)+6,false)*G1838*24,0)</f>
        <v>208.3491363</v>
      </c>
      <c r="O1838" s="117" t="b">
        <f t="shared" si="7"/>
        <v>1</v>
      </c>
      <c r="P1838" s="117" t="b">
        <v>1</v>
      </c>
      <c r="Q1838" s="117" t="s">
        <v>368</v>
      </c>
    </row>
    <row r="1839" hidden="1">
      <c r="A1839" s="108"/>
      <c r="B1839" s="220"/>
      <c r="C1839" s="220" t="s">
        <v>290</v>
      </c>
      <c r="D1839" s="220" t="str">
        <f>vlookup(M1839,'Página10'!A:B,2,false)</f>
        <v>INOV00001</v>
      </c>
      <c r="E1839" s="134" t="s">
        <v>110</v>
      </c>
      <c r="F1839" s="225">
        <v>45244.0</v>
      </c>
      <c r="G1839" s="222">
        <v>0.10416666666666667</v>
      </c>
      <c r="H1839" s="134" t="s">
        <v>475</v>
      </c>
      <c r="I1839" s="223" t="s">
        <v>411</v>
      </c>
      <c r="J1839" s="223" t="b">
        <f t="shared" si="1"/>
        <v>0</v>
      </c>
      <c r="K1839" s="145" t="s">
        <v>1584</v>
      </c>
      <c r="L1839" s="156"/>
      <c r="M1839" s="134" t="s">
        <v>416</v>
      </c>
      <c r="N1839" s="150">
        <f>if(and(O1839=TRUE,P1839=TRUE), VLOOKUP($E1839,PESSOAL!$B$35:$S$45,MONTH($F1839)+6,false)*G1839*24,0)</f>
        <v>173.6242802</v>
      </c>
      <c r="O1839" s="117" t="b">
        <f t="shared" si="7"/>
        <v>1</v>
      </c>
      <c r="P1839" s="117" t="b">
        <v>1</v>
      </c>
      <c r="Q1839" s="117" t="s">
        <v>368</v>
      </c>
    </row>
    <row r="1840" hidden="1">
      <c r="A1840" s="108"/>
      <c r="B1840" s="220"/>
      <c r="C1840" s="220" t="s">
        <v>290</v>
      </c>
      <c r="D1840" s="220" t="str">
        <f>vlookup(M1840,'Página10'!A:B,2,false)</f>
        <v>INOV00001</v>
      </c>
      <c r="E1840" s="134" t="s">
        <v>110</v>
      </c>
      <c r="F1840" s="225">
        <v>45246.0</v>
      </c>
      <c r="G1840" s="222">
        <v>0.08333333333333333</v>
      </c>
      <c r="H1840" s="134" t="s">
        <v>411</v>
      </c>
      <c r="I1840" s="223" t="s">
        <v>411</v>
      </c>
      <c r="J1840" s="223" t="b">
        <f t="shared" si="1"/>
        <v>1</v>
      </c>
      <c r="K1840" s="145" t="s">
        <v>1495</v>
      </c>
      <c r="L1840" s="156"/>
      <c r="M1840" s="134" t="s">
        <v>416</v>
      </c>
      <c r="N1840" s="150">
        <f>if(and(O1840=TRUE,P1840=TRUE), VLOOKUP($E1840,PESSOAL!$B$35:$S$45,MONTH($F1840)+6,false)*G1840*24,0)</f>
        <v>138.8994242</v>
      </c>
      <c r="O1840" s="117" t="b">
        <f t="shared" si="7"/>
        <v>1</v>
      </c>
      <c r="P1840" s="117" t="b">
        <v>1</v>
      </c>
      <c r="Q1840" s="117" t="s">
        <v>368</v>
      </c>
    </row>
    <row r="1841" hidden="1">
      <c r="A1841" s="108"/>
      <c r="B1841" s="220"/>
      <c r="C1841" s="220" t="s">
        <v>290</v>
      </c>
      <c r="D1841" s="220" t="str">
        <f>vlookup(M1841,'Página10'!A:B,2,false)</f>
        <v>INOV00001</v>
      </c>
      <c r="E1841" s="134" t="s">
        <v>110</v>
      </c>
      <c r="F1841" s="225">
        <v>45246.0</v>
      </c>
      <c r="G1841" s="222">
        <v>0.08333333333333333</v>
      </c>
      <c r="H1841" s="134" t="s">
        <v>411</v>
      </c>
      <c r="I1841" s="223" t="s">
        <v>411</v>
      </c>
      <c r="J1841" s="223" t="b">
        <f t="shared" si="1"/>
        <v>1</v>
      </c>
      <c r="K1841" s="145" t="s">
        <v>1591</v>
      </c>
      <c r="L1841" s="156"/>
      <c r="M1841" s="134" t="s">
        <v>416</v>
      </c>
      <c r="N1841" s="150">
        <f>if(and(O1841=TRUE,P1841=TRUE), VLOOKUP($E1841,PESSOAL!$B$35:$S$45,MONTH($F1841)+6,false)*G1841*24,0)</f>
        <v>138.8994242</v>
      </c>
      <c r="O1841" s="117" t="b">
        <f t="shared" si="7"/>
        <v>1</v>
      </c>
      <c r="P1841" s="117" t="b">
        <v>1</v>
      </c>
      <c r="Q1841" s="117" t="s">
        <v>368</v>
      </c>
    </row>
    <row r="1842" hidden="1">
      <c r="A1842" s="108"/>
      <c r="B1842" s="220"/>
      <c r="C1842" s="220" t="s">
        <v>435</v>
      </c>
      <c r="D1842" s="220" t="str">
        <f>vlookup(M1842,'Página10'!A:B,2,false)</f>
        <v>INOV00020</v>
      </c>
      <c r="E1842" s="134" t="s">
        <v>110</v>
      </c>
      <c r="F1842" s="225">
        <v>45247.0</v>
      </c>
      <c r="G1842" s="222">
        <v>0.041666666666666664</v>
      </c>
      <c r="H1842" s="134" t="s">
        <v>475</v>
      </c>
      <c r="I1842" s="223" t="s">
        <v>411</v>
      </c>
      <c r="J1842" s="223" t="b">
        <f t="shared" si="1"/>
        <v>0</v>
      </c>
      <c r="K1842" s="145" t="s">
        <v>1588</v>
      </c>
      <c r="L1842" s="156"/>
      <c r="M1842" s="134" t="s">
        <v>434</v>
      </c>
      <c r="N1842" s="150">
        <f>if(and(O1842=TRUE,P1842=TRUE), VLOOKUP($E1842,PESSOAL!$B$35:$S$45,MONTH($F1842)+6,false)*G1842*24,0)</f>
        <v>0</v>
      </c>
      <c r="O1842" s="117" t="b">
        <f t="shared" si="7"/>
        <v>1</v>
      </c>
      <c r="P1842" s="117" t="b">
        <v>0</v>
      </c>
      <c r="Q1842" s="117" t="s">
        <v>368</v>
      </c>
    </row>
    <row r="1843" hidden="1">
      <c r="A1843" s="108"/>
      <c r="B1843" s="220"/>
      <c r="C1843" s="220" t="s">
        <v>441</v>
      </c>
      <c r="D1843" s="220" t="str">
        <f>vlookup(M1843,'Página10'!A:B,2,false)</f>
        <v>INOV00025</v>
      </c>
      <c r="E1843" s="134" t="s">
        <v>110</v>
      </c>
      <c r="F1843" s="225">
        <v>45247.0</v>
      </c>
      <c r="G1843" s="222">
        <v>0.08333333333333333</v>
      </c>
      <c r="H1843" s="134" t="s">
        <v>411</v>
      </c>
      <c r="I1843" s="223" t="s">
        <v>411</v>
      </c>
      <c r="J1843" s="223" t="b">
        <f t="shared" si="1"/>
        <v>1</v>
      </c>
      <c r="K1843" s="145" t="s">
        <v>1592</v>
      </c>
      <c r="L1843" s="156"/>
      <c r="M1843" s="134" t="s">
        <v>440</v>
      </c>
      <c r="N1843" s="150">
        <f>if(and(O1843=TRUE,P1843=TRUE), VLOOKUP($E1843,PESSOAL!$B$35:$S$45,MONTH($F1843)+6,false)*G1843*24,0)</f>
        <v>0</v>
      </c>
      <c r="O1843" s="117" t="b">
        <f t="shared" si="7"/>
        <v>1</v>
      </c>
      <c r="P1843" s="117" t="b">
        <v>0</v>
      </c>
      <c r="Q1843" s="117" t="s">
        <v>368</v>
      </c>
    </row>
    <row r="1844" hidden="1">
      <c r="A1844" s="108"/>
      <c r="B1844" s="220"/>
      <c r="C1844" s="220" t="s">
        <v>290</v>
      </c>
      <c r="D1844" s="220" t="str">
        <f>vlookup(M1844,'Página10'!A:B,2,false)</f>
        <v>INOV00001</v>
      </c>
      <c r="E1844" s="134" t="s">
        <v>110</v>
      </c>
      <c r="F1844" s="225">
        <v>45247.0</v>
      </c>
      <c r="G1844" s="222">
        <v>0.0625</v>
      </c>
      <c r="H1844" s="134" t="s">
        <v>475</v>
      </c>
      <c r="I1844" s="223" t="s">
        <v>479</v>
      </c>
      <c r="J1844" s="223" t="b">
        <f t="shared" si="1"/>
        <v>0</v>
      </c>
      <c r="K1844" s="145" t="s">
        <v>1593</v>
      </c>
      <c r="L1844" s="156"/>
      <c r="M1844" s="134" t="s">
        <v>416</v>
      </c>
      <c r="N1844" s="150">
        <f>if(and(O1844=TRUE,P1844=TRUE), VLOOKUP($E1844,PESSOAL!$B$35:$S$45,MONTH($F1844)+6,false)*G1844*24,0)</f>
        <v>0</v>
      </c>
      <c r="O1844" s="117" t="b">
        <f t="shared" si="7"/>
        <v>0</v>
      </c>
      <c r="P1844" s="117" t="b">
        <v>1</v>
      </c>
      <c r="Q1844" s="117" t="s">
        <v>368</v>
      </c>
    </row>
    <row r="1845" hidden="1">
      <c r="A1845" s="108"/>
      <c r="B1845" s="220"/>
      <c r="C1845" s="220" t="s">
        <v>290</v>
      </c>
      <c r="D1845" s="220" t="str">
        <f>vlookup(M1845,'Página10'!A:B,2,false)</f>
        <v>INOV00001</v>
      </c>
      <c r="E1845" s="134" t="s">
        <v>110</v>
      </c>
      <c r="F1845" s="225">
        <v>45250.0</v>
      </c>
      <c r="G1845" s="222">
        <v>0.041666666666666664</v>
      </c>
      <c r="H1845" s="134" t="s">
        <v>411</v>
      </c>
      <c r="I1845" s="223" t="s">
        <v>411</v>
      </c>
      <c r="J1845" s="223" t="b">
        <f t="shared" si="1"/>
        <v>1</v>
      </c>
      <c r="K1845" s="145" t="s">
        <v>1494</v>
      </c>
      <c r="L1845" s="156"/>
      <c r="M1845" s="134" t="s">
        <v>416</v>
      </c>
      <c r="N1845" s="150">
        <f>if(and(O1845=TRUE,P1845=TRUE), VLOOKUP($E1845,PESSOAL!$B$35:$S$45,MONTH($F1845)+6,false)*G1845*24,0)</f>
        <v>69.44971208</v>
      </c>
      <c r="O1845" s="117" t="b">
        <f t="shared" si="7"/>
        <v>1</v>
      </c>
      <c r="P1845" s="117" t="b">
        <v>1</v>
      </c>
      <c r="Q1845" s="117" t="s">
        <v>368</v>
      </c>
    </row>
    <row r="1846" hidden="1">
      <c r="A1846" s="108"/>
      <c r="B1846" s="220"/>
      <c r="C1846" s="220" t="s">
        <v>290</v>
      </c>
      <c r="D1846" s="220" t="str">
        <f>vlookup(M1846,'Página10'!A:B,2,false)</f>
        <v>INOV00001</v>
      </c>
      <c r="E1846" s="134" t="s">
        <v>110</v>
      </c>
      <c r="F1846" s="225">
        <v>45250.0</v>
      </c>
      <c r="G1846" s="222">
        <v>0.5409722222222222</v>
      </c>
      <c r="H1846" s="134" t="s">
        <v>411</v>
      </c>
      <c r="I1846" s="223" t="s">
        <v>411</v>
      </c>
      <c r="J1846" s="223" t="b">
        <f t="shared" si="1"/>
        <v>1</v>
      </c>
      <c r="K1846" s="145" t="s">
        <v>1594</v>
      </c>
      <c r="L1846" s="156"/>
      <c r="M1846" s="134" t="s">
        <v>416</v>
      </c>
      <c r="N1846" s="150">
        <f>if(and(O1846=TRUE,P1846=TRUE), VLOOKUP($E1846,PESSOAL!$B$35:$S$45,MONTH($F1846)+6,false)*G1846*24,0)</f>
        <v>901.6887619</v>
      </c>
      <c r="O1846" s="117" t="b">
        <f t="shared" si="7"/>
        <v>1</v>
      </c>
      <c r="P1846" s="117" t="b">
        <v>1</v>
      </c>
      <c r="Q1846" s="117" t="s">
        <v>368</v>
      </c>
    </row>
    <row r="1847" hidden="1">
      <c r="A1847" s="108"/>
      <c r="B1847" s="220"/>
      <c r="C1847" s="220" t="s">
        <v>290</v>
      </c>
      <c r="D1847" s="220" t="str">
        <f>vlookup(M1847,'Página10'!A:B,2,false)</f>
        <v>INOV00001</v>
      </c>
      <c r="E1847" s="134" t="s">
        <v>110</v>
      </c>
      <c r="F1847" s="225">
        <v>45251.0</v>
      </c>
      <c r="G1847" s="222">
        <v>0.5</v>
      </c>
      <c r="H1847" s="134" t="s">
        <v>411</v>
      </c>
      <c r="I1847" s="223" t="s">
        <v>411</v>
      </c>
      <c r="J1847" s="223" t="b">
        <f t="shared" si="1"/>
        <v>1</v>
      </c>
      <c r="K1847" s="145" t="s">
        <v>1594</v>
      </c>
      <c r="L1847" s="156"/>
      <c r="M1847" s="134" t="s">
        <v>416</v>
      </c>
      <c r="N1847" s="150">
        <f>if(and(O1847=TRUE,P1847=TRUE), VLOOKUP($E1847,PESSOAL!$B$35:$S$45,MONTH($F1847)+6,false)*G1847*24,0)</f>
        <v>833.396545</v>
      </c>
      <c r="O1847" s="117" t="b">
        <f t="shared" si="7"/>
        <v>1</v>
      </c>
      <c r="P1847" s="117" t="b">
        <v>1</v>
      </c>
      <c r="Q1847" s="117" t="s">
        <v>368</v>
      </c>
    </row>
    <row r="1848" hidden="1">
      <c r="A1848" s="108"/>
      <c r="B1848" s="220"/>
      <c r="C1848" s="220" t="s">
        <v>290</v>
      </c>
      <c r="D1848" s="220" t="str">
        <f>vlookup(M1848,'Página10'!A:B,2,false)</f>
        <v>INOV00001</v>
      </c>
      <c r="E1848" s="134" t="s">
        <v>110</v>
      </c>
      <c r="F1848" s="225">
        <v>45252.0</v>
      </c>
      <c r="G1848" s="222">
        <v>0.0625</v>
      </c>
      <c r="H1848" s="134" t="s">
        <v>411</v>
      </c>
      <c r="I1848" s="223" t="s">
        <v>411</v>
      </c>
      <c r="J1848" s="223" t="b">
        <f t="shared" si="1"/>
        <v>1</v>
      </c>
      <c r="K1848" s="145" t="s">
        <v>1494</v>
      </c>
      <c r="L1848" s="156"/>
      <c r="M1848" s="134" t="s">
        <v>416</v>
      </c>
      <c r="N1848" s="150">
        <f>if(and(O1848=TRUE,P1848=TRUE), VLOOKUP($E1848,PESSOAL!$B$35:$S$45,MONTH($F1848)+6,false)*G1848*24,0)</f>
        <v>104.1745681</v>
      </c>
      <c r="O1848" s="117" t="b">
        <f t="shared" si="7"/>
        <v>1</v>
      </c>
      <c r="P1848" s="117" t="b">
        <v>1</v>
      </c>
      <c r="Q1848" s="117" t="s">
        <v>368</v>
      </c>
    </row>
    <row r="1849" hidden="1">
      <c r="A1849" s="108"/>
      <c r="B1849" s="220"/>
      <c r="C1849" s="220" t="s">
        <v>290</v>
      </c>
      <c r="D1849" s="220" t="str">
        <f>vlookup(M1849,'Página10'!A:B,2,false)</f>
        <v>INOV00001</v>
      </c>
      <c r="E1849" s="134" t="s">
        <v>110</v>
      </c>
      <c r="F1849" s="225">
        <v>45252.0</v>
      </c>
      <c r="G1849" s="222">
        <v>0.0625</v>
      </c>
      <c r="H1849" s="134" t="s">
        <v>475</v>
      </c>
      <c r="I1849" s="223" t="s">
        <v>411</v>
      </c>
      <c r="J1849" s="223" t="b">
        <f t="shared" si="1"/>
        <v>0</v>
      </c>
      <c r="K1849" s="145" t="s">
        <v>1595</v>
      </c>
      <c r="L1849" s="156"/>
      <c r="M1849" s="134" t="s">
        <v>416</v>
      </c>
      <c r="N1849" s="150">
        <f>if(and(O1849=TRUE,P1849=TRUE), VLOOKUP($E1849,PESSOAL!$B$35:$S$45,MONTH($F1849)+6,false)*G1849*24,0)</f>
        <v>104.1745681</v>
      </c>
      <c r="O1849" s="117" t="b">
        <f t="shared" si="7"/>
        <v>1</v>
      </c>
      <c r="P1849" s="117" t="b">
        <v>1</v>
      </c>
      <c r="Q1849" s="117" t="s">
        <v>368</v>
      </c>
    </row>
    <row r="1850" hidden="1">
      <c r="A1850" s="108"/>
      <c r="B1850" s="220"/>
      <c r="C1850" s="220" t="s">
        <v>52</v>
      </c>
      <c r="D1850" s="220" t="str">
        <f>vlookup(M1850,'Página10'!A:B,2,false)</f>
        <v>INOV00013</v>
      </c>
      <c r="E1850" s="134" t="s">
        <v>110</v>
      </c>
      <c r="F1850" s="225">
        <v>45252.0</v>
      </c>
      <c r="G1850" s="222">
        <v>0.041666666666666664</v>
      </c>
      <c r="H1850" s="134" t="s">
        <v>411</v>
      </c>
      <c r="I1850" s="223" t="s">
        <v>411</v>
      </c>
      <c r="J1850" s="223" t="b">
        <f t="shared" si="1"/>
        <v>1</v>
      </c>
      <c r="K1850" s="145" t="s">
        <v>1590</v>
      </c>
      <c r="L1850" s="156"/>
      <c r="M1850" s="134" t="s">
        <v>426</v>
      </c>
      <c r="N1850" s="150">
        <f>if(and(O1850=TRUE,P1850=TRUE), VLOOKUP($E1850,PESSOAL!$B$35:$S$45,MONTH($F1850)+6,false)*G1850*24,0)</f>
        <v>69.44971208</v>
      </c>
      <c r="O1850" s="117" t="b">
        <f t="shared" si="7"/>
        <v>1</v>
      </c>
      <c r="P1850" s="117" t="b">
        <v>1</v>
      </c>
      <c r="Q1850" s="117" t="s">
        <v>368</v>
      </c>
    </row>
    <row r="1851" hidden="1">
      <c r="A1851" s="108"/>
      <c r="B1851" s="220"/>
      <c r="C1851" s="220" t="s">
        <v>290</v>
      </c>
      <c r="D1851" s="220" t="str">
        <f>vlookup(M1851,'Página10'!A:B,2,false)</f>
        <v>INOV00001</v>
      </c>
      <c r="E1851" s="134" t="s">
        <v>110</v>
      </c>
      <c r="F1851" s="225">
        <v>45253.0</v>
      </c>
      <c r="G1851" s="222">
        <v>0.041666666666666664</v>
      </c>
      <c r="H1851" s="134" t="s">
        <v>411</v>
      </c>
      <c r="I1851" s="223" t="s">
        <v>411</v>
      </c>
      <c r="J1851" s="223" t="b">
        <f t="shared" si="1"/>
        <v>1</v>
      </c>
      <c r="K1851" s="145" t="s">
        <v>1494</v>
      </c>
      <c r="L1851" s="156"/>
      <c r="M1851" s="134" t="s">
        <v>416</v>
      </c>
      <c r="N1851" s="150">
        <f>if(and(O1851=TRUE,P1851=TRUE), VLOOKUP($E1851,PESSOAL!$B$35:$S$45,MONTH($F1851)+6,false)*G1851*24,0)</f>
        <v>69.44971208</v>
      </c>
      <c r="O1851" s="117" t="b">
        <f t="shared" si="7"/>
        <v>1</v>
      </c>
      <c r="P1851" s="117" t="b">
        <v>1</v>
      </c>
      <c r="Q1851" s="117" t="s">
        <v>368</v>
      </c>
    </row>
    <row r="1852" hidden="1">
      <c r="A1852" s="108"/>
      <c r="B1852" s="220"/>
      <c r="C1852" s="220" t="s">
        <v>290</v>
      </c>
      <c r="D1852" s="220" t="str">
        <f>vlookup(M1852,'Página10'!A:B,2,false)</f>
        <v>INOV00001</v>
      </c>
      <c r="E1852" s="134" t="s">
        <v>110</v>
      </c>
      <c r="F1852" s="225">
        <v>45253.0</v>
      </c>
      <c r="G1852" s="222">
        <v>0.0625</v>
      </c>
      <c r="H1852" s="134" t="s">
        <v>411</v>
      </c>
      <c r="I1852" s="223" t="s">
        <v>411</v>
      </c>
      <c r="J1852" s="223" t="b">
        <f t="shared" si="1"/>
        <v>1</v>
      </c>
      <c r="K1852" s="145" t="s">
        <v>1494</v>
      </c>
      <c r="L1852" s="156"/>
      <c r="M1852" s="134" t="s">
        <v>416</v>
      </c>
      <c r="N1852" s="150">
        <f>if(and(O1852=TRUE,P1852=TRUE), VLOOKUP($E1852,PESSOAL!$B$35:$S$45,MONTH($F1852)+6,false)*G1852*24,0)</f>
        <v>104.1745681</v>
      </c>
      <c r="O1852" s="117" t="b">
        <f t="shared" si="7"/>
        <v>1</v>
      </c>
      <c r="P1852" s="117" t="b">
        <v>1</v>
      </c>
      <c r="Q1852" s="117" t="s">
        <v>368</v>
      </c>
    </row>
    <row r="1853" hidden="1">
      <c r="A1853" s="108"/>
      <c r="B1853" s="220"/>
      <c r="C1853" s="220" t="s">
        <v>290</v>
      </c>
      <c r="D1853" s="220" t="str">
        <f>vlookup(M1853,'Página10'!A:B,2,false)</f>
        <v>INOV00001</v>
      </c>
      <c r="E1853" s="134" t="s">
        <v>110</v>
      </c>
      <c r="F1853" s="225">
        <v>45254.0</v>
      </c>
      <c r="G1853" s="222">
        <v>0.125</v>
      </c>
      <c r="H1853" s="134" t="s">
        <v>411</v>
      </c>
      <c r="I1853" s="223" t="s">
        <v>411</v>
      </c>
      <c r="J1853" s="223" t="b">
        <f t="shared" si="1"/>
        <v>1</v>
      </c>
      <c r="K1853" s="145" t="s">
        <v>1596</v>
      </c>
      <c r="L1853" s="156"/>
      <c r="M1853" s="134" t="s">
        <v>416</v>
      </c>
      <c r="N1853" s="150">
        <f>if(and(O1853=TRUE,P1853=TRUE), VLOOKUP($E1853,PESSOAL!$B$35:$S$45,MONTH($F1853)+6,false)*G1853*24,0)</f>
        <v>208.3491363</v>
      </c>
      <c r="O1853" s="117" t="b">
        <f t="shared" si="7"/>
        <v>1</v>
      </c>
      <c r="P1853" s="117" t="b">
        <v>1</v>
      </c>
      <c r="Q1853" s="117" t="s">
        <v>368</v>
      </c>
    </row>
    <row r="1854" hidden="1">
      <c r="A1854" s="108"/>
      <c r="B1854" s="220"/>
      <c r="C1854" s="220" t="s">
        <v>52</v>
      </c>
      <c r="D1854" s="220" t="str">
        <f>vlookup(M1854,'Página10'!A:B,2,false)</f>
        <v>INOV00013</v>
      </c>
      <c r="E1854" s="134" t="s">
        <v>110</v>
      </c>
      <c r="F1854" s="225">
        <v>45258.0</v>
      </c>
      <c r="G1854" s="222">
        <v>0.1875</v>
      </c>
      <c r="H1854" s="134" t="s">
        <v>411</v>
      </c>
      <c r="I1854" s="223" t="s">
        <v>411</v>
      </c>
      <c r="J1854" s="223" t="b">
        <f t="shared" si="1"/>
        <v>1</v>
      </c>
      <c r="K1854" s="145" t="s">
        <v>1597</v>
      </c>
      <c r="L1854" s="156"/>
      <c r="M1854" s="134" t="s">
        <v>426</v>
      </c>
      <c r="N1854" s="150">
        <f>if(and(O1854=TRUE,P1854=TRUE), VLOOKUP($E1854,PESSOAL!$B$35:$S$45,MONTH($F1854)+6,false)*G1854*24,0)</f>
        <v>312.5237044</v>
      </c>
      <c r="O1854" s="117" t="b">
        <f t="shared" si="7"/>
        <v>1</v>
      </c>
      <c r="P1854" s="117" t="b">
        <v>1</v>
      </c>
      <c r="Q1854" s="117" t="s">
        <v>368</v>
      </c>
    </row>
    <row r="1855" hidden="1">
      <c r="A1855" s="108"/>
      <c r="B1855" s="220"/>
      <c r="C1855" s="220" t="s">
        <v>441</v>
      </c>
      <c r="D1855" s="220" t="str">
        <f>vlookup(M1855,'Página10'!A:B,2,false)</f>
        <v>INOV00025</v>
      </c>
      <c r="E1855" s="134" t="s">
        <v>110</v>
      </c>
      <c r="F1855" s="225">
        <v>45259.0</v>
      </c>
      <c r="G1855" s="222">
        <v>0.25</v>
      </c>
      <c r="H1855" s="134" t="s">
        <v>411</v>
      </c>
      <c r="I1855" s="223" t="s">
        <v>411</v>
      </c>
      <c r="J1855" s="223" t="b">
        <f t="shared" si="1"/>
        <v>1</v>
      </c>
      <c r="K1855" s="145" t="s">
        <v>1598</v>
      </c>
      <c r="L1855" s="156"/>
      <c r="M1855" s="134" t="s">
        <v>440</v>
      </c>
      <c r="N1855" s="150">
        <f>if(and(O1855=TRUE,P1855=TRUE), VLOOKUP($E1855,PESSOAL!$B$35:$S$45,MONTH($F1855)+6,false)*G1855*24,0)</f>
        <v>0</v>
      </c>
      <c r="O1855" s="117" t="b">
        <f t="shared" si="7"/>
        <v>1</v>
      </c>
      <c r="P1855" s="117" t="b">
        <v>0</v>
      </c>
      <c r="Q1855" s="117" t="s">
        <v>368</v>
      </c>
    </row>
    <row r="1856" hidden="1">
      <c r="A1856" s="108"/>
      <c r="B1856" s="220"/>
      <c r="C1856" s="220" t="s">
        <v>290</v>
      </c>
      <c r="D1856" s="220" t="str">
        <f>vlookup(M1856,'Página10'!A:B,2,false)</f>
        <v>INOV00001</v>
      </c>
      <c r="E1856" s="134" t="s">
        <v>110</v>
      </c>
      <c r="F1856" s="225">
        <v>45260.0</v>
      </c>
      <c r="G1856" s="222">
        <v>0.041666666666666664</v>
      </c>
      <c r="H1856" s="134" t="s">
        <v>411</v>
      </c>
      <c r="I1856" s="223" t="s">
        <v>411</v>
      </c>
      <c r="J1856" s="223" t="b">
        <f t="shared" si="1"/>
        <v>1</v>
      </c>
      <c r="K1856" s="145" t="s">
        <v>1599</v>
      </c>
      <c r="L1856" s="156"/>
      <c r="M1856" s="134" t="s">
        <v>416</v>
      </c>
      <c r="N1856" s="150">
        <f>if(and(O1856=TRUE,P1856=TRUE), VLOOKUP($E1856,PESSOAL!$B$35:$S$45,MONTH($F1856)+6,false)*G1856*24,0)</f>
        <v>69.44971208</v>
      </c>
      <c r="O1856" s="117" t="b">
        <f t="shared" si="7"/>
        <v>1</v>
      </c>
      <c r="P1856" s="117" t="b">
        <v>1</v>
      </c>
      <c r="Q1856" s="117" t="s">
        <v>368</v>
      </c>
    </row>
    <row r="1857" hidden="1">
      <c r="A1857" s="108"/>
      <c r="B1857" s="220"/>
      <c r="C1857" s="220" t="s">
        <v>441</v>
      </c>
      <c r="D1857" s="220" t="str">
        <f>vlookup(M1857,'Página10'!A:B,2,false)</f>
        <v>INOV00025</v>
      </c>
      <c r="E1857" s="134" t="s">
        <v>110</v>
      </c>
      <c r="F1857" s="225">
        <v>45260.0</v>
      </c>
      <c r="G1857" s="222">
        <v>0.0625</v>
      </c>
      <c r="H1857" s="134" t="s">
        <v>411</v>
      </c>
      <c r="I1857" s="223" t="s">
        <v>411</v>
      </c>
      <c r="J1857" s="223" t="b">
        <f t="shared" si="1"/>
        <v>1</v>
      </c>
      <c r="K1857" s="145" t="s">
        <v>1600</v>
      </c>
      <c r="L1857" s="156"/>
      <c r="M1857" s="134" t="s">
        <v>440</v>
      </c>
      <c r="N1857" s="150">
        <f>if(and(O1857=TRUE,P1857=TRUE), VLOOKUP($E1857,PESSOAL!$B$35:$S$45,MONTH($F1857)+6,false)*G1857*24,0)</f>
        <v>0</v>
      </c>
      <c r="O1857" s="117" t="b">
        <f t="shared" si="7"/>
        <v>1</v>
      </c>
      <c r="P1857" s="117" t="b">
        <v>0</v>
      </c>
      <c r="Q1857" s="117" t="s">
        <v>368</v>
      </c>
    </row>
    <row r="1858" hidden="1">
      <c r="A1858" s="108"/>
      <c r="B1858" s="220"/>
      <c r="C1858" s="220" t="s">
        <v>290</v>
      </c>
      <c r="D1858" s="220" t="str">
        <f>vlookup(M1858,'Página10'!A:B,2,false)</f>
        <v>INOV00001</v>
      </c>
      <c r="E1858" s="134" t="s">
        <v>110</v>
      </c>
      <c r="F1858" s="225">
        <v>45261.0</v>
      </c>
      <c r="G1858" s="222">
        <v>0.08333333333333333</v>
      </c>
      <c r="H1858" s="134" t="s">
        <v>411</v>
      </c>
      <c r="I1858" s="223" t="s">
        <v>411</v>
      </c>
      <c r="J1858" s="223" t="b">
        <f t="shared" si="1"/>
        <v>1</v>
      </c>
      <c r="K1858" s="145" t="s">
        <v>1601</v>
      </c>
      <c r="L1858" s="156"/>
      <c r="M1858" s="134" t="s">
        <v>416</v>
      </c>
      <c r="N1858" s="150">
        <f>if(and(O1858=TRUE,P1858=TRUE), VLOOKUP($E1858,PESSOAL!$B$35:$S$45,MONTH($F1858)+6,false)*G1858*24,0)</f>
        <v>132.2851659</v>
      </c>
      <c r="O1858" s="117" t="b">
        <f t="shared" si="7"/>
        <v>1</v>
      </c>
      <c r="P1858" s="117" t="b">
        <v>1</v>
      </c>
      <c r="Q1858" s="117" t="s">
        <v>368</v>
      </c>
    </row>
    <row r="1859" hidden="1">
      <c r="A1859" s="108"/>
      <c r="B1859" s="220"/>
      <c r="C1859" s="220" t="s">
        <v>52</v>
      </c>
      <c r="D1859" s="220" t="str">
        <f>vlookup(M1859,'Página10'!A:B,2,false)</f>
        <v>INOV00013</v>
      </c>
      <c r="E1859" s="134" t="s">
        <v>110</v>
      </c>
      <c r="F1859" s="225">
        <v>45261.0</v>
      </c>
      <c r="G1859" s="222">
        <v>0.041666666666666664</v>
      </c>
      <c r="H1859" s="134" t="s">
        <v>411</v>
      </c>
      <c r="I1859" s="223" t="s">
        <v>479</v>
      </c>
      <c r="J1859" s="223" t="b">
        <f t="shared" si="1"/>
        <v>0</v>
      </c>
      <c r="K1859" s="145" t="s">
        <v>1602</v>
      </c>
      <c r="L1859" s="156"/>
      <c r="M1859" s="134" t="s">
        <v>426</v>
      </c>
      <c r="N1859" s="150">
        <f>if(and(O1859=TRUE,P1859=TRUE), VLOOKUP($E1859,PESSOAL!$B$35:$S$45,MONTH($F1859)+6,false)*G1859*24,0)</f>
        <v>0</v>
      </c>
      <c r="O1859" s="117" t="b">
        <f t="shared" si="7"/>
        <v>0</v>
      </c>
      <c r="P1859" s="117" t="b">
        <v>1</v>
      </c>
      <c r="Q1859" s="117" t="s">
        <v>368</v>
      </c>
    </row>
    <row r="1860" hidden="1">
      <c r="A1860" s="108"/>
      <c r="B1860" s="220"/>
      <c r="C1860" s="220" t="s">
        <v>290</v>
      </c>
      <c r="D1860" s="220" t="str">
        <f>vlookup(M1860,'Página10'!A:B,2,false)</f>
        <v>INOV00001</v>
      </c>
      <c r="E1860" s="134" t="s">
        <v>110</v>
      </c>
      <c r="F1860" s="225">
        <v>45264.0</v>
      </c>
      <c r="G1860" s="222">
        <v>0.0625</v>
      </c>
      <c r="H1860" s="134" t="s">
        <v>411</v>
      </c>
      <c r="I1860" s="223" t="s">
        <v>411</v>
      </c>
      <c r="J1860" s="223" t="b">
        <f t="shared" si="1"/>
        <v>1</v>
      </c>
      <c r="K1860" s="145" t="s">
        <v>1603</v>
      </c>
      <c r="L1860" s="156"/>
      <c r="M1860" s="134" t="s">
        <v>416</v>
      </c>
      <c r="N1860" s="150">
        <f>if(and(O1860=TRUE,P1860=TRUE), VLOOKUP($E1860,PESSOAL!$B$35:$S$45,MONTH($F1860)+6,false)*G1860*24,0)</f>
        <v>99.2138744</v>
      </c>
      <c r="O1860" s="117" t="b">
        <f t="shared" si="7"/>
        <v>1</v>
      </c>
      <c r="P1860" s="117" t="b">
        <v>1</v>
      </c>
      <c r="Q1860" s="117" t="s">
        <v>368</v>
      </c>
    </row>
    <row r="1861" hidden="1">
      <c r="A1861" s="108"/>
      <c r="B1861" s="220"/>
      <c r="C1861" s="220" t="s">
        <v>290</v>
      </c>
      <c r="D1861" s="220" t="str">
        <f>vlookup(M1861,'Página10'!A:B,2,false)</f>
        <v>INOV00001</v>
      </c>
      <c r="E1861" s="134" t="s">
        <v>110</v>
      </c>
      <c r="F1861" s="225">
        <v>45264.0</v>
      </c>
      <c r="G1861" s="222">
        <v>0.0625</v>
      </c>
      <c r="H1861" s="134" t="s">
        <v>411</v>
      </c>
      <c r="I1861" s="223" t="s">
        <v>479</v>
      </c>
      <c r="J1861" s="223" t="b">
        <f t="shared" si="1"/>
        <v>0</v>
      </c>
      <c r="K1861" s="145" t="s">
        <v>1604</v>
      </c>
      <c r="L1861" s="156"/>
      <c r="M1861" s="134" t="s">
        <v>416</v>
      </c>
      <c r="N1861" s="150">
        <f>if(and(O1861=TRUE,P1861=TRUE), VLOOKUP($E1861,PESSOAL!$B$35:$S$45,MONTH($F1861)+6,false)*G1861*24,0)</f>
        <v>0</v>
      </c>
      <c r="O1861" s="117" t="b">
        <f t="shared" si="7"/>
        <v>0</v>
      </c>
      <c r="P1861" s="117" t="b">
        <v>1</v>
      </c>
      <c r="Q1861" s="117" t="s">
        <v>368</v>
      </c>
    </row>
    <row r="1862" hidden="1">
      <c r="A1862" s="108"/>
      <c r="B1862" s="220"/>
      <c r="C1862" s="220" t="s">
        <v>68</v>
      </c>
      <c r="D1862" s="220" t="str">
        <f>vlookup(M1862,'Página10'!A:B,2,false)</f>
        <v>INOV00040</v>
      </c>
      <c r="E1862" s="134" t="s">
        <v>308</v>
      </c>
      <c r="F1862" s="225">
        <v>45208.0</v>
      </c>
      <c r="G1862" s="222">
        <v>0.041666666666666664</v>
      </c>
      <c r="H1862" s="134" t="s">
        <v>411</v>
      </c>
      <c r="I1862" s="223" t="s">
        <v>475</v>
      </c>
      <c r="J1862" s="223" t="b">
        <f t="shared" si="1"/>
        <v>0</v>
      </c>
      <c r="K1862" s="145" t="s">
        <v>1605</v>
      </c>
      <c r="L1862" s="156"/>
      <c r="M1862" s="134" t="s">
        <v>462</v>
      </c>
      <c r="N1862" s="150">
        <f>if(and(O1862=TRUE,P1862=TRUE), VLOOKUP($E1862,PESSOAL!$B$35:$S$47,MONTH($F1862)+6,false)*G1862*24,0)</f>
        <v>0</v>
      </c>
      <c r="O1862" s="117" t="b">
        <f t="shared" si="7"/>
        <v>1</v>
      </c>
      <c r="P1862" s="117" t="b">
        <v>0</v>
      </c>
      <c r="Q1862" s="117" t="s">
        <v>368</v>
      </c>
    </row>
    <row r="1863" hidden="1">
      <c r="A1863" s="108"/>
      <c r="B1863" s="220"/>
      <c r="C1863" s="220" t="s">
        <v>55</v>
      </c>
      <c r="D1863" s="220" t="str">
        <f>vlookup(M1863,'Página10'!A:B,2,false)</f>
        <v>INOV00017</v>
      </c>
      <c r="E1863" s="134" t="s">
        <v>308</v>
      </c>
      <c r="F1863" s="225">
        <v>45209.0</v>
      </c>
      <c r="G1863" s="222">
        <v>0.125</v>
      </c>
      <c r="H1863" s="134" t="s">
        <v>475</v>
      </c>
      <c r="I1863" s="223" t="s">
        <v>475</v>
      </c>
      <c r="J1863" s="223" t="b">
        <f t="shared" si="1"/>
        <v>1</v>
      </c>
      <c r="K1863" s="145" t="s">
        <v>1606</v>
      </c>
      <c r="L1863" s="156"/>
      <c r="M1863" s="134" t="s">
        <v>429</v>
      </c>
      <c r="N1863" s="150">
        <f>if(and(O1863=TRUE,P1863=TRUE), VLOOKUP($E1863,PESSOAL!$B$35:$S$47,MONTH($F1863)+6,false)*G1863*24,0)</f>
        <v>125.4148878</v>
      </c>
      <c r="O1863" s="117" t="b">
        <f t="shared" si="7"/>
        <v>1</v>
      </c>
      <c r="P1863" s="117" t="b">
        <v>1</v>
      </c>
      <c r="Q1863" s="117" t="s">
        <v>368</v>
      </c>
    </row>
    <row r="1864" hidden="1">
      <c r="A1864" s="108"/>
      <c r="B1864" s="220"/>
      <c r="C1864" s="220" t="s">
        <v>66</v>
      </c>
      <c r="D1864" s="220" t="str">
        <f>vlookup(M1864,'Página10'!A:B,2,false)</f>
        <v>INOV00038</v>
      </c>
      <c r="E1864" s="134" t="s">
        <v>308</v>
      </c>
      <c r="F1864" s="225">
        <v>45210.0</v>
      </c>
      <c r="G1864" s="222">
        <v>0.041666666666666664</v>
      </c>
      <c r="H1864" s="134" t="s">
        <v>475</v>
      </c>
      <c r="I1864" s="223" t="s">
        <v>475</v>
      </c>
      <c r="J1864" s="223" t="b">
        <f t="shared" si="1"/>
        <v>1</v>
      </c>
      <c r="K1864" s="145" t="s">
        <v>517</v>
      </c>
      <c r="L1864" s="156"/>
      <c r="M1864" s="134" t="s">
        <v>460</v>
      </c>
      <c r="N1864" s="150">
        <f>if(and(O1864=TRUE,P1864=TRUE), VLOOKUP($E1864,PESSOAL!$B$35:$S$47,MONTH($F1864)+6,false)*G1864*24,0)</f>
        <v>41.8049626</v>
      </c>
      <c r="O1864" s="117" t="b">
        <f t="shared" si="7"/>
        <v>1</v>
      </c>
      <c r="P1864" s="117" t="b">
        <v>1</v>
      </c>
      <c r="Q1864" s="117" t="s">
        <v>368</v>
      </c>
    </row>
    <row r="1865" hidden="1">
      <c r="A1865" s="108"/>
      <c r="B1865" s="220"/>
      <c r="C1865" s="220" t="s">
        <v>448</v>
      </c>
      <c r="D1865" s="220" t="str">
        <f>vlookup(M1865,'Página10'!A:B,2,false)</f>
        <v>INOV00029</v>
      </c>
      <c r="E1865" s="134" t="s">
        <v>308</v>
      </c>
      <c r="F1865" s="225">
        <v>45212.0</v>
      </c>
      <c r="G1865" s="222">
        <v>0.20833333333333334</v>
      </c>
      <c r="H1865" s="134" t="s">
        <v>475</v>
      </c>
      <c r="I1865" s="223" t="s">
        <v>475</v>
      </c>
      <c r="J1865" s="223" t="b">
        <f t="shared" si="1"/>
        <v>1</v>
      </c>
      <c r="K1865" s="145" t="s">
        <v>1607</v>
      </c>
      <c r="L1865" s="156"/>
      <c r="M1865" s="134" t="s">
        <v>447</v>
      </c>
      <c r="N1865" s="150">
        <f>if(and(O1865=TRUE,P1865=TRUE), VLOOKUP($E1865,PESSOAL!$B$35:$S$47,MONTH($F1865)+6,false)*G1865*24,0)</f>
        <v>0</v>
      </c>
      <c r="O1865" s="117" t="b">
        <f t="shared" si="7"/>
        <v>1</v>
      </c>
      <c r="P1865" s="117" t="b">
        <v>0</v>
      </c>
      <c r="Q1865" s="117" t="s">
        <v>368</v>
      </c>
    </row>
    <row r="1866" hidden="1">
      <c r="A1866" s="108"/>
      <c r="B1866" s="220"/>
      <c r="C1866" s="220" t="s">
        <v>59</v>
      </c>
      <c r="D1866" s="220" t="str">
        <f>vlookup(M1866,'Página10'!A:B,2,false)</f>
        <v>INOV00024</v>
      </c>
      <c r="E1866" s="134" t="s">
        <v>308</v>
      </c>
      <c r="F1866" s="225">
        <v>45213.0</v>
      </c>
      <c r="G1866" s="222">
        <v>0.041666666666666664</v>
      </c>
      <c r="H1866" s="134" t="s">
        <v>475</v>
      </c>
      <c r="I1866" s="223" t="s">
        <v>475</v>
      </c>
      <c r="J1866" s="223" t="b">
        <f t="shared" si="1"/>
        <v>1</v>
      </c>
      <c r="K1866" s="145" t="s">
        <v>517</v>
      </c>
      <c r="L1866" s="156"/>
      <c r="M1866" s="134" t="s">
        <v>439</v>
      </c>
      <c r="N1866" s="150">
        <f>if(and(O1866=TRUE,P1866=TRUE), VLOOKUP($E1866,PESSOAL!$B$35:$S$47,MONTH($F1866)+6,false)*G1866*24,0)</f>
        <v>41.8049626</v>
      </c>
      <c r="O1866" s="117" t="b">
        <f t="shared" si="7"/>
        <v>1</v>
      </c>
      <c r="P1866" s="117" t="b">
        <v>1</v>
      </c>
      <c r="Q1866" s="117" t="s">
        <v>368</v>
      </c>
    </row>
    <row r="1867" hidden="1">
      <c r="A1867" s="108"/>
      <c r="B1867" s="220"/>
      <c r="C1867" s="220" t="s">
        <v>448</v>
      </c>
      <c r="D1867" s="220" t="str">
        <f>vlookup(M1867,'Página10'!A:B,2,false)</f>
        <v>INOV00029</v>
      </c>
      <c r="E1867" s="134" t="s">
        <v>308</v>
      </c>
      <c r="F1867" s="225">
        <v>45222.0</v>
      </c>
      <c r="G1867" s="222">
        <v>0.20833333333333334</v>
      </c>
      <c r="H1867" s="134" t="s">
        <v>411</v>
      </c>
      <c r="I1867" s="223" t="s">
        <v>475</v>
      </c>
      <c r="J1867" s="223" t="b">
        <f t="shared" si="1"/>
        <v>0</v>
      </c>
      <c r="K1867" s="145" t="s">
        <v>1608</v>
      </c>
      <c r="L1867" s="156"/>
      <c r="M1867" s="134" t="s">
        <v>447</v>
      </c>
      <c r="N1867" s="150">
        <f>if(and(O1867=TRUE,P1867=TRUE), VLOOKUP($E1867,PESSOAL!$B$35:$S$47,MONTH($F1867)+6,false)*G1867*24,0)</f>
        <v>0</v>
      </c>
      <c r="O1867" s="117" t="b">
        <f t="shared" si="7"/>
        <v>1</v>
      </c>
      <c r="P1867" s="117" t="b">
        <v>0</v>
      </c>
      <c r="Q1867" s="117" t="s">
        <v>368</v>
      </c>
    </row>
    <row r="1868" hidden="1">
      <c r="A1868" s="108"/>
      <c r="B1868" s="220"/>
      <c r="C1868" s="220" t="s">
        <v>66</v>
      </c>
      <c r="D1868" s="220" t="str">
        <f>vlookup(M1868,'Página10'!A:B,2,false)</f>
        <v>INOV00038</v>
      </c>
      <c r="E1868" s="134" t="s">
        <v>308</v>
      </c>
      <c r="F1868" s="225">
        <v>45223.0</v>
      </c>
      <c r="G1868" s="222">
        <v>0.08333333333333333</v>
      </c>
      <c r="H1868" s="134" t="s">
        <v>475</v>
      </c>
      <c r="I1868" s="223" t="s">
        <v>475</v>
      </c>
      <c r="J1868" s="223" t="b">
        <f t="shared" si="1"/>
        <v>1</v>
      </c>
      <c r="K1868" s="145" t="s">
        <v>962</v>
      </c>
      <c r="L1868" s="156"/>
      <c r="M1868" s="134" t="s">
        <v>460</v>
      </c>
      <c r="N1868" s="150">
        <f>if(and(O1868=TRUE,P1868=TRUE), VLOOKUP($E1868,PESSOAL!$B$35:$S$47,MONTH($F1868)+6,false)*G1868*24,0)</f>
        <v>83.6099252</v>
      </c>
      <c r="O1868" s="117" t="b">
        <f t="shared" si="7"/>
        <v>1</v>
      </c>
      <c r="P1868" s="117" t="b">
        <v>1</v>
      </c>
      <c r="Q1868" s="117" t="s">
        <v>368</v>
      </c>
    </row>
    <row r="1869" hidden="1">
      <c r="A1869" s="108"/>
      <c r="B1869" s="220"/>
      <c r="C1869" s="220" t="s">
        <v>290</v>
      </c>
      <c r="D1869" s="220" t="str">
        <f>vlookup(M1869,'Página10'!A:B,2,false)</f>
        <v>INOV00001</v>
      </c>
      <c r="E1869" s="134" t="s">
        <v>308</v>
      </c>
      <c r="F1869" s="225">
        <v>45200.0</v>
      </c>
      <c r="G1869" s="222">
        <v>0.20833333333333334</v>
      </c>
      <c r="H1869" s="134" t="s">
        <v>475</v>
      </c>
      <c r="I1869" s="223" t="s">
        <v>475</v>
      </c>
      <c r="J1869" s="223" t="b">
        <f t="shared" si="1"/>
        <v>1</v>
      </c>
      <c r="K1869" s="145" t="s">
        <v>518</v>
      </c>
      <c r="L1869" s="156"/>
      <c r="M1869" s="134" t="s">
        <v>416</v>
      </c>
      <c r="N1869" s="150">
        <f>if(and(O1869=TRUE,P1869=TRUE), VLOOKUP($E1869,PESSOAL!$B$35:$S$47,MONTH($F1869)+6,false)*G1869*24,0)</f>
        <v>209.024813</v>
      </c>
      <c r="O1869" s="117" t="b">
        <f t="shared" si="7"/>
        <v>1</v>
      </c>
      <c r="P1869" s="117" t="b">
        <v>1</v>
      </c>
      <c r="Q1869" s="117" t="s">
        <v>368</v>
      </c>
    </row>
    <row r="1870" hidden="1">
      <c r="A1870" s="108"/>
      <c r="B1870" s="220"/>
      <c r="C1870" s="220" t="s">
        <v>290</v>
      </c>
      <c r="D1870" s="220" t="str">
        <f>vlookup(M1870,'Página10'!A:B,2,false)</f>
        <v>INOV00001</v>
      </c>
      <c r="E1870" s="134" t="s">
        <v>308</v>
      </c>
      <c r="F1870" s="225">
        <v>45201.0</v>
      </c>
      <c r="G1870" s="222">
        <v>0.16666666666666666</v>
      </c>
      <c r="H1870" s="134" t="s">
        <v>475</v>
      </c>
      <c r="I1870" s="223" t="s">
        <v>475</v>
      </c>
      <c r="J1870" s="223" t="b">
        <f t="shared" si="1"/>
        <v>1</v>
      </c>
      <c r="K1870" s="145" t="s">
        <v>518</v>
      </c>
      <c r="L1870" s="156"/>
      <c r="M1870" s="134" t="s">
        <v>416</v>
      </c>
      <c r="N1870" s="150">
        <f>if(and(O1870=TRUE,P1870=TRUE), VLOOKUP($E1870,PESSOAL!$B$35:$S$47,MONTH($F1870)+6,false)*G1870*24,0)</f>
        <v>167.2198504</v>
      </c>
      <c r="O1870" s="117" t="b">
        <f t="shared" si="7"/>
        <v>1</v>
      </c>
      <c r="P1870" s="117" t="b">
        <v>1</v>
      </c>
      <c r="Q1870" s="117" t="s">
        <v>368</v>
      </c>
    </row>
    <row r="1871" hidden="1">
      <c r="A1871" s="108"/>
      <c r="B1871" s="220"/>
      <c r="C1871" s="220" t="s">
        <v>290</v>
      </c>
      <c r="D1871" s="220" t="str">
        <f>vlookup(M1871,'Página10'!A:B,2,false)</f>
        <v>INOV00001</v>
      </c>
      <c r="E1871" s="134" t="s">
        <v>308</v>
      </c>
      <c r="F1871" s="225">
        <v>45202.0</v>
      </c>
      <c r="G1871" s="222">
        <v>0.16666666666666666</v>
      </c>
      <c r="H1871" s="134" t="s">
        <v>475</v>
      </c>
      <c r="I1871" s="223" t="s">
        <v>475</v>
      </c>
      <c r="J1871" s="223" t="b">
        <f t="shared" si="1"/>
        <v>1</v>
      </c>
      <c r="K1871" s="145" t="s">
        <v>518</v>
      </c>
      <c r="L1871" s="156"/>
      <c r="M1871" s="134" t="s">
        <v>416</v>
      </c>
      <c r="N1871" s="150">
        <f>if(and(O1871=TRUE,P1871=TRUE), VLOOKUP($E1871,PESSOAL!$B$35:$S$47,MONTH($F1871)+6,false)*G1871*24,0)</f>
        <v>167.2198504</v>
      </c>
      <c r="O1871" s="117" t="b">
        <f t="shared" si="7"/>
        <v>1</v>
      </c>
      <c r="P1871" s="117" t="b">
        <v>1</v>
      </c>
      <c r="Q1871" s="117" t="s">
        <v>368</v>
      </c>
    </row>
    <row r="1872" hidden="1">
      <c r="A1872" s="108"/>
      <c r="B1872" s="220"/>
      <c r="C1872" s="220" t="s">
        <v>62</v>
      </c>
      <c r="D1872" s="220" t="str">
        <f>vlookup(M1872,'Página10'!A:B,2,false)</f>
        <v>INOV00034</v>
      </c>
      <c r="E1872" s="134" t="s">
        <v>308</v>
      </c>
      <c r="F1872" s="225">
        <v>45203.0</v>
      </c>
      <c r="G1872" s="222">
        <v>0.041666666666666664</v>
      </c>
      <c r="H1872" s="134" t="s">
        <v>475</v>
      </c>
      <c r="I1872" s="223" t="s">
        <v>475</v>
      </c>
      <c r="J1872" s="223" t="b">
        <f t="shared" si="1"/>
        <v>1</v>
      </c>
      <c r="K1872" s="145" t="s">
        <v>1609</v>
      </c>
      <c r="L1872" s="156"/>
      <c r="M1872" s="134" t="s">
        <v>456</v>
      </c>
      <c r="N1872" s="150">
        <f>if(and(O1872=TRUE,P1872=TRUE), VLOOKUP($E1872,PESSOAL!$B$35:$S$47,MONTH($F1872)+6,false)*G1872*24,0)</f>
        <v>41.8049626</v>
      </c>
      <c r="O1872" s="117" t="b">
        <f t="shared" si="7"/>
        <v>1</v>
      </c>
      <c r="P1872" s="117" t="b">
        <v>1</v>
      </c>
      <c r="Q1872" s="117" t="s">
        <v>368</v>
      </c>
    </row>
    <row r="1873" hidden="1">
      <c r="A1873" s="108"/>
      <c r="B1873" s="220"/>
      <c r="C1873" s="220" t="s">
        <v>465</v>
      </c>
      <c r="D1873" s="220" t="str">
        <f>vlookup(M1873,'Página10'!A:B,2,false)</f>
        <v>INOV00042</v>
      </c>
      <c r="E1873" s="134" t="s">
        <v>308</v>
      </c>
      <c r="F1873" s="225">
        <v>45203.0</v>
      </c>
      <c r="G1873" s="222">
        <v>0.08333333333333333</v>
      </c>
      <c r="H1873" s="134" t="s">
        <v>475</v>
      </c>
      <c r="I1873" s="223" t="s">
        <v>475</v>
      </c>
      <c r="J1873" s="223" t="b">
        <f t="shared" si="1"/>
        <v>1</v>
      </c>
      <c r="K1873" s="145" t="s">
        <v>1610</v>
      </c>
      <c r="L1873" s="156"/>
      <c r="M1873" s="134" t="s">
        <v>464</v>
      </c>
      <c r="N1873" s="150">
        <f>if(and(O1873=TRUE,P1873=TRUE), VLOOKUP($E1873,PESSOAL!$B$35:$S$47,MONTH($F1873)+6,false)*G1873*24,0)</f>
        <v>0</v>
      </c>
      <c r="O1873" s="117" t="b">
        <f t="shared" si="7"/>
        <v>1</v>
      </c>
      <c r="P1873" s="117" t="b">
        <v>0</v>
      </c>
      <c r="Q1873" s="117" t="s">
        <v>368</v>
      </c>
    </row>
    <row r="1874" hidden="1">
      <c r="A1874" s="108"/>
      <c r="B1874" s="220"/>
      <c r="C1874" s="220" t="s">
        <v>59</v>
      </c>
      <c r="D1874" s="220" t="str">
        <f>vlookup(M1874,'Página10'!A:B,2,false)</f>
        <v>INOV00024</v>
      </c>
      <c r="E1874" s="134" t="s">
        <v>308</v>
      </c>
      <c r="F1874" s="225">
        <v>45212.0</v>
      </c>
      <c r="G1874" s="222">
        <v>0.04861111111111111</v>
      </c>
      <c r="H1874" s="134" t="s">
        <v>475</v>
      </c>
      <c r="I1874" s="223" t="s">
        <v>475</v>
      </c>
      <c r="J1874" s="223" t="b">
        <f t="shared" si="1"/>
        <v>1</v>
      </c>
      <c r="K1874" s="145" t="s">
        <v>1611</v>
      </c>
      <c r="L1874" s="156"/>
      <c r="M1874" s="134" t="s">
        <v>439</v>
      </c>
      <c r="N1874" s="150">
        <f>if(and(O1874=TRUE,P1874=TRUE), VLOOKUP($E1874,PESSOAL!$B$35:$S$47,MONTH($F1874)+6,false)*G1874*24,0)</f>
        <v>48.77245637</v>
      </c>
      <c r="O1874" s="117" t="b">
        <f t="shared" si="7"/>
        <v>1</v>
      </c>
      <c r="P1874" s="117" t="b">
        <v>1</v>
      </c>
      <c r="Q1874" s="117" t="s">
        <v>368</v>
      </c>
    </row>
    <row r="1875" hidden="1">
      <c r="A1875" s="108"/>
      <c r="B1875" s="220"/>
      <c r="C1875" s="220" t="s">
        <v>433</v>
      </c>
      <c r="D1875" s="220" t="str">
        <f>vlookup(M1875,'Página10'!A:B,2,false)</f>
        <v>INOV00019</v>
      </c>
      <c r="E1875" s="134" t="s">
        <v>308</v>
      </c>
      <c r="F1875" s="225">
        <v>45211.0</v>
      </c>
      <c r="G1875" s="222">
        <v>0.125</v>
      </c>
      <c r="H1875" s="134" t="s">
        <v>475</v>
      </c>
      <c r="I1875" s="223" t="s">
        <v>475</v>
      </c>
      <c r="J1875" s="223" t="b">
        <f t="shared" si="1"/>
        <v>1</v>
      </c>
      <c r="K1875" s="145" t="s">
        <v>1612</v>
      </c>
      <c r="L1875" s="156"/>
      <c r="M1875" s="134" t="s">
        <v>432</v>
      </c>
      <c r="N1875" s="150">
        <f>if(and(O1875=TRUE,P1875=TRUE), VLOOKUP($E1875,PESSOAL!$B$35:$S$47,MONTH($F1875)+6,false)*G1875*24,0)</f>
        <v>0</v>
      </c>
      <c r="O1875" s="117" t="b">
        <f t="shared" si="7"/>
        <v>1</v>
      </c>
      <c r="P1875" s="117" t="b">
        <v>0</v>
      </c>
      <c r="Q1875" s="117" t="s">
        <v>368</v>
      </c>
    </row>
    <row r="1876" hidden="1">
      <c r="A1876" s="108"/>
      <c r="B1876" s="220"/>
      <c r="C1876" s="220" t="s">
        <v>290</v>
      </c>
      <c r="D1876" s="220" t="str">
        <f>vlookup(M1876,'Página10'!A:B,2,false)</f>
        <v>INOV00001</v>
      </c>
      <c r="E1876" s="134" t="s">
        <v>308</v>
      </c>
      <c r="F1876" s="225">
        <v>45218.0</v>
      </c>
      <c r="G1876" s="222">
        <v>0.0625</v>
      </c>
      <c r="H1876" s="134" t="s">
        <v>475</v>
      </c>
      <c r="I1876" s="223" t="s">
        <v>475</v>
      </c>
      <c r="J1876" s="223" t="b">
        <f t="shared" si="1"/>
        <v>1</v>
      </c>
      <c r="K1876" s="145" t="s">
        <v>1613</v>
      </c>
      <c r="L1876" s="156"/>
      <c r="M1876" s="134" t="s">
        <v>416</v>
      </c>
      <c r="N1876" s="150">
        <f>if(and(O1876=TRUE,P1876=TRUE), VLOOKUP($E1876,PESSOAL!$B$35:$S$47,MONTH($F1876)+6,false)*G1876*24,0)</f>
        <v>62.7074439</v>
      </c>
      <c r="O1876" s="117" t="b">
        <f t="shared" si="7"/>
        <v>1</v>
      </c>
      <c r="P1876" s="117" t="b">
        <v>1</v>
      </c>
      <c r="Q1876" s="117" t="s">
        <v>368</v>
      </c>
    </row>
    <row r="1877" hidden="1">
      <c r="A1877" s="108"/>
      <c r="B1877" s="220"/>
      <c r="C1877" s="220" t="s">
        <v>290</v>
      </c>
      <c r="D1877" s="220" t="str">
        <f>vlookup(M1877,'Página10'!A:B,2,false)</f>
        <v>INOV00001</v>
      </c>
      <c r="E1877" s="134" t="s">
        <v>308</v>
      </c>
      <c r="F1877" s="225">
        <v>45229.0</v>
      </c>
      <c r="G1877" s="222">
        <v>0.3958333333333333</v>
      </c>
      <c r="H1877" s="134" t="s">
        <v>475</v>
      </c>
      <c r="I1877" s="223" t="s">
        <v>475</v>
      </c>
      <c r="J1877" s="223" t="b">
        <f t="shared" si="1"/>
        <v>1</v>
      </c>
      <c r="K1877" s="145" t="s">
        <v>1614</v>
      </c>
      <c r="L1877" s="156"/>
      <c r="M1877" s="134" t="s">
        <v>416</v>
      </c>
      <c r="N1877" s="150">
        <f>if(and(O1877=TRUE,P1877=TRUE), VLOOKUP($E1877,PESSOAL!$B$35:$S$47,MONTH($F1877)+6,false)*G1877*24,0)</f>
        <v>397.1471447</v>
      </c>
      <c r="O1877" s="117" t="b">
        <f t="shared" si="7"/>
        <v>1</v>
      </c>
      <c r="P1877" s="117" t="b">
        <v>1</v>
      </c>
      <c r="Q1877" s="117" t="s">
        <v>368</v>
      </c>
    </row>
    <row r="1878" hidden="1">
      <c r="A1878" s="108"/>
      <c r="B1878" s="220"/>
      <c r="C1878" s="220" t="s">
        <v>59</v>
      </c>
      <c r="D1878" s="220" t="str">
        <f>vlookup(M1878,'Página10'!A:B,2,false)</f>
        <v>INOV00024</v>
      </c>
      <c r="E1878" s="134" t="s">
        <v>308</v>
      </c>
      <c r="F1878" s="225">
        <v>45229.0</v>
      </c>
      <c r="G1878" s="222">
        <v>0.0625</v>
      </c>
      <c r="H1878" s="134" t="s">
        <v>475</v>
      </c>
      <c r="I1878" s="223" t="s">
        <v>475</v>
      </c>
      <c r="J1878" s="223" t="b">
        <f t="shared" si="1"/>
        <v>1</v>
      </c>
      <c r="K1878" s="145" t="s">
        <v>1614</v>
      </c>
      <c r="L1878" s="156"/>
      <c r="M1878" s="134" t="s">
        <v>439</v>
      </c>
      <c r="N1878" s="150">
        <f>if(and(O1878=TRUE,P1878=TRUE), VLOOKUP($E1878,PESSOAL!$B$35:$S$47,MONTH($F1878)+6,false)*G1878*24,0)</f>
        <v>62.7074439</v>
      </c>
      <c r="O1878" s="117" t="b">
        <f t="shared" si="7"/>
        <v>1</v>
      </c>
      <c r="P1878" s="117" t="b">
        <v>1</v>
      </c>
      <c r="Q1878" s="117" t="s">
        <v>368</v>
      </c>
    </row>
    <row r="1879" hidden="1">
      <c r="A1879" s="108"/>
      <c r="B1879" s="220"/>
      <c r="C1879" s="220" t="s">
        <v>290</v>
      </c>
      <c r="D1879" s="220" t="str">
        <f>vlookup(M1879,'Página10'!A:B,2,false)</f>
        <v>INOV00001</v>
      </c>
      <c r="E1879" s="134" t="s">
        <v>308</v>
      </c>
      <c r="F1879" s="225">
        <v>45230.0</v>
      </c>
      <c r="G1879" s="222">
        <v>0.3958333333333333</v>
      </c>
      <c r="H1879" s="134" t="s">
        <v>475</v>
      </c>
      <c r="I1879" s="223" t="s">
        <v>475</v>
      </c>
      <c r="J1879" s="223" t="b">
        <f t="shared" si="1"/>
        <v>1</v>
      </c>
      <c r="K1879" s="145" t="s">
        <v>1614</v>
      </c>
      <c r="L1879" s="156"/>
      <c r="M1879" s="134" t="s">
        <v>416</v>
      </c>
      <c r="N1879" s="150">
        <f>if(and(O1879=TRUE,P1879=TRUE), VLOOKUP($E1879,PESSOAL!$B$35:$S$47,MONTH($F1879)+6,false)*G1879*24,0)</f>
        <v>397.1471447</v>
      </c>
      <c r="O1879" s="117" t="b">
        <f t="shared" si="7"/>
        <v>1</v>
      </c>
      <c r="P1879" s="117" t="b">
        <v>1</v>
      </c>
      <c r="Q1879" s="117" t="s">
        <v>368</v>
      </c>
    </row>
    <row r="1880" hidden="1">
      <c r="A1880" s="108"/>
      <c r="B1880" s="220"/>
      <c r="C1880" s="220" t="s">
        <v>59</v>
      </c>
      <c r="D1880" s="220" t="str">
        <f>vlookup(M1880,'Página10'!A:B,2,false)</f>
        <v>INOV00024</v>
      </c>
      <c r="E1880" s="134" t="s">
        <v>308</v>
      </c>
      <c r="F1880" s="225">
        <v>45230.0</v>
      </c>
      <c r="G1880" s="222">
        <v>0.08333333333333333</v>
      </c>
      <c r="H1880" s="134" t="s">
        <v>475</v>
      </c>
      <c r="I1880" s="223" t="s">
        <v>475</v>
      </c>
      <c r="J1880" s="223" t="b">
        <f t="shared" si="1"/>
        <v>1</v>
      </c>
      <c r="K1880" s="145" t="s">
        <v>1614</v>
      </c>
      <c r="L1880" s="156"/>
      <c r="M1880" s="134" t="s">
        <v>439</v>
      </c>
      <c r="N1880" s="150">
        <f>if(and(O1880=TRUE,P1880=TRUE), VLOOKUP($E1880,PESSOAL!$B$35:$S$47,MONTH($F1880)+6,false)*G1880*24,0)</f>
        <v>83.6099252</v>
      </c>
      <c r="O1880" s="117" t="b">
        <f t="shared" si="7"/>
        <v>1</v>
      </c>
      <c r="P1880" s="117" t="b">
        <v>1</v>
      </c>
      <c r="Q1880" s="117" t="s">
        <v>368</v>
      </c>
    </row>
    <row r="1881" hidden="1">
      <c r="A1881" s="108"/>
      <c r="B1881" s="220"/>
      <c r="C1881" s="220" t="s">
        <v>435</v>
      </c>
      <c r="D1881" s="220" t="str">
        <f>vlookup(M1881,'Página10'!A:B,2,false)</f>
        <v>INOV00020</v>
      </c>
      <c r="E1881" s="134" t="s">
        <v>308</v>
      </c>
      <c r="F1881" s="225">
        <v>45254.0</v>
      </c>
      <c r="G1881" s="222">
        <v>0.20833333333333334</v>
      </c>
      <c r="H1881" s="134" t="s">
        <v>475</v>
      </c>
      <c r="I1881" s="223" t="s">
        <v>475</v>
      </c>
      <c r="J1881" s="223" t="b">
        <f t="shared" si="1"/>
        <v>1</v>
      </c>
      <c r="K1881" s="145" t="s">
        <v>1615</v>
      </c>
      <c r="L1881" s="156"/>
      <c r="M1881" s="134" t="s">
        <v>434</v>
      </c>
      <c r="N1881" s="150">
        <f>if(and(O1881=TRUE,P1881=TRUE), VLOOKUP($E1881,PESSOAL!$B$35:$S$47,MONTH($F1881)+6,false)*G1881*24,0)</f>
        <v>0</v>
      </c>
      <c r="O1881" s="117" t="b">
        <f t="shared" si="7"/>
        <v>1</v>
      </c>
      <c r="P1881" s="117" t="b">
        <v>0</v>
      </c>
      <c r="Q1881" s="117" t="s">
        <v>368</v>
      </c>
    </row>
    <row r="1882" hidden="1">
      <c r="A1882" s="108"/>
      <c r="B1882" s="220"/>
      <c r="C1882" s="220" t="s">
        <v>290</v>
      </c>
      <c r="D1882" s="220" t="str">
        <f>vlookup(M1882,'Página10'!A:B,2,false)</f>
        <v>INOV00001</v>
      </c>
      <c r="E1882" s="134" t="s">
        <v>308</v>
      </c>
      <c r="F1882" s="225">
        <v>45233.0</v>
      </c>
      <c r="G1882" s="222">
        <v>0.16666666666666666</v>
      </c>
      <c r="H1882" s="134" t="s">
        <v>475</v>
      </c>
      <c r="I1882" s="223" t="s">
        <v>475</v>
      </c>
      <c r="J1882" s="223" t="b">
        <f t="shared" si="1"/>
        <v>1</v>
      </c>
      <c r="K1882" s="145" t="s">
        <v>1616</v>
      </c>
      <c r="L1882" s="156"/>
      <c r="M1882" s="134" t="s">
        <v>416</v>
      </c>
      <c r="N1882" s="150">
        <f>if(and(O1882=TRUE,P1882=TRUE), VLOOKUP($E1882,PESSOAL!$B$35:$S$47,MONTH($F1882)+6,false)*G1882*24,0)</f>
        <v>175.5808429</v>
      </c>
      <c r="O1882" s="117" t="b">
        <f t="shared" si="7"/>
        <v>1</v>
      </c>
      <c r="P1882" s="117" t="b">
        <v>1</v>
      </c>
      <c r="Q1882" s="117" t="s">
        <v>368</v>
      </c>
    </row>
    <row r="1883" hidden="1">
      <c r="A1883" s="108"/>
      <c r="B1883" s="220"/>
      <c r="C1883" s="220" t="s">
        <v>59</v>
      </c>
      <c r="D1883" s="220" t="str">
        <f>vlookup(M1883,'Página10'!A:B,2,false)</f>
        <v>INOV00024</v>
      </c>
      <c r="E1883" s="134" t="s">
        <v>308</v>
      </c>
      <c r="F1883" s="225">
        <v>45236.0</v>
      </c>
      <c r="G1883" s="222">
        <v>0.20833333333333334</v>
      </c>
      <c r="H1883" s="134" t="s">
        <v>475</v>
      </c>
      <c r="I1883" s="223" t="s">
        <v>475</v>
      </c>
      <c r="J1883" s="223" t="b">
        <f t="shared" si="1"/>
        <v>1</v>
      </c>
      <c r="K1883" s="145" t="s">
        <v>1617</v>
      </c>
      <c r="L1883" s="156"/>
      <c r="M1883" s="134" t="s">
        <v>439</v>
      </c>
      <c r="N1883" s="150">
        <f>if(and(O1883=TRUE,P1883=TRUE), VLOOKUP($E1883,PESSOAL!$B$35:$S$47,MONTH($F1883)+6,false)*G1883*24,0)</f>
        <v>219.4760536</v>
      </c>
      <c r="O1883" s="117" t="b">
        <f t="shared" si="7"/>
        <v>1</v>
      </c>
      <c r="P1883" s="117" t="b">
        <v>1</v>
      </c>
      <c r="Q1883" s="117" t="s">
        <v>368</v>
      </c>
    </row>
    <row r="1884" hidden="1">
      <c r="A1884" s="108"/>
      <c r="B1884" s="220"/>
      <c r="C1884" s="220" t="s">
        <v>441</v>
      </c>
      <c r="D1884" s="220" t="str">
        <f>vlookup(M1884,'Página10'!A:B,2,false)</f>
        <v>INOV00025</v>
      </c>
      <c r="E1884" s="134" t="s">
        <v>308</v>
      </c>
      <c r="F1884" s="225">
        <v>45237.0</v>
      </c>
      <c r="G1884" s="222">
        <v>0.3333333333333333</v>
      </c>
      <c r="H1884" s="134" t="s">
        <v>475</v>
      </c>
      <c r="I1884" s="223" t="s">
        <v>475</v>
      </c>
      <c r="J1884" s="223" t="b">
        <f t="shared" si="1"/>
        <v>1</v>
      </c>
      <c r="K1884" s="145" t="s">
        <v>1612</v>
      </c>
      <c r="L1884" s="156"/>
      <c r="M1884" s="134" t="s">
        <v>440</v>
      </c>
      <c r="N1884" s="150">
        <f>if(and(O1884=TRUE,P1884=TRUE), VLOOKUP($E1884,PESSOAL!$B$35:$S$47,MONTH($F1884)+6,false)*G1884*24,0)</f>
        <v>0</v>
      </c>
      <c r="O1884" s="117" t="b">
        <f t="shared" si="7"/>
        <v>1</v>
      </c>
      <c r="P1884" s="117" t="b">
        <v>0</v>
      </c>
      <c r="Q1884" s="117" t="s">
        <v>368</v>
      </c>
    </row>
    <row r="1885" hidden="1">
      <c r="A1885" s="108"/>
      <c r="B1885" s="220"/>
      <c r="C1885" s="220" t="s">
        <v>290</v>
      </c>
      <c r="D1885" s="220" t="str">
        <f>vlookup(M1885,'Página10'!A:B,2,false)</f>
        <v>INOV00001</v>
      </c>
      <c r="E1885" s="134" t="s">
        <v>308</v>
      </c>
      <c r="F1885" s="225">
        <v>45240.0</v>
      </c>
      <c r="G1885" s="222">
        <v>0.041666666666666664</v>
      </c>
      <c r="H1885" s="134" t="s">
        <v>475</v>
      </c>
      <c r="I1885" s="223" t="s">
        <v>475</v>
      </c>
      <c r="J1885" s="223" t="b">
        <f t="shared" si="1"/>
        <v>1</v>
      </c>
      <c r="K1885" s="145" t="s">
        <v>1618</v>
      </c>
      <c r="L1885" s="156"/>
      <c r="M1885" s="134" t="s">
        <v>416</v>
      </c>
      <c r="N1885" s="150">
        <f>if(and(O1885=TRUE,P1885=TRUE), VLOOKUP($E1885,PESSOAL!$B$35:$S$47,MONTH($F1885)+6,false)*G1885*24,0)</f>
        <v>43.89521073</v>
      </c>
      <c r="O1885" s="117" t="b">
        <f t="shared" si="7"/>
        <v>1</v>
      </c>
      <c r="P1885" s="117" t="b">
        <v>1</v>
      </c>
      <c r="Q1885" s="117" t="s">
        <v>368</v>
      </c>
    </row>
    <row r="1886" hidden="1">
      <c r="A1886" s="108"/>
      <c r="B1886" s="220"/>
      <c r="C1886" s="220" t="s">
        <v>290</v>
      </c>
      <c r="D1886" s="220" t="str">
        <f>vlookup(M1886,'Página10'!A:B,2,false)</f>
        <v>INOV00001</v>
      </c>
      <c r="E1886" s="134" t="s">
        <v>308</v>
      </c>
      <c r="F1886" s="225">
        <v>45244.0</v>
      </c>
      <c r="G1886" s="222">
        <v>0.0625</v>
      </c>
      <c r="H1886" s="134" t="s">
        <v>475</v>
      </c>
      <c r="I1886" s="223" t="s">
        <v>475</v>
      </c>
      <c r="J1886" s="223" t="b">
        <f t="shared" si="1"/>
        <v>1</v>
      </c>
      <c r="K1886" s="145" t="s">
        <v>1618</v>
      </c>
      <c r="L1886" s="156"/>
      <c r="M1886" s="134" t="s">
        <v>416</v>
      </c>
      <c r="N1886" s="150">
        <f>if(and(O1886=TRUE,P1886=TRUE), VLOOKUP($E1886,PESSOAL!$B$35:$S$47,MONTH($F1886)+6,false)*G1886*24,0)</f>
        <v>65.84281609</v>
      </c>
      <c r="O1886" s="117" t="b">
        <f t="shared" si="7"/>
        <v>1</v>
      </c>
      <c r="P1886" s="117" t="b">
        <v>1</v>
      </c>
      <c r="Q1886" s="117" t="s">
        <v>368</v>
      </c>
    </row>
    <row r="1887" hidden="1">
      <c r="A1887" s="108"/>
      <c r="B1887" s="220"/>
      <c r="C1887" s="220" t="s">
        <v>446</v>
      </c>
      <c r="D1887" s="220" t="str">
        <f>vlookup(M1887,'Página10'!A:B,2,false)</f>
        <v>INOV00028</v>
      </c>
      <c r="E1887" s="134" t="s">
        <v>308</v>
      </c>
      <c r="F1887" s="225">
        <v>45245.0</v>
      </c>
      <c r="G1887" s="222">
        <v>0.3333333333333333</v>
      </c>
      <c r="H1887" s="134" t="s">
        <v>475</v>
      </c>
      <c r="I1887" s="223" t="s">
        <v>475</v>
      </c>
      <c r="J1887" s="223" t="b">
        <f t="shared" si="1"/>
        <v>1</v>
      </c>
      <c r="K1887" s="145" t="s">
        <v>1619</v>
      </c>
      <c r="L1887" s="156"/>
      <c r="M1887" s="134" t="s">
        <v>445</v>
      </c>
      <c r="N1887" s="150">
        <f>if(and(O1887=TRUE,P1887=TRUE), VLOOKUP($E1887,PESSOAL!$B$35:$S$47,MONTH($F1887)+6,false)*G1887*24,0)</f>
        <v>0</v>
      </c>
      <c r="O1887" s="117" t="b">
        <f t="shared" si="7"/>
        <v>1</v>
      </c>
      <c r="P1887" s="117" t="b">
        <v>0</v>
      </c>
      <c r="Q1887" s="117" t="s">
        <v>368</v>
      </c>
    </row>
    <row r="1888" hidden="1">
      <c r="A1888" s="108"/>
      <c r="B1888" s="220"/>
      <c r="C1888" s="220" t="s">
        <v>290</v>
      </c>
      <c r="D1888" s="220" t="str">
        <f>vlookup(M1888,'Página10'!A:B,2,false)</f>
        <v>INOV00001</v>
      </c>
      <c r="E1888" s="134" t="s">
        <v>308</v>
      </c>
      <c r="F1888" s="225">
        <v>45246.0</v>
      </c>
      <c r="G1888" s="222">
        <v>0.125</v>
      </c>
      <c r="H1888" s="134" t="s">
        <v>475</v>
      </c>
      <c r="I1888" s="223" t="s">
        <v>475</v>
      </c>
      <c r="J1888" s="223" t="b">
        <f t="shared" si="1"/>
        <v>1</v>
      </c>
      <c r="K1888" s="145" t="s">
        <v>1618</v>
      </c>
      <c r="L1888" s="156"/>
      <c r="M1888" s="134" t="s">
        <v>416</v>
      </c>
      <c r="N1888" s="150">
        <f>if(and(O1888=TRUE,P1888=TRUE), VLOOKUP($E1888,PESSOAL!$B$35:$S$47,MONTH($F1888)+6,false)*G1888*24,0)</f>
        <v>131.6856322</v>
      </c>
      <c r="O1888" s="117" t="b">
        <f t="shared" si="7"/>
        <v>1</v>
      </c>
      <c r="P1888" s="117" t="b">
        <v>1</v>
      </c>
      <c r="Q1888" s="117" t="s">
        <v>368</v>
      </c>
    </row>
    <row r="1889" hidden="1">
      <c r="A1889" s="108"/>
      <c r="B1889" s="220"/>
      <c r="C1889" s="220" t="s">
        <v>290</v>
      </c>
      <c r="D1889" s="220" t="str">
        <f>vlookup(M1889,'Página10'!A:B,2,false)</f>
        <v>INOV00001</v>
      </c>
      <c r="E1889" s="134" t="s">
        <v>308</v>
      </c>
      <c r="F1889" s="225">
        <v>45247.0</v>
      </c>
      <c r="G1889" s="222">
        <v>0.08333333333333333</v>
      </c>
      <c r="H1889" s="134" t="s">
        <v>475</v>
      </c>
      <c r="I1889" s="223" t="s">
        <v>475</v>
      </c>
      <c r="J1889" s="223" t="b">
        <f t="shared" si="1"/>
        <v>1</v>
      </c>
      <c r="K1889" s="145" t="s">
        <v>1618</v>
      </c>
      <c r="L1889" s="156"/>
      <c r="M1889" s="134" t="s">
        <v>416</v>
      </c>
      <c r="N1889" s="150">
        <f>if(and(O1889=TRUE,P1889=TRUE), VLOOKUP($E1889,PESSOAL!$B$35:$S$47,MONTH($F1889)+6,false)*G1889*24,0)</f>
        <v>87.79042146</v>
      </c>
      <c r="O1889" s="117" t="b">
        <f t="shared" si="7"/>
        <v>1</v>
      </c>
      <c r="P1889" s="117" t="b">
        <v>1</v>
      </c>
      <c r="Q1889" s="117" t="s">
        <v>368</v>
      </c>
    </row>
    <row r="1890" hidden="1">
      <c r="A1890" s="108"/>
      <c r="B1890" s="220"/>
      <c r="C1890" s="220" t="s">
        <v>62</v>
      </c>
      <c r="D1890" s="220" t="str">
        <f>vlookup(M1890,'Página10'!A:B,2,false)</f>
        <v>INOV00034</v>
      </c>
      <c r="E1890" s="134" t="s">
        <v>308</v>
      </c>
      <c r="F1890" s="225">
        <v>45247.0</v>
      </c>
      <c r="G1890" s="222">
        <v>0.041666666666666664</v>
      </c>
      <c r="H1890" s="134" t="s">
        <v>475</v>
      </c>
      <c r="I1890" s="223" t="s">
        <v>475</v>
      </c>
      <c r="J1890" s="223" t="b">
        <f t="shared" si="1"/>
        <v>1</v>
      </c>
      <c r="K1890" s="145" t="s">
        <v>1609</v>
      </c>
      <c r="L1890" s="156"/>
      <c r="M1890" s="134" t="s">
        <v>456</v>
      </c>
      <c r="N1890" s="150">
        <f>if(and(O1890=TRUE,P1890=TRUE), VLOOKUP($E1890,PESSOAL!$B$35:$S$47,MONTH($F1890)+6,false)*G1890*24,0)</f>
        <v>43.89521073</v>
      </c>
      <c r="O1890" s="117" t="b">
        <f t="shared" si="7"/>
        <v>1</v>
      </c>
      <c r="P1890" s="117" t="b">
        <v>1</v>
      </c>
      <c r="Q1890" s="117" t="s">
        <v>368</v>
      </c>
    </row>
    <row r="1891" hidden="1">
      <c r="A1891" s="108"/>
      <c r="B1891" s="220"/>
      <c r="C1891" s="220" t="s">
        <v>50</v>
      </c>
      <c r="D1891" s="220" t="str">
        <f>vlookup(M1891,'Página10'!A:B,2,false)</f>
        <v>INOV00006</v>
      </c>
      <c r="E1891" s="134" t="s">
        <v>308</v>
      </c>
      <c r="F1891" s="225">
        <v>45250.0</v>
      </c>
      <c r="G1891" s="222">
        <v>0.3333333333333333</v>
      </c>
      <c r="H1891" s="134" t="s">
        <v>475</v>
      </c>
      <c r="I1891" s="223" t="s">
        <v>475</v>
      </c>
      <c r="J1891" s="223" t="b">
        <f t="shared" si="1"/>
        <v>1</v>
      </c>
      <c r="K1891" s="145" t="s">
        <v>518</v>
      </c>
      <c r="L1891" s="156"/>
      <c r="M1891" s="134" t="s">
        <v>422</v>
      </c>
      <c r="N1891" s="150">
        <f>if(and(O1891=TRUE,P1891=TRUE), VLOOKUP($E1891,PESSOAL!$B$35:$S$47,MONTH($F1891)+6,false)*G1891*24,0)</f>
        <v>351.1616858</v>
      </c>
      <c r="O1891" s="117" t="b">
        <f t="shared" si="7"/>
        <v>1</v>
      </c>
      <c r="P1891" s="117" t="b">
        <v>1</v>
      </c>
      <c r="Q1891" s="117" t="s">
        <v>368</v>
      </c>
    </row>
    <row r="1892" hidden="1">
      <c r="A1892" s="108"/>
      <c r="B1892" s="220"/>
      <c r="C1892" s="220" t="s">
        <v>50</v>
      </c>
      <c r="D1892" s="220" t="str">
        <f>vlookup(M1892,'Página10'!A:B,2,false)</f>
        <v>INOV00006</v>
      </c>
      <c r="E1892" s="134" t="s">
        <v>308</v>
      </c>
      <c r="F1892" s="225">
        <v>45255.0</v>
      </c>
      <c r="G1892" s="222">
        <v>0.3333333333333333</v>
      </c>
      <c r="H1892" s="134" t="s">
        <v>475</v>
      </c>
      <c r="I1892" s="223" t="s">
        <v>475</v>
      </c>
      <c r="J1892" s="223" t="b">
        <f t="shared" si="1"/>
        <v>1</v>
      </c>
      <c r="K1892" s="145" t="s">
        <v>518</v>
      </c>
      <c r="L1892" s="156"/>
      <c r="M1892" s="134" t="s">
        <v>422</v>
      </c>
      <c r="N1892" s="150">
        <f>if(and(O1892=TRUE,P1892=TRUE), VLOOKUP($E1892,PESSOAL!$B$35:$S$47,MONTH($F1892)+6,false)*G1892*24,0)</f>
        <v>351.1616858</v>
      </c>
      <c r="O1892" s="117" t="b">
        <f t="shared" si="7"/>
        <v>1</v>
      </c>
      <c r="P1892" s="117" t="b">
        <v>1</v>
      </c>
      <c r="Q1892" s="117" t="s">
        <v>368</v>
      </c>
    </row>
    <row r="1893" hidden="1">
      <c r="A1893" s="108"/>
      <c r="B1893" s="220"/>
      <c r="C1893" s="220" t="s">
        <v>50</v>
      </c>
      <c r="D1893" s="220" t="str">
        <f>vlookup(M1893,'Página10'!A:B,2,false)</f>
        <v>INOV00006</v>
      </c>
      <c r="E1893" s="134" t="s">
        <v>308</v>
      </c>
      <c r="F1893" s="225">
        <v>45260.0</v>
      </c>
      <c r="G1893" s="222">
        <v>0.0625</v>
      </c>
      <c r="H1893" s="134" t="s">
        <v>475</v>
      </c>
      <c r="I1893" s="223" t="s">
        <v>475</v>
      </c>
      <c r="J1893" s="223" t="b">
        <f t="shared" si="1"/>
        <v>1</v>
      </c>
      <c r="K1893" s="145" t="s">
        <v>1620</v>
      </c>
      <c r="L1893" s="156"/>
      <c r="M1893" s="134" t="s">
        <v>422</v>
      </c>
      <c r="N1893" s="150">
        <f>if(and(O1893=TRUE,P1893=TRUE), VLOOKUP($E1893,PESSOAL!$B$35:$S$47,MONTH($F1893)+6,false)*G1893*24,0)</f>
        <v>65.84281609</v>
      </c>
      <c r="O1893" s="117" t="b">
        <f t="shared" si="7"/>
        <v>1</v>
      </c>
      <c r="P1893" s="117" t="b">
        <v>1</v>
      </c>
      <c r="Q1893" s="117" t="s">
        <v>368</v>
      </c>
    </row>
    <row r="1894" hidden="1">
      <c r="A1894" s="108"/>
      <c r="B1894" s="220"/>
      <c r="C1894" s="220" t="s">
        <v>68</v>
      </c>
      <c r="D1894" s="220" t="str">
        <f>vlookup(M1894,'Página10'!A:B,2,false)</f>
        <v>INOV00040</v>
      </c>
      <c r="E1894" s="134" t="s">
        <v>308</v>
      </c>
      <c r="F1894" s="225">
        <v>45251.0</v>
      </c>
      <c r="G1894" s="222">
        <v>0.041666666666666664</v>
      </c>
      <c r="H1894" s="134" t="s">
        <v>475</v>
      </c>
      <c r="I1894" s="223" t="s">
        <v>475</v>
      </c>
      <c r="J1894" s="223" t="b">
        <f t="shared" si="1"/>
        <v>1</v>
      </c>
      <c r="K1894" s="145" t="s">
        <v>1612</v>
      </c>
      <c r="L1894" s="156"/>
      <c r="M1894" s="134" t="s">
        <v>462</v>
      </c>
      <c r="N1894" s="150">
        <f>if(and(O1894=TRUE,P1894=TRUE), VLOOKUP($E1894,PESSOAL!$B$35:$S$47,MONTH($F1894)+6,false)*G1894*24,0)</f>
        <v>0</v>
      </c>
      <c r="O1894" s="117" t="b">
        <f t="shared" si="7"/>
        <v>1</v>
      </c>
      <c r="P1894" s="117" t="b">
        <v>0</v>
      </c>
      <c r="Q1894" s="117" t="s">
        <v>368</v>
      </c>
    </row>
    <row r="1895" hidden="1">
      <c r="A1895" s="108"/>
      <c r="B1895" s="220"/>
      <c r="C1895" s="220" t="s">
        <v>59</v>
      </c>
      <c r="D1895" s="220" t="str">
        <f>vlookup(M1895,'Página10'!A:B,2,false)</f>
        <v>INOV00024</v>
      </c>
      <c r="E1895" s="134" t="s">
        <v>308</v>
      </c>
      <c r="F1895" s="225">
        <v>45257.0</v>
      </c>
      <c r="G1895" s="222">
        <v>0.25</v>
      </c>
      <c r="H1895" s="134" t="s">
        <v>475</v>
      </c>
      <c r="I1895" s="223" t="s">
        <v>475</v>
      </c>
      <c r="J1895" s="223" t="b">
        <f t="shared" si="1"/>
        <v>1</v>
      </c>
      <c r="K1895" s="145" t="s">
        <v>968</v>
      </c>
      <c r="L1895" s="156"/>
      <c r="M1895" s="134" t="s">
        <v>439</v>
      </c>
      <c r="N1895" s="150">
        <f>if(and(O1895=TRUE,P1895=TRUE), VLOOKUP($E1895,PESSOAL!$B$35:$S$47,MONTH($F1895)+6,false)*G1895*24,0)</f>
        <v>263.3712644</v>
      </c>
      <c r="O1895" s="117" t="b">
        <f t="shared" si="7"/>
        <v>1</v>
      </c>
      <c r="P1895" s="117" t="b">
        <v>1</v>
      </c>
      <c r="Q1895" s="117" t="s">
        <v>368</v>
      </c>
    </row>
    <row r="1896" hidden="1">
      <c r="A1896" s="108"/>
      <c r="B1896" s="220"/>
      <c r="C1896" s="220" t="s">
        <v>62</v>
      </c>
      <c r="D1896" s="220" t="str">
        <f>vlookup(M1896,'Página10'!A:B,2,false)</f>
        <v>INOV00034</v>
      </c>
      <c r="E1896" s="134" t="s">
        <v>308</v>
      </c>
      <c r="F1896" s="225">
        <v>45271.0</v>
      </c>
      <c r="G1896" s="222">
        <v>0.08333333333333333</v>
      </c>
      <c r="H1896" s="134" t="s">
        <v>475</v>
      </c>
      <c r="I1896" s="223" t="s">
        <v>475</v>
      </c>
      <c r="J1896" s="223" t="b">
        <f t="shared" si="1"/>
        <v>1</v>
      </c>
      <c r="K1896" s="145" t="s">
        <v>1621</v>
      </c>
      <c r="L1896" s="156"/>
      <c r="M1896" s="134" t="s">
        <v>456</v>
      </c>
      <c r="N1896" s="150">
        <f>if(and(O1896=TRUE,P1896=TRUE), VLOOKUP($E1896,PESSOAL!$B$35:$S$47,MONTH($F1896)+6,false)*G1896*24,0)</f>
        <v>83.6099252</v>
      </c>
      <c r="O1896" s="117" t="b">
        <f t="shared" si="7"/>
        <v>1</v>
      </c>
      <c r="P1896" s="117" t="b">
        <v>1</v>
      </c>
      <c r="Q1896" s="117" t="s">
        <v>368</v>
      </c>
    </row>
    <row r="1897" hidden="1">
      <c r="A1897" s="108"/>
      <c r="B1897" s="220"/>
      <c r="C1897" s="220" t="s">
        <v>59</v>
      </c>
      <c r="D1897" s="220" t="str">
        <f>vlookup(M1897,'Página10'!A:B,2,false)</f>
        <v>INOV00024</v>
      </c>
      <c r="E1897" s="134" t="s">
        <v>308</v>
      </c>
      <c r="F1897" s="225">
        <v>45274.0</v>
      </c>
      <c r="G1897" s="222">
        <v>0.041666666666666664</v>
      </c>
      <c r="H1897" s="134" t="s">
        <v>475</v>
      </c>
      <c r="I1897" s="223" t="s">
        <v>475</v>
      </c>
      <c r="J1897" s="223" t="b">
        <f t="shared" si="1"/>
        <v>1</v>
      </c>
      <c r="K1897" s="145" t="s">
        <v>595</v>
      </c>
      <c r="L1897" s="156"/>
      <c r="M1897" s="134" t="s">
        <v>439</v>
      </c>
      <c r="N1897" s="150">
        <f>if(and(O1897=TRUE,P1897=TRUE), VLOOKUP($E1897,PESSOAL!$B$35:$S$47,MONTH($F1897)+6,false)*G1897*24,0)</f>
        <v>41.8049626</v>
      </c>
      <c r="O1897" s="117" t="b">
        <f t="shared" si="7"/>
        <v>1</v>
      </c>
      <c r="P1897" s="117" t="b">
        <v>1</v>
      </c>
      <c r="Q1897" s="117" t="s">
        <v>368</v>
      </c>
    </row>
    <row r="1898" hidden="1">
      <c r="A1898" s="108"/>
      <c r="B1898" s="220"/>
      <c r="C1898" s="220" t="s">
        <v>435</v>
      </c>
      <c r="D1898" s="220" t="str">
        <f>vlookup(M1898,'Página10'!A:B,2,false)</f>
        <v>INOV00020</v>
      </c>
      <c r="E1898" s="134" t="s">
        <v>308</v>
      </c>
      <c r="F1898" s="225">
        <v>45265.0</v>
      </c>
      <c r="G1898" s="222">
        <v>0.041666666666666664</v>
      </c>
      <c r="H1898" s="134" t="s">
        <v>475</v>
      </c>
      <c r="I1898" s="223" t="s">
        <v>475</v>
      </c>
      <c r="J1898" s="223" t="b">
        <f t="shared" si="1"/>
        <v>1</v>
      </c>
      <c r="K1898" s="145" t="s">
        <v>1622</v>
      </c>
      <c r="L1898" s="156"/>
      <c r="M1898" s="134" t="s">
        <v>434</v>
      </c>
      <c r="N1898" s="150">
        <f>if(and(O1898=TRUE,P1898=TRUE), VLOOKUP($E1898,PESSOAL!$B$35:$S$47,MONTH($F1898)+6,false)*G1898*24,0)</f>
        <v>0</v>
      </c>
      <c r="O1898" s="117" t="b">
        <f t="shared" si="7"/>
        <v>1</v>
      </c>
      <c r="P1898" s="117" t="b">
        <v>0</v>
      </c>
      <c r="Q1898" s="117" t="s">
        <v>368</v>
      </c>
    </row>
    <row r="1899" hidden="1">
      <c r="A1899" s="108"/>
      <c r="B1899" s="220"/>
      <c r="C1899" s="220" t="s">
        <v>66</v>
      </c>
      <c r="D1899" s="220" t="str">
        <f>vlookup(M1899,'Página10'!A:B,2,false)</f>
        <v>INOV00038</v>
      </c>
      <c r="E1899" s="134" t="s">
        <v>308</v>
      </c>
      <c r="F1899" s="225">
        <v>45278.0</v>
      </c>
      <c r="G1899" s="222">
        <v>0.041666666666666664</v>
      </c>
      <c r="H1899" s="134" t="s">
        <v>475</v>
      </c>
      <c r="I1899" s="223" t="s">
        <v>475</v>
      </c>
      <c r="J1899" s="223" t="b">
        <f t="shared" si="1"/>
        <v>1</v>
      </c>
      <c r="K1899" s="145" t="s">
        <v>595</v>
      </c>
      <c r="L1899" s="156"/>
      <c r="M1899" s="134" t="s">
        <v>460</v>
      </c>
      <c r="N1899" s="150">
        <f>if(and(O1899=TRUE,P1899=TRUE), VLOOKUP($E1899,PESSOAL!$B$35:$S$47,MONTH($F1899)+6,false)*G1899*24,0)</f>
        <v>41.8049626</v>
      </c>
      <c r="O1899" s="117" t="b">
        <f t="shared" si="7"/>
        <v>1</v>
      </c>
      <c r="P1899" s="117" t="b">
        <v>1</v>
      </c>
      <c r="Q1899" s="117" t="s">
        <v>368</v>
      </c>
    </row>
    <row r="1900" hidden="1">
      <c r="A1900" s="108"/>
      <c r="B1900" s="220"/>
      <c r="C1900" s="220" t="s">
        <v>59</v>
      </c>
      <c r="D1900" s="220" t="str">
        <f>vlookup(M1900,'Página10'!A:B,2,false)</f>
        <v>INOV00024</v>
      </c>
      <c r="E1900" s="134" t="s">
        <v>308</v>
      </c>
      <c r="F1900" s="225">
        <v>45278.0</v>
      </c>
      <c r="G1900" s="222">
        <v>0.041666666666666664</v>
      </c>
      <c r="H1900" s="134" t="s">
        <v>475</v>
      </c>
      <c r="I1900" s="223" t="s">
        <v>475</v>
      </c>
      <c r="J1900" s="223" t="b">
        <f t="shared" si="1"/>
        <v>1</v>
      </c>
      <c r="K1900" s="145" t="s">
        <v>1623</v>
      </c>
      <c r="L1900" s="156"/>
      <c r="M1900" s="134" t="s">
        <v>439</v>
      </c>
      <c r="N1900" s="150">
        <f>if(and(O1900=TRUE,P1900=TRUE), VLOOKUP($E1900,PESSOAL!$B$35:$S$47,MONTH($F1900)+6,false)*G1900*24,0)</f>
        <v>41.8049626</v>
      </c>
      <c r="O1900" s="117" t="b">
        <f t="shared" si="7"/>
        <v>1</v>
      </c>
      <c r="P1900" s="117" t="b">
        <v>1</v>
      </c>
      <c r="Q1900" s="117" t="s">
        <v>368</v>
      </c>
    </row>
    <row r="1901" hidden="1">
      <c r="A1901" s="108"/>
      <c r="B1901" s="220"/>
      <c r="C1901" s="220" t="s">
        <v>59</v>
      </c>
      <c r="D1901" s="220" t="str">
        <f>vlookup(M1901,'Página10'!A:B,2,false)</f>
        <v>INOV00024</v>
      </c>
      <c r="E1901" s="134" t="s">
        <v>308</v>
      </c>
      <c r="F1901" s="225">
        <v>45279.0</v>
      </c>
      <c r="G1901" s="222">
        <v>0.041666666666666664</v>
      </c>
      <c r="H1901" s="134" t="s">
        <v>475</v>
      </c>
      <c r="I1901" s="223" t="s">
        <v>475</v>
      </c>
      <c r="J1901" s="223" t="b">
        <f t="shared" si="1"/>
        <v>1</v>
      </c>
      <c r="K1901" s="145" t="s">
        <v>595</v>
      </c>
      <c r="L1901" s="156"/>
      <c r="M1901" s="134" t="s">
        <v>439</v>
      </c>
      <c r="N1901" s="150">
        <f>if(and(O1901=TRUE,P1901=TRUE), VLOOKUP($E1901,PESSOAL!$B$35:$S$47,MONTH($F1901)+6,false)*G1901*24,0)</f>
        <v>41.8049626</v>
      </c>
      <c r="O1901" s="117" t="b">
        <f t="shared" si="7"/>
        <v>1</v>
      </c>
      <c r="P1901" s="117" t="b">
        <v>1</v>
      </c>
      <c r="Q1901" s="117" t="s">
        <v>368</v>
      </c>
    </row>
    <row r="1902" hidden="1">
      <c r="A1902" s="108"/>
      <c r="B1902" s="220"/>
      <c r="C1902" s="220" t="s">
        <v>50</v>
      </c>
      <c r="D1902" s="220" t="str">
        <f>vlookup(M1902,'Página10'!A:B,2,false)</f>
        <v>INOV00006</v>
      </c>
      <c r="E1902" s="134" t="s">
        <v>308</v>
      </c>
      <c r="F1902" s="225">
        <v>45280.0</v>
      </c>
      <c r="G1902" s="222">
        <v>0.25</v>
      </c>
      <c r="H1902" s="134" t="s">
        <v>475</v>
      </c>
      <c r="I1902" s="223" t="s">
        <v>475</v>
      </c>
      <c r="J1902" s="223" t="b">
        <f t="shared" si="1"/>
        <v>1</v>
      </c>
      <c r="K1902" s="145" t="s">
        <v>518</v>
      </c>
      <c r="L1902" s="156"/>
      <c r="M1902" s="134" t="s">
        <v>422</v>
      </c>
      <c r="N1902" s="150">
        <f>if(and(O1902=TRUE,P1902=TRUE), VLOOKUP($E1902,PESSOAL!$B$35:$S$47,MONTH($F1902)+6,false)*G1902*24,0)</f>
        <v>250.8297756</v>
      </c>
      <c r="O1902" s="117" t="b">
        <f t="shared" si="7"/>
        <v>1</v>
      </c>
      <c r="P1902" s="117" t="b">
        <v>1</v>
      </c>
      <c r="Q1902" s="117" t="s">
        <v>368</v>
      </c>
    </row>
    <row r="1903" hidden="1">
      <c r="A1903" s="108"/>
      <c r="B1903" s="220"/>
      <c r="C1903" s="220" t="s">
        <v>290</v>
      </c>
      <c r="D1903" s="220" t="str">
        <f>vlookup(M1903,'Página10'!A:B,2,false)</f>
        <v>INOV00001</v>
      </c>
      <c r="E1903" s="134" t="s">
        <v>308</v>
      </c>
      <c r="F1903" s="225">
        <v>45281.0</v>
      </c>
      <c r="G1903" s="222">
        <v>0.16666666666666666</v>
      </c>
      <c r="H1903" s="134" t="s">
        <v>475</v>
      </c>
      <c r="I1903" s="223" t="s">
        <v>475</v>
      </c>
      <c r="J1903" s="223" t="b">
        <f t="shared" si="1"/>
        <v>1</v>
      </c>
      <c r="K1903" s="145" t="s">
        <v>1624</v>
      </c>
      <c r="L1903" s="156"/>
      <c r="M1903" s="134" t="s">
        <v>416</v>
      </c>
      <c r="N1903" s="150">
        <f>if(and(O1903=TRUE,P1903=TRUE), VLOOKUP($E1903,PESSOAL!$B$35:$S$47,MONTH($F1903)+6,false)*G1903*24,0)</f>
        <v>167.2198504</v>
      </c>
      <c r="O1903" s="117" t="b">
        <f t="shared" si="7"/>
        <v>1</v>
      </c>
      <c r="P1903" s="117" t="b">
        <v>1</v>
      </c>
      <c r="Q1903" s="117" t="s">
        <v>368</v>
      </c>
    </row>
  </sheetData>
  <autoFilter ref="$B$11:$Q$1903">
    <filterColumn colId="1">
      <filters>
        <filter val="INOV00025"/>
        <filter val="INOV00046"/>
        <filter val="INOV00045"/>
        <filter val="INOV00044"/>
        <filter val="INOV00020"/>
        <filter val="INOV00042"/>
        <filter val="INOV00040"/>
        <filter val="INOV00029"/>
        <filter val="INOV00028"/>
        <filter val="INOV00027"/>
        <filter val="INOV00012"/>
        <filter val="INOV00032"/>
        <filter val="INOV00019"/>
        <filter val="INOV00018"/>
      </filters>
    </filterColumn>
    <filterColumn colId="14">
      <filters>
        <filter val="TRUE"/>
      </filters>
    </filterColumn>
  </autoFilter>
  <customSheetViews>
    <customSheetView guid="{BF9B7DBE-AC84-49A7-A65D-2C0797C1A3CC}" filter="1" showAutoFilter="1">
      <autoFilter ref="$A$11:$Q$1516">
        <sortState ref="A11:Q1516">
          <sortCondition ref="F11:F1516"/>
        </sortState>
      </autoFilter>
    </customSheetView>
  </customSheetViews>
  <mergeCells count="1">
    <mergeCell ref="B5:D6"/>
  </mergeCells>
  <dataValidations>
    <dataValidation type="list" allowBlank="1" sqref="E12:E1903">
      <formula1>PROJETO!$E$28:$E$45</formula1>
    </dataValidation>
    <dataValidation type="list" allowBlank="1" sqref="H12:H1903">
      <formula1>$H$6:$H$9</formula1>
    </dataValidation>
  </dataValidations>
  <drawing r:id="rId2"/>
  <legacyDrawing r:id="rId3"/>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sheetData>
  <drawing r:id="rId2"/>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63"/>
    <col customWidth="1" min="2" max="2" width="28.63"/>
    <col customWidth="1" min="3" max="4" width="18.88"/>
    <col customWidth="1" min="5" max="5" width="12.13"/>
    <col customWidth="1" min="6" max="6" width="10.88"/>
    <col customWidth="1" min="7" max="7" width="12.63"/>
    <col customWidth="1" min="8" max="8" width="7.25"/>
    <col customWidth="1" min="9" max="9" width="31.38"/>
    <col customWidth="1" min="10" max="10" width="34.38"/>
    <col customWidth="1" min="11" max="11" width="12.88"/>
    <col customWidth="1" min="12" max="13" width="12.63"/>
    <col customWidth="1" min="14" max="14" width="12.75"/>
    <col customWidth="1" min="15" max="15" width="7.0"/>
    <col customWidth="1" min="16" max="49" width="10.13"/>
  </cols>
  <sheetData>
    <row r="1" ht="11.25" customHeight="1">
      <c r="A1" s="108"/>
      <c r="B1" s="108"/>
      <c r="C1" s="108"/>
      <c r="D1" s="108"/>
      <c r="E1" s="108"/>
      <c r="F1" s="108"/>
      <c r="G1" s="108"/>
      <c r="H1" s="205"/>
      <c r="I1" s="108"/>
      <c r="J1" s="108"/>
      <c r="K1" s="108"/>
      <c r="L1" s="108"/>
      <c r="M1" s="228"/>
      <c r="N1" s="108"/>
      <c r="O1" s="229"/>
      <c r="P1" s="117"/>
      <c r="Q1" s="117"/>
      <c r="R1" s="117"/>
      <c r="S1" s="117"/>
      <c r="T1" s="117"/>
      <c r="U1" s="117"/>
      <c r="V1" s="117"/>
      <c r="W1" s="117"/>
      <c r="X1" s="117"/>
      <c r="Y1" s="117"/>
      <c r="Z1" s="117"/>
      <c r="AA1" s="117"/>
      <c r="AB1" s="117"/>
      <c r="AC1" s="117"/>
      <c r="AD1" s="117"/>
      <c r="AE1" s="117"/>
      <c r="AF1" s="117"/>
      <c r="AG1" s="117"/>
      <c r="AH1" s="117"/>
      <c r="AI1" s="117"/>
      <c r="AJ1" s="117"/>
      <c r="AK1" s="117"/>
      <c r="AL1" s="117"/>
      <c r="AM1" s="117"/>
      <c r="AN1" s="117"/>
      <c r="AO1" s="117"/>
      <c r="AP1" s="117"/>
      <c r="AQ1" s="117"/>
      <c r="AR1" s="117"/>
      <c r="AS1" s="117"/>
      <c r="AT1" s="117"/>
      <c r="AU1" s="117"/>
      <c r="AV1" s="117"/>
      <c r="AW1" s="117"/>
    </row>
    <row r="2">
      <c r="A2" s="108"/>
      <c r="B2" s="110" t="s">
        <v>72</v>
      </c>
      <c r="C2" s="109"/>
      <c r="D2" s="109"/>
      <c r="E2" s="109"/>
      <c r="F2" s="109"/>
      <c r="G2" s="109"/>
      <c r="H2" s="207"/>
      <c r="I2" s="108"/>
      <c r="J2" s="108"/>
      <c r="K2" s="108"/>
      <c r="L2" s="108"/>
      <c r="M2" s="228"/>
      <c r="N2" s="108"/>
      <c r="O2" s="229"/>
      <c r="P2" s="117"/>
      <c r="Q2" s="117"/>
      <c r="R2" s="117"/>
      <c r="S2" s="117"/>
      <c r="T2" s="117"/>
      <c r="U2" s="117"/>
      <c r="V2" s="117"/>
      <c r="W2" s="117"/>
      <c r="X2" s="117"/>
      <c r="Y2" s="117"/>
      <c r="Z2" s="117"/>
      <c r="AA2" s="117"/>
      <c r="AB2" s="117"/>
      <c r="AC2" s="117"/>
      <c r="AD2" s="117"/>
      <c r="AE2" s="117"/>
      <c r="AF2" s="117"/>
      <c r="AG2" s="117"/>
      <c r="AH2" s="117"/>
      <c r="AI2" s="117"/>
      <c r="AJ2" s="117"/>
      <c r="AK2" s="117"/>
      <c r="AL2" s="117"/>
      <c r="AM2" s="117"/>
      <c r="AN2" s="117"/>
      <c r="AO2" s="117"/>
      <c r="AP2" s="117"/>
      <c r="AQ2" s="117"/>
      <c r="AR2" s="117"/>
      <c r="AS2" s="117"/>
      <c r="AT2" s="117"/>
      <c r="AU2" s="117"/>
      <c r="AV2" s="117"/>
      <c r="AW2" s="117"/>
    </row>
    <row r="3">
      <c r="A3" s="108"/>
      <c r="B3" s="111" t="s">
        <v>311</v>
      </c>
      <c r="C3" s="109"/>
      <c r="D3" s="109"/>
      <c r="E3" s="109"/>
      <c r="F3" s="109"/>
      <c r="G3" s="109"/>
      <c r="H3" s="207"/>
      <c r="I3" s="108"/>
      <c r="J3" s="108"/>
      <c r="K3" s="108"/>
      <c r="L3" s="108"/>
      <c r="M3" s="228"/>
      <c r="N3" s="108"/>
      <c r="O3" s="229"/>
      <c r="P3" s="117"/>
      <c r="Q3" s="117"/>
      <c r="R3" s="117"/>
      <c r="S3" s="117"/>
      <c r="T3" s="117"/>
      <c r="U3" s="117"/>
      <c r="V3" s="117"/>
      <c r="W3" s="117"/>
      <c r="X3" s="117"/>
      <c r="Y3" s="117"/>
      <c r="Z3" s="117"/>
      <c r="AA3" s="117"/>
      <c r="AB3" s="117"/>
      <c r="AC3" s="117"/>
      <c r="AD3" s="117"/>
      <c r="AE3" s="117"/>
      <c r="AF3" s="117"/>
      <c r="AG3" s="117"/>
      <c r="AH3" s="117"/>
      <c r="AI3" s="117"/>
      <c r="AJ3" s="117"/>
      <c r="AK3" s="117"/>
      <c r="AL3" s="117"/>
      <c r="AM3" s="117"/>
      <c r="AN3" s="117"/>
      <c r="AO3" s="117"/>
      <c r="AP3" s="117"/>
      <c r="AQ3" s="117"/>
      <c r="AR3" s="117"/>
      <c r="AS3" s="117"/>
      <c r="AT3" s="117"/>
      <c r="AU3" s="117"/>
      <c r="AV3" s="117"/>
      <c r="AW3" s="117"/>
    </row>
    <row r="4">
      <c r="A4" s="108"/>
      <c r="B4" s="67" t="s">
        <v>1632</v>
      </c>
      <c r="C4" s="109"/>
      <c r="D4" s="109"/>
      <c r="E4" s="109"/>
      <c r="F4" s="109"/>
      <c r="G4" s="109"/>
      <c r="H4" s="207"/>
      <c r="I4" s="108"/>
      <c r="J4" s="108"/>
      <c r="K4" s="108"/>
      <c r="L4" s="108"/>
      <c r="M4" s="228"/>
      <c r="N4" s="108"/>
      <c r="O4" s="229"/>
      <c r="P4" s="117"/>
      <c r="Q4" s="117"/>
      <c r="R4" s="117"/>
      <c r="S4" s="117"/>
      <c r="T4" s="117"/>
      <c r="U4" s="117"/>
      <c r="V4" s="117"/>
      <c r="W4" s="117"/>
      <c r="X4" s="117"/>
      <c r="Y4" s="117"/>
      <c r="Z4" s="117"/>
      <c r="AA4" s="117"/>
      <c r="AB4" s="117"/>
      <c r="AC4" s="117"/>
      <c r="AD4" s="117"/>
      <c r="AE4" s="117"/>
      <c r="AF4" s="117"/>
      <c r="AG4" s="117"/>
      <c r="AH4" s="117"/>
      <c r="AI4" s="117"/>
      <c r="AJ4" s="117"/>
      <c r="AK4" s="117"/>
      <c r="AL4" s="117"/>
      <c r="AM4" s="117"/>
      <c r="AN4" s="117"/>
      <c r="AO4" s="117"/>
      <c r="AP4" s="117"/>
      <c r="AQ4" s="117"/>
      <c r="AR4" s="117"/>
      <c r="AS4" s="117"/>
      <c r="AT4" s="117"/>
      <c r="AU4" s="117"/>
      <c r="AV4" s="117"/>
      <c r="AW4" s="117"/>
    </row>
    <row r="5">
      <c r="A5" s="108"/>
      <c r="B5" s="137" t="s">
        <v>313</v>
      </c>
      <c r="E5" s="137"/>
      <c r="F5" s="114"/>
      <c r="G5" s="114"/>
      <c r="H5" s="114"/>
      <c r="I5" s="108"/>
      <c r="J5" s="108"/>
      <c r="K5" s="108"/>
      <c r="L5" s="108"/>
      <c r="M5" s="228"/>
      <c r="N5" s="108"/>
      <c r="O5" s="229"/>
      <c r="P5" s="117"/>
      <c r="Q5" s="117"/>
      <c r="R5" s="117"/>
      <c r="S5" s="117"/>
      <c r="T5" s="117"/>
      <c r="U5" s="117"/>
      <c r="V5" s="117"/>
      <c r="W5" s="117"/>
      <c r="X5" s="117"/>
      <c r="Y5" s="117"/>
      <c r="Z5" s="117"/>
      <c r="AA5" s="117"/>
      <c r="AB5" s="117"/>
      <c r="AC5" s="117"/>
      <c r="AD5" s="117"/>
      <c r="AE5" s="117"/>
      <c r="AF5" s="117"/>
      <c r="AG5" s="117"/>
      <c r="AH5" s="117"/>
      <c r="AI5" s="117"/>
      <c r="AJ5" s="117"/>
      <c r="AK5" s="117"/>
      <c r="AL5" s="117"/>
      <c r="AM5" s="117"/>
      <c r="AN5" s="117"/>
      <c r="AO5" s="117"/>
      <c r="AP5" s="117"/>
      <c r="AQ5" s="117"/>
      <c r="AR5" s="117"/>
      <c r="AS5" s="117"/>
      <c r="AT5" s="117"/>
      <c r="AU5" s="117"/>
      <c r="AV5" s="117"/>
      <c r="AW5" s="117"/>
    </row>
    <row r="6">
      <c r="A6" s="108"/>
      <c r="E6" s="137"/>
      <c r="F6" s="114"/>
      <c r="G6" s="114"/>
      <c r="H6" s="114"/>
      <c r="I6" s="108"/>
      <c r="J6" s="108"/>
      <c r="K6" s="108"/>
      <c r="L6" s="108"/>
      <c r="M6" s="228"/>
      <c r="N6" s="108"/>
      <c r="O6" s="229"/>
      <c r="P6" s="117"/>
      <c r="Q6" s="117"/>
      <c r="R6" s="117"/>
      <c r="S6" s="117"/>
      <c r="T6" s="117"/>
      <c r="U6" s="117"/>
      <c r="V6" s="117"/>
      <c r="W6" s="117"/>
      <c r="X6" s="117"/>
      <c r="Y6" s="117"/>
      <c r="Z6" s="117"/>
      <c r="AA6" s="117"/>
      <c r="AB6" s="117"/>
      <c r="AC6" s="117"/>
      <c r="AD6" s="117"/>
      <c r="AE6" s="117"/>
      <c r="AF6" s="117"/>
      <c r="AG6" s="117"/>
      <c r="AH6" s="117"/>
      <c r="AI6" s="117"/>
      <c r="AJ6" s="117"/>
      <c r="AK6" s="117"/>
      <c r="AL6" s="117"/>
      <c r="AM6" s="117"/>
      <c r="AN6" s="117"/>
      <c r="AO6" s="117"/>
      <c r="AP6" s="117"/>
      <c r="AQ6" s="117"/>
      <c r="AR6" s="117"/>
      <c r="AS6" s="117"/>
      <c r="AT6" s="117"/>
      <c r="AU6" s="117"/>
      <c r="AV6" s="117"/>
      <c r="AW6" s="117"/>
    </row>
    <row r="7">
      <c r="A7" s="108"/>
      <c r="B7" s="109"/>
      <c r="C7" s="230"/>
      <c r="D7" s="230"/>
      <c r="E7" s="230"/>
      <c r="F7" s="230"/>
      <c r="G7" s="230"/>
      <c r="H7" s="230"/>
      <c r="I7" s="108"/>
      <c r="J7" s="108"/>
      <c r="K7" s="108"/>
      <c r="L7" s="108"/>
      <c r="M7" s="228"/>
      <c r="N7" s="231" t="s">
        <v>1633</v>
      </c>
      <c r="O7" s="229"/>
      <c r="P7" s="117"/>
      <c r="Q7" s="117"/>
      <c r="R7" s="117"/>
      <c r="S7" s="117"/>
      <c r="T7" s="117"/>
      <c r="U7" s="117"/>
      <c r="V7" s="117"/>
      <c r="W7" s="117"/>
      <c r="X7" s="117"/>
      <c r="Y7" s="117"/>
      <c r="Z7" s="117"/>
      <c r="AA7" s="117"/>
      <c r="AB7" s="117"/>
      <c r="AC7" s="117"/>
      <c r="AD7" s="117"/>
      <c r="AE7" s="117"/>
      <c r="AF7" s="117"/>
      <c r="AG7" s="117"/>
      <c r="AH7" s="117"/>
      <c r="AI7" s="117"/>
      <c r="AJ7" s="117"/>
      <c r="AK7" s="117"/>
      <c r="AL7" s="117"/>
      <c r="AM7" s="117"/>
      <c r="AN7" s="117"/>
      <c r="AO7" s="117"/>
      <c r="AP7" s="117"/>
      <c r="AQ7" s="117"/>
      <c r="AR7" s="117"/>
      <c r="AS7" s="117"/>
      <c r="AT7" s="117"/>
      <c r="AU7" s="117"/>
      <c r="AV7" s="117"/>
      <c r="AW7" s="117"/>
    </row>
    <row r="8">
      <c r="A8" s="108"/>
      <c r="B8" s="110" t="s">
        <v>79</v>
      </c>
      <c r="C8" s="230"/>
      <c r="D8" s="230"/>
      <c r="E8" s="230"/>
      <c r="F8" s="230"/>
      <c r="G8" s="230"/>
      <c r="H8" s="230"/>
      <c r="I8" s="108"/>
      <c r="J8" s="108"/>
      <c r="K8" s="108"/>
      <c r="L8" s="108"/>
      <c r="M8" s="228"/>
      <c r="N8" s="108"/>
      <c r="O8" s="229"/>
      <c r="P8" s="117"/>
      <c r="Q8" s="117"/>
      <c r="R8" s="117"/>
      <c r="S8" s="117"/>
      <c r="T8" s="117"/>
      <c r="U8" s="117"/>
      <c r="V8" s="117"/>
      <c r="W8" s="117"/>
      <c r="X8" s="117"/>
      <c r="Y8" s="117"/>
      <c r="Z8" s="117"/>
      <c r="AA8" s="117"/>
      <c r="AB8" s="117"/>
      <c r="AC8" s="117"/>
      <c r="AD8" s="117"/>
      <c r="AE8" s="117"/>
      <c r="AF8" s="117"/>
      <c r="AG8" s="117"/>
      <c r="AH8" s="117"/>
      <c r="AI8" s="117"/>
      <c r="AJ8" s="117"/>
      <c r="AK8" s="117"/>
      <c r="AL8" s="117"/>
      <c r="AM8" s="117"/>
      <c r="AN8" s="117"/>
      <c r="AO8" s="117"/>
      <c r="AP8" s="117"/>
      <c r="AQ8" s="117"/>
      <c r="AR8" s="117"/>
      <c r="AS8" s="117"/>
      <c r="AT8" s="117"/>
      <c r="AU8" s="117"/>
      <c r="AV8" s="117"/>
      <c r="AW8" s="117"/>
    </row>
    <row r="9">
      <c r="A9" s="108"/>
      <c r="B9" s="111" t="s">
        <v>1634</v>
      </c>
      <c r="C9" s="230"/>
      <c r="D9" s="230"/>
      <c r="E9" s="230"/>
      <c r="F9" s="232"/>
      <c r="G9" s="232"/>
      <c r="H9" s="230"/>
      <c r="I9" s="108"/>
      <c r="J9" s="233" t="s">
        <v>1635</v>
      </c>
      <c r="K9" s="233"/>
      <c r="L9" s="233"/>
      <c r="M9" s="234"/>
      <c r="N9" s="108"/>
      <c r="O9" s="229"/>
      <c r="P9" s="117" t="b">
        <f t="array" ref="P9">xlookup(P11,'BD Projetos'!$A:$A,'BD Projetos'!$B:$B,FALSE)</f>
        <v>1</v>
      </c>
      <c r="Q9" s="117" t="b">
        <f t="array" ref="Q9">xlookup(Q11,'BD Projetos'!$A:$A,'BD Projetos'!$B:$B,FALSE)</f>
        <v>0</v>
      </c>
      <c r="R9" s="117" t="b">
        <f t="array" ref="R9">xlookup(R11,'BD Projetos'!$A:$A,'BD Projetos'!$B:$B,FALSE)</f>
        <v>1</v>
      </c>
      <c r="S9" s="117" t="b">
        <f t="array" ref="S9">xlookup(S11,'BD Projetos'!$A:$A,'BD Projetos'!$B:$B,FALSE)</f>
        <v>1</v>
      </c>
      <c r="T9" s="117" t="b">
        <f t="array" ref="T9">xlookup(T11,'BD Projetos'!$A:$A,'BD Projetos'!$B:$B,FALSE)</f>
        <v>1</v>
      </c>
      <c r="U9" s="117" t="b">
        <f t="array" ref="U9">xlookup(U11,'BD Projetos'!$A:$A,'BD Projetos'!$B:$B,FALSE)</f>
        <v>0</v>
      </c>
      <c r="V9" s="117" t="b">
        <f t="array" ref="V9">xlookup(V11,'BD Projetos'!$A:$A,'BD Projetos'!$B:$B,FALSE)</f>
        <v>1</v>
      </c>
      <c r="W9" s="117" t="b">
        <f t="array" ref="W9">xlookup(W11,'BD Projetos'!$A:$A,'BD Projetos'!$B:$B,FALSE)</f>
        <v>1</v>
      </c>
      <c r="X9" s="117" t="b">
        <f t="array" ref="X9">xlookup(X11,'BD Projetos'!$A:$A,'BD Projetos'!$B:$B,FALSE)</f>
        <v>0</v>
      </c>
      <c r="Y9" s="117" t="b">
        <f t="array" ref="Y9">xlookup(Y11,'BD Projetos'!$A:$A,'BD Projetos'!$B:$B,FALSE)</f>
        <v>1</v>
      </c>
      <c r="Z9" s="117" t="b">
        <f t="array" ref="Z9">xlookup(Z11,'BD Projetos'!$A:$A,'BD Projetos'!$B:$B,FALSE)</f>
        <v>1</v>
      </c>
      <c r="AA9" s="117" t="b">
        <f t="array" ref="AA9">xlookup(AA11,'BD Projetos'!$A:$A,'BD Projetos'!$B:$B,FALSE)</f>
        <v>0</v>
      </c>
      <c r="AB9" s="117" t="b">
        <f t="array" ref="AB9">xlookup(AB11,'BD Projetos'!$A:$A,'BD Projetos'!$B:$B,FALSE)</f>
        <v>0</v>
      </c>
      <c r="AC9" s="117" t="b">
        <f t="array" ref="AC9">xlookup(AC11,'BD Projetos'!$A:$A,'BD Projetos'!$B:$B,FALSE)</f>
        <v>0</v>
      </c>
      <c r="AD9" s="117" t="b">
        <f t="array" ref="AD9">xlookup(AD11,'BD Projetos'!$A:$A,'BD Projetos'!$B:$B,FALSE)</f>
        <v>1</v>
      </c>
      <c r="AE9" s="117" t="b">
        <f t="array" ref="AE9">xlookup(AE11,'BD Projetos'!$A:$A,'BD Projetos'!$B:$B,FALSE)</f>
        <v>1</v>
      </c>
      <c r="AF9" s="117" t="b">
        <f t="array" ref="AF9">xlookup(AF11,'BD Projetos'!$A:$A,'BD Projetos'!$B:$B,FALSE)</f>
        <v>1</v>
      </c>
      <c r="AG9" s="117" t="b">
        <f t="array" ref="AG9">xlookup(AG11,'BD Projetos'!$A:$A,'BD Projetos'!$B:$B,FALSE)</f>
        <v>1</v>
      </c>
      <c r="AH9" s="117" t="b">
        <f t="array" ref="AH9">xlookup(AH11,'BD Projetos'!$A:$A,'BD Projetos'!$B:$B,FALSE)</f>
        <v>0</v>
      </c>
      <c r="AI9" s="117" t="b">
        <f t="array" ref="AI9">xlookup(AI11,'BD Projetos'!$A:$A,'BD Projetos'!$B:$B,FALSE)</f>
        <v>0</v>
      </c>
      <c r="AJ9" s="117" t="b">
        <f t="array" ref="AJ9">xlookup(AJ11,'BD Projetos'!$A:$A,'BD Projetos'!$B:$B,FALSE)</f>
        <v>1</v>
      </c>
      <c r="AK9" s="117" t="b">
        <f t="array" ref="AK9">xlookup(AK11,'BD Projetos'!$A:$A,'BD Projetos'!$B:$B,FALSE)</f>
        <v>0</v>
      </c>
      <c r="AL9" s="117" t="b">
        <f t="array" ref="AL9">xlookup(AL11,'BD Projetos'!$A:$A,'BD Projetos'!$B:$B,FALSE)</f>
        <v>0</v>
      </c>
      <c r="AM9" s="117" t="b">
        <f t="array" ref="AM9">xlookup(AM11,'BD Projetos'!$A:$A,'BD Projetos'!$B:$B,FALSE)</f>
        <v>0</v>
      </c>
      <c r="AN9" s="117" t="b">
        <f t="array" ref="AN9">xlookup(AN11,'BD Projetos'!$A:$A,'BD Projetos'!$B:$B,FALSE)</f>
        <v>1</v>
      </c>
      <c r="AO9" s="117" t="b">
        <f t="array" ref="AO9">xlookup(AO11,'BD Projetos'!$A:$A,'BD Projetos'!$B:$B,FALSE)</f>
        <v>0</v>
      </c>
      <c r="AP9" s="117" t="b">
        <f t="array" ref="AP9">xlookup(AP11,'BD Projetos'!$A:$A,'BD Projetos'!$B:$B,FALSE)</f>
        <v>1</v>
      </c>
      <c r="AQ9" s="117" t="b">
        <f t="array" ref="AQ9">xlookup(AQ11,'BD Projetos'!$A:$A,'BD Projetos'!$B:$B,FALSE)</f>
        <v>1</v>
      </c>
      <c r="AR9" s="117" t="b">
        <f t="array" ref="AR9">xlookup(AR11,'BD Projetos'!$A:$A,'BD Projetos'!$B:$B,FALSE)</f>
        <v>1</v>
      </c>
      <c r="AS9" s="117" t="b">
        <f t="array" ref="AS9">xlookup(AS11,'BD Projetos'!$A:$A,'BD Projetos'!$B:$B,FALSE)</f>
        <v>1</v>
      </c>
      <c r="AT9" s="117" t="b">
        <f t="array" ref="AT9">xlookup(AT11,'BD Projetos'!$A:$A,'BD Projetos'!$B:$B,FALSE)</f>
        <v>1</v>
      </c>
      <c r="AU9" s="117" t="b">
        <f t="array" ref="AU9">xlookup(AU11,'BD Projetos'!$A:$A,'BD Projetos'!$B:$B,FALSE)</f>
        <v>1</v>
      </c>
      <c r="AV9" s="117" t="b">
        <f t="array" ref="AV9">xlookup(AV11,'BD Projetos'!$A:$A,'BD Projetos'!$B:$B,FALSE)</f>
        <v>0</v>
      </c>
      <c r="AW9" s="117" t="b">
        <f t="array" ref="AW9">xlookup(AW11,'BD Projetos'!$A:$A,'BD Projetos'!$B:$B,FALSE)</f>
        <v>1</v>
      </c>
    </row>
    <row r="10">
      <c r="A10" s="235"/>
      <c r="B10" s="235"/>
      <c r="C10" s="236"/>
      <c r="D10" s="236"/>
      <c r="E10" s="236"/>
      <c r="F10" s="236"/>
      <c r="G10" s="237">
        <f>SUM(G12:G135)</f>
        <v>525390.83</v>
      </c>
      <c r="H10" s="236"/>
      <c r="I10" s="235"/>
      <c r="J10" s="235"/>
      <c r="K10" s="235"/>
      <c r="L10" s="237">
        <f>sum(L12:L135)</f>
        <v>366648.215</v>
      </c>
      <c r="M10" s="238"/>
      <c r="N10" s="239">
        <f>sum(P10:AW10)</f>
        <v>366648.215</v>
      </c>
      <c r="O10" s="240"/>
      <c r="P10" s="241">
        <f t="shared" ref="P10:AW10" si="1">SUM(P12:P135)</f>
        <v>196831.425</v>
      </c>
      <c r="Q10" s="241">
        <f t="shared" si="1"/>
        <v>0</v>
      </c>
      <c r="R10" s="241">
        <f t="shared" si="1"/>
        <v>0</v>
      </c>
      <c r="S10" s="241">
        <f t="shared" si="1"/>
        <v>0</v>
      </c>
      <c r="T10" s="241">
        <f t="shared" si="1"/>
        <v>18843.485</v>
      </c>
      <c r="U10" s="241">
        <f t="shared" si="1"/>
        <v>0</v>
      </c>
      <c r="V10" s="241">
        <f t="shared" si="1"/>
        <v>14802.65</v>
      </c>
      <c r="W10" s="241">
        <f t="shared" si="1"/>
        <v>1914.23</v>
      </c>
      <c r="X10" s="241">
        <f t="shared" si="1"/>
        <v>0</v>
      </c>
      <c r="Y10" s="241">
        <f t="shared" si="1"/>
        <v>84801.625</v>
      </c>
      <c r="Z10" s="241">
        <f t="shared" si="1"/>
        <v>7379.13</v>
      </c>
      <c r="AA10" s="241">
        <f t="shared" si="1"/>
        <v>0</v>
      </c>
      <c r="AB10" s="241">
        <f t="shared" si="1"/>
        <v>0</v>
      </c>
      <c r="AC10" s="241">
        <f t="shared" si="1"/>
        <v>0</v>
      </c>
      <c r="AD10" s="241">
        <f t="shared" si="1"/>
        <v>817.13</v>
      </c>
      <c r="AE10" s="241">
        <f t="shared" si="1"/>
        <v>730</v>
      </c>
      <c r="AF10" s="241">
        <f t="shared" si="1"/>
        <v>7380</v>
      </c>
      <c r="AG10" s="241">
        <f t="shared" si="1"/>
        <v>1523</v>
      </c>
      <c r="AH10" s="241">
        <f t="shared" si="1"/>
        <v>0</v>
      </c>
      <c r="AI10" s="241">
        <f t="shared" si="1"/>
        <v>0</v>
      </c>
      <c r="AJ10" s="241">
        <f t="shared" si="1"/>
        <v>0</v>
      </c>
      <c r="AK10" s="241">
        <f t="shared" si="1"/>
        <v>0</v>
      </c>
      <c r="AL10" s="241">
        <f t="shared" si="1"/>
        <v>0</v>
      </c>
      <c r="AM10" s="241">
        <f t="shared" si="1"/>
        <v>0</v>
      </c>
      <c r="AN10" s="241">
        <f t="shared" si="1"/>
        <v>17286.16</v>
      </c>
      <c r="AO10" s="241">
        <f t="shared" si="1"/>
        <v>0</v>
      </c>
      <c r="AP10" s="241">
        <f t="shared" si="1"/>
        <v>0</v>
      </c>
      <c r="AQ10" s="241">
        <f t="shared" si="1"/>
        <v>0</v>
      </c>
      <c r="AR10" s="241">
        <f t="shared" si="1"/>
        <v>0</v>
      </c>
      <c r="AS10" s="241">
        <f t="shared" si="1"/>
        <v>0</v>
      </c>
      <c r="AT10" s="241">
        <f t="shared" si="1"/>
        <v>0</v>
      </c>
      <c r="AU10" s="241">
        <f t="shared" si="1"/>
        <v>13018</v>
      </c>
      <c r="AV10" s="241">
        <f t="shared" si="1"/>
        <v>0</v>
      </c>
      <c r="AW10" s="241">
        <f t="shared" si="1"/>
        <v>1321.38</v>
      </c>
    </row>
    <row r="11">
      <c r="A11" s="108"/>
      <c r="B11" s="141" t="s">
        <v>414</v>
      </c>
      <c r="C11" s="141" t="s">
        <v>483</v>
      </c>
      <c r="D11" s="141" t="s">
        <v>1636</v>
      </c>
      <c r="E11" s="141" t="s">
        <v>1637</v>
      </c>
      <c r="F11" s="202" t="s">
        <v>1638</v>
      </c>
      <c r="G11" s="202" t="s">
        <v>1639</v>
      </c>
      <c r="H11" s="202" t="s">
        <v>485</v>
      </c>
      <c r="I11" s="141" t="s">
        <v>1640</v>
      </c>
      <c r="J11" s="141" t="s">
        <v>1641</v>
      </c>
      <c r="K11" s="141" t="s">
        <v>1642</v>
      </c>
      <c r="L11" s="141" t="s">
        <v>1643</v>
      </c>
      <c r="M11" s="242"/>
      <c r="N11" s="243" t="s">
        <v>1644</v>
      </c>
      <c r="O11" s="243" t="s">
        <v>1645</v>
      </c>
      <c r="P11" s="244" t="s">
        <v>290</v>
      </c>
      <c r="Q11" s="244" t="s">
        <v>419</v>
      </c>
      <c r="R11" s="244" t="s">
        <v>49</v>
      </c>
      <c r="S11" s="244" t="s">
        <v>50</v>
      </c>
      <c r="T11" s="244" t="s">
        <v>51</v>
      </c>
      <c r="U11" s="244" t="s">
        <v>425</v>
      </c>
      <c r="V11" s="244" t="s">
        <v>52</v>
      </c>
      <c r="W11" s="244" t="s">
        <v>53</v>
      </c>
      <c r="X11" s="244" t="s">
        <v>1646</v>
      </c>
      <c r="Y11" s="245" t="s">
        <v>54</v>
      </c>
      <c r="Z11" s="244" t="s">
        <v>55</v>
      </c>
      <c r="AA11" s="244" t="s">
        <v>431</v>
      </c>
      <c r="AB11" s="244" t="s">
        <v>433</v>
      </c>
      <c r="AC11" s="244" t="s">
        <v>435</v>
      </c>
      <c r="AD11" s="244" t="s">
        <v>56</v>
      </c>
      <c r="AE11" s="244" t="s">
        <v>57</v>
      </c>
      <c r="AF11" s="244" t="s">
        <v>58</v>
      </c>
      <c r="AG11" s="244" t="s">
        <v>59</v>
      </c>
      <c r="AH11" s="244" t="s">
        <v>441</v>
      </c>
      <c r="AI11" s="244" t="s">
        <v>443</v>
      </c>
      <c r="AJ11" s="244" t="s">
        <v>60</v>
      </c>
      <c r="AK11" s="244" t="s">
        <v>446</v>
      </c>
      <c r="AL11" s="244" t="s">
        <v>448</v>
      </c>
      <c r="AM11" s="244" t="s">
        <v>450</v>
      </c>
      <c r="AN11" s="244" t="s">
        <v>61</v>
      </c>
      <c r="AO11" s="244" t="s">
        <v>453</v>
      </c>
      <c r="AP11" s="244" t="s">
        <v>62</v>
      </c>
      <c r="AQ11" s="244" t="s">
        <v>63</v>
      </c>
      <c r="AR11" s="244" t="s">
        <v>64</v>
      </c>
      <c r="AS11" s="244" t="s">
        <v>65</v>
      </c>
      <c r="AT11" s="244" t="s">
        <v>66</v>
      </c>
      <c r="AU11" s="244" t="s">
        <v>67</v>
      </c>
      <c r="AV11" s="244" t="s">
        <v>68</v>
      </c>
      <c r="AW11" s="244" t="s">
        <v>69</v>
      </c>
    </row>
    <row r="12">
      <c r="A12" s="108"/>
      <c r="B12" s="134" t="s">
        <v>1647</v>
      </c>
      <c r="C12" s="220"/>
      <c r="D12" s="134" t="s">
        <v>1648</v>
      </c>
      <c r="E12" s="134" t="str">
        <f>vlookup(D12,CNPJ!A1:B198,2,FAlse)</f>
        <v>04.329.668/0001-38</v>
      </c>
      <c r="F12" s="246">
        <v>207509.0</v>
      </c>
      <c r="G12" s="247">
        <v>25978.28</v>
      </c>
      <c r="H12" s="225">
        <v>44928.0</v>
      </c>
      <c r="I12" s="134" t="s">
        <v>1649</v>
      </c>
      <c r="J12" s="220"/>
      <c r="K12" s="134" t="b">
        <v>1</v>
      </c>
      <c r="L12" s="247">
        <f t="shared" ref="L12:L135" si="3">sum(P12:AW12)</f>
        <v>25978.28</v>
      </c>
      <c r="M12" s="248"/>
      <c r="N12" s="108" t="b">
        <f t="shared" ref="N12:N104" si="4">sum(P12:AO12)=G12</f>
        <v>1</v>
      </c>
      <c r="O12" s="229">
        <f t="shared" ref="O12:O135" si="5">if(K12=FALSE,0,if(len(B12)=0,0,if(len(B12)=9,1,(len(B12)+1)/10)))</f>
        <v>2</v>
      </c>
      <c r="P12" s="163">
        <f t="shared" ref="P12:AW12" si="2">iferror(if(P$9=FALSE,, if(if(search(P$11,$B12,1)&gt;0,1,0)=1,$G12/$O12,)),"")</f>
        <v>12989.14</v>
      </c>
      <c r="Q12" s="163" t="str">
        <f t="shared" si="2"/>
        <v/>
      </c>
      <c r="R12" s="163" t="str">
        <f t="shared" si="2"/>
        <v/>
      </c>
      <c r="S12" s="163" t="str">
        <f t="shared" si="2"/>
        <v/>
      </c>
      <c r="T12" s="163" t="str">
        <f t="shared" si="2"/>
        <v/>
      </c>
      <c r="U12" s="163" t="str">
        <f t="shared" si="2"/>
        <v/>
      </c>
      <c r="V12" s="163">
        <f t="shared" si="2"/>
        <v>12989.14</v>
      </c>
      <c r="W12" s="163" t="str">
        <f t="shared" si="2"/>
        <v/>
      </c>
      <c r="X12" s="163" t="str">
        <f t="shared" si="2"/>
        <v/>
      </c>
      <c r="Y12" s="163" t="str">
        <f t="shared" si="2"/>
        <v/>
      </c>
      <c r="Z12" s="163" t="str">
        <f t="shared" si="2"/>
        <v/>
      </c>
      <c r="AA12" s="163" t="str">
        <f t="shared" si="2"/>
        <v/>
      </c>
      <c r="AB12" s="163" t="str">
        <f t="shared" si="2"/>
        <v/>
      </c>
      <c r="AC12" s="163" t="str">
        <f t="shared" si="2"/>
        <v/>
      </c>
      <c r="AD12" s="163" t="str">
        <f t="shared" si="2"/>
        <v/>
      </c>
      <c r="AE12" s="163" t="str">
        <f t="shared" si="2"/>
        <v/>
      </c>
      <c r="AF12" s="163" t="str">
        <f t="shared" si="2"/>
        <v/>
      </c>
      <c r="AG12" s="163" t="str">
        <f t="shared" si="2"/>
        <v/>
      </c>
      <c r="AH12" s="163" t="str">
        <f t="shared" si="2"/>
        <v/>
      </c>
      <c r="AI12" s="163" t="str">
        <f t="shared" si="2"/>
        <v/>
      </c>
      <c r="AJ12" s="163" t="str">
        <f t="shared" si="2"/>
        <v/>
      </c>
      <c r="AK12" s="163" t="str">
        <f t="shared" si="2"/>
        <v/>
      </c>
      <c r="AL12" s="163" t="str">
        <f t="shared" si="2"/>
        <v/>
      </c>
      <c r="AM12" s="163" t="str">
        <f t="shared" si="2"/>
        <v/>
      </c>
      <c r="AN12" s="163" t="str">
        <f t="shared" si="2"/>
        <v/>
      </c>
      <c r="AO12" s="163" t="str">
        <f t="shared" si="2"/>
        <v/>
      </c>
      <c r="AP12" s="163" t="str">
        <f t="shared" si="2"/>
        <v/>
      </c>
      <c r="AQ12" s="163" t="str">
        <f t="shared" si="2"/>
        <v/>
      </c>
      <c r="AR12" s="163" t="str">
        <f t="shared" si="2"/>
        <v/>
      </c>
      <c r="AS12" s="163" t="str">
        <f t="shared" si="2"/>
        <v/>
      </c>
      <c r="AT12" s="163" t="str">
        <f t="shared" si="2"/>
        <v/>
      </c>
      <c r="AU12" s="163" t="str">
        <f t="shared" si="2"/>
        <v/>
      </c>
      <c r="AV12" s="163" t="str">
        <f t="shared" si="2"/>
        <v/>
      </c>
      <c r="AW12" s="163" t="str">
        <f t="shared" si="2"/>
        <v/>
      </c>
    </row>
    <row r="13">
      <c r="A13" s="108"/>
      <c r="B13" s="134" t="s">
        <v>290</v>
      </c>
      <c r="C13" s="220"/>
      <c r="D13" s="134" t="s">
        <v>1650</v>
      </c>
      <c r="E13" s="134" t="str">
        <f>vlookup(D13,CNPJ!A2:B199,2,FAlse)</f>
        <v>20.618.029/0001-49</v>
      </c>
      <c r="F13" s="246">
        <v>37177.0</v>
      </c>
      <c r="G13" s="247">
        <v>285.7</v>
      </c>
      <c r="H13" s="225">
        <v>44928.0</v>
      </c>
      <c r="I13" s="134" t="s">
        <v>1651</v>
      </c>
      <c r="J13" s="220"/>
      <c r="K13" s="134" t="b">
        <v>1</v>
      </c>
      <c r="L13" s="247">
        <f t="shared" si="3"/>
        <v>285.7</v>
      </c>
      <c r="M13" s="248"/>
      <c r="N13" s="108" t="b">
        <f t="shared" si="4"/>
        <v>1</v>
      </c>
      <c r="O13" s="229">
        <f t="shared" si="5"/>
        <v>1</v>
      </c>
      <c r="P13" s="163">
        <f t="shared" ref="P13:AW13" si="6">iferror(if(P$9=FALSE,, if(if(search(P$11,$B13,1)&gt;0,1,0)=1,$G13/$O13,)),"")</f>
        <v>285.7</v>
      </c>
      <c r="Q13" s="163" t="str">
        <f t="shared" si="6"/>
        <v/>
      </c>
      <c r="R13" s="163" t="str">
        <f t="shared" si="6"/>
        <v/>
      </c>
      <c r="S13" s="163" t="str">
        <f t="shared" si="6"/>
        <v/>
      </c>
      <c r="T13" s="163" t="str">
        <f t="shared" si="6"/>
        <v/>
      </c>
      <c r="U13" s="163" t="str">
        <f t="shared" si="6"/>
        <v/>
      </c>
      <c r="V13" s="163" t="str">
        <f t="shared" si="6"/>
        <v/>
      </c>
      <c r="W13" s="163" t="str">
        <f t="shared" si="6"/>
        <v/>
      </c>
      <c r="X13" s="163" t="str">
        <f t="shared" si="6"/>
        <v/>
      </c>
      <c r="Y13" s="163" t="str">
        <f t="shared" si="6"/>
        <v/>
      </c>
      <c r="Z13" s="163" t="str">
        <f t="shared" si="6"/>
        <v/>
      </c>
      <c r="AA13" s="163" t="str">
        <f t="shared" si="6"/>
        <v/>
      </c>
      <c r="AB13" s="163" t="str">
        <f t="shared" si="6"/>
        <v/>
      </c>
      <c r="AC13" s="163" t="str">
        <f t="shared" si="6"/>
        <v/>
      </c>
      <c r="AD13" s="163" t="str">
        <f t="shared" si="6"/>
        <v/>
      </c>
      <c r="AE13" s="163" t="str">
        <f t="shared" si="6"/>
        <v/>
      </c>
      <c r="AF13" s="163" t="str">
        <f t="shared" si="6"/>
        <v/>
      </c>
      <c r="AG13" s="163" t="str">
        <f t="shared" si="6"/>
        <v/>
      </c>
      <c r="AH13" s="163" t="str">
        <f t="shared" si="6"/>
        <v/>
      </c>
      <c r="AI13" s="163" t="str">
        <f t="shared" si="6"/>
        <v/>
      </c>
      <c r="AJ13" s="163" t="str">
        <f t="shared" si="6"/>
        <v/>
      </c>
      <c r="AK13" s="163" t="str">
        <f t="shared" si="6"/>
        <v/>
      </c>
      <c r="AL13" s="163" t="str">
        <f t="shared" si="6"/>
        <v/>
      </c>
      <c r="AM13" s="163" t="str">
        <f t="shared" si="6"/>
        <v/>
      </c>
      <c r="AN13" s="163" t="str">
        <f t="shared" si="6"/>
        <v/>
      </c>
      <c r="AO13" s="163" t="str">
        <f t="shared" si="6"/>
        <v/>
      </c>
      <c r="AP13" s="163" t="str">
        <f t="shared" si="6"/>
        <v/>
      </c>
      <c r="AQ13" s="163" t="str">
        <f t="shared" si="6"/>
        <v/>
      </c>
      <c r="AR13" s="163" t="str">
        <f t="shared" si="6"/>
        <v/>
      </c>
      <c r="AS13" s="163" t="str">
        <f t="shared" si="6"/>
        <v/>
      </c>
      <c r="AT13" s="162" t="str">
        <f t="shared" si="6"/>
        <v/>
      </c>
      <c r="AU13" s="163" t="str">
        <f t="shared" si="6"/>
        <v/>
      </c>
      <c r="AV13" s="163" t="str">
        <f t="shared" si="6"/>
        <v/>
      </c>
      <c r="AW13" s="163" t="str">
        <f t="shared" si="6"/>
        <v/>
      </c>
    </row>
    <row r="14">
      <c r="A14" s="108"/>
      <c r="B14" s="134" t="s">
        <v>54</v>
      </c>
      <c r="C14" s="220"/>
      <c r="D14" s="134" t="s">
        <v>1652</v>
      </c>
      <c r="E14" s="134" t="str">
        <f>vlookup(D14,CNPJ!A3:B200,2,FAlse)</f>
        <v>68.314.830/0001-27</v>
      </c>
      <c r="F14" s="246">
        <v>55390.0</v>
      </c>
      <c r="G14" s="247">
        <v>259.0</v>
      </c>
      <c r="H14" s="225">
        <v>44929.0</v>
      </c>
      <c r="I14" s="134" t="s">
        <v>1653</v>
      </c>
      <c r="J14" s="220"/>
      <c r="K14" s="134" t="b">
        <v>1</v>
      </c>
      <c r="L14" s="247">
        <f t="shared" si="3"/>
        <v>259</v>
      </c>
      <c r="M14" s="248"/>
      <c r="N14" s="108" t="b">
        <f t="shared" si="4"/>
        <v>1</v>
      </c>
      <c r="O14" s="229">
        <f t="shared" si="5"/>
        <v>1</v>
      </c>
      <c r="P14" s="163" t="str">
        <f t="shared" ref="P14:AW14" si="7">iferror(if(P$9=FALSE,, if(if(search(P$11,$B14,1)&gt;0,1,0)=1,$G14/$O14,)),"")</f>
        <v/>
      </c>
      <c r="Q14" s="163" t="str">
        <f t="shared" si="7"/>
        <v/>
      </c>
      <c r="R14" s="163" t="str">
        <f t="shared" si="7"/>
        <v/>
      </c>
      <c r="S14" s="163" t="str">
        <f t="shared" si="7"/>
        <v/>
      </c>
      <c r="T14" s="163" t="str">
        <f t="shared" si="7"/>
        <v/>
      </c>
      <c r="U14" s="163" t="str">
        <f t="shared" si="7"/>
        <v/>
      </c>
      <c r="V14" s="163" t="str">
        <f t="shared" si="7"/>
        <v/>
      </c>
      <c r="W14" s="163" t="str">
        <f t="shared" si="7"/>
        <v/>
      </c>
      <c r="X14" s="163" t="str">
        <f t="shared" si="7"/>
        <v/>
      </c>
      <c r="Y14" s="163">
        <f t="shared" si="7"/>
        <v>259</v>
      </c>
      <c r="Z14" s="163" t="str">
        <f t="shared" si="7"/>
        <v/>
      </c>
      <c r="AA14" s="163" t="str">
        <f t="shared" si="7"/>
        <v/>
      </c>
      <c r="AB14" s="163" t="str">
        <f t="shared" si="7"/>
        <v/>
      </c>
      <c r="AC14" s="163" t="str">
        <f t="shared" si="7"/>
        <v/>
      </c>
      <c r="AD14" s="163" t="str">
        <f t="shared" si="7"/>
        <v/>
      </c>
      <c r="AE14" s="163" t="str">
        <f t="shared" si="7"/>
        <v/>
      </c>
      <c r="AF14" s="163" t="str">
        <f t="shared" si="7"/>
        <v/>
      </c>
      <c r="AG14" s="163" t="str">
        <f t="shared" si="7"/>
        <v/>
      </c>
      <c r="AH14" s="163" t="str">
        <f t="shared" si="7"/>
        <v/>
      </c>
      <c r="AI14" s="163" t="str">
        <f t="shared" si="7"/>
        <v/>
      </c>
      <c r="AJ14" s="163" t="str">
        <f t="shared" si="7"/>
        <v/>
      </c>
      <c r="AK14" s="163" t="str">
        <f t="shared" si="7"/>
        <v/>
      </c>
      <c r="AL14" s="163" t="str">
        <f t="shared" si="7"/>
        <v/>
      </c>
      <c r="AM14" s="163" t="str">
        <f t="shared" si="7"/>
        <v/>
      </c>
      <c r="AN14" s="163" t="str">
        <f t="shared" si="7"/>
        <v/>
      </c>
      <c r="AO14" s="163" t="str">
        <f t="shared" si="7"/>
        <v/>
      </c>
      <c r="AP14" s="163" t="str">
        <f t="shared" si="7"/>
        <v/>
      </c>
      <c r="AQ14" s="163" t="str">
        <f t="shared" si="7"/>
        <v/>
      </c>
      <c r="AR14" s="163" t="str">
        <f t="shared" si="7"/>
        <v/>
      </c>
      <c r="AS14" s="163" t="str">
        <f t="shared" si="7"/>
        <v/>
      </c>
      <c r="AT14" s="163" t="str">
        <f t="shared" si="7"/>
        <v/>
      </c>
      <c r="AU14" s="163" t="str">
        <f t="shared" si="7"/>
        <v/>
      </c>
      <c r="AV14" s="163" t="str">
        <f t="shared" si="7"/>
        <v/>
      </c>
      <c r="AW14" s="163" t="str">
        <f t="shared" si="7"/>
        <v/>
      </c>
    </row>
    <row r="15">
      <c r="A15" s="108"/>
      <c r="B15" s="134" t="s">
        <v>290</v>
      </c>
      <c r="C15" s="220"/>
      <c r="D15" s="134" t="s">
        <v>1654</v>
      </c>
      <c r="E15" s="134" t="str">
        <f>vlookup(D15,CNPJ!A4:B201,2,FAlse)</f>
        <v>09.241.991/0001-79</v>
      </c>
      <c r="F15" s="246">
        <v>2470.0</v>
      </c>
      <c r="G15" s="247">
        <v>820.0</v>
      </c>
      <c r="H15" s="225">
        <v>44930.0</v>
      </c>
      <c r="I15" s="134" t="s">
        <v>1655</v>
      </c>
      <c r="J15" s="220"/>
      <c r="K15" s="134" t="b">
        <v>1</v>
      </c>
      <c r="L15" s="247">
        <f t="shared" si="3"/>
        <v>820</v>
      </c>
      <c r="M15" s="248"/>
      <c r="N15" s="108" t="b">
        <f t="shared" si="4"/>
        <v>1</v>
      </c>
      <c r="O15" s="229">
        <f t="shared" si="5"/>
        <v>1</v>
      </c>
      <c r="P15" s="163">
        <f t="shared" ref="P15:AW15" si="8">iferror(if(P$9=FALSE,, if(if(search(P$11,$B15,1)&gt;0,1,0)=1,$G15/$O15,)),"")</f>
        <v>820</v>
      </c>
      <c r="Q15" s="163" t="str">
        <f t="shared" si="8"/>
        <v/>
      </c>
      <c r="R15" s="163" t="str">
        <f t="shared" si="8"/>
        <v/>
      </c>
      <c r="S15" s="163" t="str">
        <f t="shared" si="8"/>
        <v/>
      </c>
      <c r="T15" s="163" t="str">
        <f t="shared" si="8"/>
        <v/>
      </c>
      <c r="U15" s="163" t="str">
        <f t="shared" si="8"/>
        <v/>
      </c>
      <c r="V15" s="163" t="str">
        <f t="shared" si="8"/>
        <v/>
      </c>
      <c r="W15" s="163" t="str">
        <f t="shared" si="8"/>
        <v/>
      </c>
      <c r="X15" s="163" t="str">
        <f t="shared" si="8"/>
        <v/>
      </c>
      <c r="Y15" s="163" t="str">
        <f t="shared" si="8"/>
        <v/>
      </c>
      <c r="Z15" s="163" t="str">
        <f t="shared" si="8"/>
        <v/>
      </c>
      <c r="AA15" s="163" t="str">
        <f t="shared" si="8"/>
        <v/>
      </c>
      <c r="AB15" s="163" t="str">
        <f t="shared" si="8"/>
        <v/>
      </c>
      <c r="AC15" s="163" t="str">
        <f t="shared" si="8"/>
        <v/>
      </c>
      <c r="AD15" s="163" t="str">
        <f t="shared" si="8"/>
        <v/>
      </c>
      <c r="AE15" s="163" t="str">
        <f t="shared" si="8"/>
        <v/>
      </c>
      <c r="AF15" s="163" t="str">
        <f t="shared" si="8"/>
        <v/>
      </c>
      <c r="AG15" s="163" t="str">
        <f t="shared" si="8"/>
        <v/>
      </c>
      <c r="AH15" s="163" t="str">
        <f t="shared" si="8"/>
        <v/>
      </c>
      <c r="AI15" s="163" t="str">
        <f t="shared" si="8"/>
        <v/>
      </c>
      <c r="AJ15" s="163" t="str">
        <f t="shared" si="8"/>
        <v/>
      </c>
      <c r="AK15" s="163" t="str">
        <f t="shared" si="8"/>
        <v/>
      </c>
      <c r="AL15" s="163" t="str">
        <f t="shared" si="8"/>
        <v/>
      </c>
      <c r="AM15" s="163" t="str">
        <f t="shared" si="8"/>
        <v/>
      </c>
      <c r="AN15" s="163" t="str">
        <f t="shared" si="8"/>
        <v/>
      </c>
      <c r="AO15" s="163" t="str">
        <f t="shared" si="8"/>
        <v/>
      </c>
      <c r="AP15" s="163" t="str">
        <f t="shared" si="8"/>
        <v/>
      </c>
      <c r="AQ15" s="163" t="str">
        <f t="shared" si="8"/>
        <v/>
      </c>
      <c r="AR15" s="163" t="str">
        <f t="shared" si="8"/>
        <v/>
      </c>
      <c r="AS15" s="163" t="str">
        <f t="shared" si="8"/>
        <v/>
      </c>
      <c r="AT15" s="163" t="str">
        <f t="shared" si="8"/>
        <v/>
      </c>
      <c r="AU15" s="163" t="str">
        <f t="shared" si="8"/>
        <v/>
      </c>
      <c r="AV15" s="163" t="str">
        <f t="shared" si="8"/>
        <v/>
      </c>
      <c r="AW15" s="163" t="str">
        <f t="shared" si="8"/>
        <v/>
      </c>
    </row>
    <row r="16">
      <c r="A16" s="108"/>
      <c r="B16" s="134" t="s">
        <v>59</v>
      </c>
      <c r="C16" s="220"/>
      <c r="D16" s="134" t="s">
        <v>1656</v>
      </c>
      <c r="E16" s="134" t="str">
        <f>vlookup(D16,CNPJ!A5:B202,2,FAlse)</f>
        <v>02.980.901/0001-12</v>
      </c>
      <c r="F16" s="246">
        <v>6435.0</v>
      </c>
      <c r="G16" s="247">
        <v>723.0</v>
      </c>
      <c r="H16" s="225">
        <v>44936.0</v>
      </c>
      <c r="I16" s="134" t="s">
        <v>1657</v>
      </c>
      <c r="J16" s="220"/>
      <c r="K16" s="134" t="b">
        <v>1</v>
      </c>
      <c r="L16" s="247">
        <f t="shared" si="3"/>
        <v>723</v>
      </c>
      <c r="M16" s="248"/>
      <c r="N16" s="108" t="b">
        <f t="shared" si="4"/>
        <v>1</v>
      </c>
      <c r="O16" s="229">
        <f t="shared" si="5"/>
        <v>1</v>
      </c>
      <c r="P16" s="163" t="str">
        <f t="shared" ref="P16:AW16" si="9">iferror(if(P$9=FALSE,, if(if(search(P$11,$B16,1)&gt;0,1,0)=1,$G16/$O16,)),"")</f>
        <v/>
      </c>
      <c r="Q16" s="163" t="str">
        <f t="shared" si="9"/>
        <v/>
      </c>
      <c r="R16" s="163" t="str">
        <f t="shared" si="9"/>
        <v/>
      </c>
      <c r="S16" s="163" t="str">
        <f t="shared" si="9"/>
        <v/>
      </c>
      <c r="T16" s="163" t="str">
        <f t="shared" si="9"/>
        <v/>
      </c>
      <c r="U16" s="163" t="str">
        <f t="shared" si="9"/>
        <v/>
      </c>
      <c r="V16" s="163" t="str">
        <f t="shared" si="9"/>
        <v/>
      </c>
      <c r="W16" s="163" t="str">
        <f t="shared" si="9"/>
        <v/>
      </c>
      <c r="X16" s="163" t="str">
        <f t="shared" si="9"/>
        <v/>
      </c>
      <c r="Y16" s="163" t="str">
        <f t="shared" si="9"/>
        <v/>
      </c>
      <c r="Z16" s="163" t="str">
        <f t="shared" si="9"/>
        <v/>
      </c>
      <c r="AA16" s="163" t="str">
        <f t="shared" si="9"/>
        <v/>
      </c>
      <c r="AB16" s="163" t="str">
        <f t="shared" si="9"/>
        <v/>
      </c>
      <c r="AC16" s="163" t="str">
        <f t="shared" si="9"/>
        <v/>
      </c>
      <c r="AD16" s="163" t="str">
        <f t="shared" si="9"/>
        <v/>
      </c>
      <c r="AE16" s="163" t="str">
        <f t="shared" si="9"/>
        <v/>
      </c>
      <c r="AF16" s="163" t="str">
        <f t="shared" si="9"/>
        <v/>
      </c>
      <c r="AG16" s="163">
        <f t="shared" si="9"/>
        <v>723</v>
      </c>
      <c r="AH16" s="163" t="str">
        <f t="shared" si="9"/>
        <v/>
      </c>
      <c r="AI16" s="163" t="str">
        <f t="shared" si="9"/>
        <v/>
      </c>
      <c r="AJ16" s="163" t="str">
        <f t="shared" si="9"/>
        <v/>
      </c>
      <c r="AK16" s="163" t="str">
        <f t="shared" si="9"/>
        <v/>
      </c>
      <c r="AL16" s="163" t="str">
        <f t="shared" si="9"/>
        <v/>
      </c>
      <c r="AM16" s="163" t="str">
        <f t="shared" si="9"/>
        <v/>
      </c>
      <c r="AN16" s="163" t="str">
        <f t="shared" si="9"/>
        <v/>
      </c>
      <c r="AO16" s="163" t="str">
        <f t="shared" si="9"/>
        <v/>
      </c>
      <c r="AP16" s="163" t="str">
        <f t="shared" si="9"/>
        <v/>
      </c>
      <c r="AQ16" s="163" t="str">
        <f t="shared" si="9"/>
        <v/>
      </c>
      <c r="AR16" s="163" t="str">
        <f t="shared" si="9"/>
        <v/>
      </c>
      <c r="AS16" s="163" t="str">
        <f t="shared" si="9"/>
        <v/>
      </c>
      <c r="AT16" s="163" t="str">
        <f t="shared" si="9"/>
        <v/>
      </c>
      <c r="AU16" s="163" t="str">
        <f t="shared" si="9"/>
        <v/>
      </c>
      <c r="AV16" s="163" t="str">
        <f t="shared" si="9"/>
        <v/>
      </c>
      <c r="AW16" s="163" t="str">
        <f t="shared" si="9"/>
        <v/>
      </c>
    </row>
    <row r="17">
      <c r="A17" s="108"/>
      <c r="B17" s="134" t="s">
        <v>50</v>
      </c>
      <c r="C17" s="220"/>
      <c r="D17" s="134" t="s">
        <v>1658</v>
      </c>
      <c r="E17" s="134" t="str">
        <f>vlookup(D17,CNPJ!A6:B203,2,FAlse)</f>
        <v>26.785.411/0001-23</v>
      </c>
      <c r="F17" s="246">
        <v>528.0</v>
      </c>
      <c r="G17" s="247">
        <v>3748.94</v>
      </c>
      <c r="H17" s="225">
        <v>44936.0</v>
      </c>
      <c r="I17" s="134" t="s">
        <v>1659</v>
      </c>
      <c r="J17" s="220"/>
      <c r="K17" s="134" t="b">
        <v>0</v>
      </c>
      <c r="L17" s="247">
        <f t="shared" si="3"/>
        <v>0</v>
      </c>
      <c r="M17" s="248" t="s">
        <v>1660</v>
      </c>
      <c r="N17" s="108" t="b">
        <f t="shared" si="4"/>
        <v>0</v>
      </c>
      <c r="O17" s="229">
        <f t="shared" si="5"/>
        <v>0</v>
      </c>
      <c r="P17" s="163" t="str">
        <f t="shared" ref="P17:AW17" si="10">iferror(if(P$9=FALSE,, if(if(search(P$11,$B17,1)&gt;0,1,0)=1,$G17/$O17,)),"")</f>
        <v/>
      </c>
      <c r="Q17" s="163" t="str">
        <f t="shared" si="10"/>
        <v/>
      </c>
      <c r="R17" s="163" t="str">
        <f t="shared" si="10"/>
        <v/>
      </c>
      <c r="S17" s="163" t="str">
        <f t="shared" si="10"/>
        <v/>
      </c>
      <c r="T17" s="163" t="str">
        <f t="shared" si="10"/>
        <v/>
      </c>
      <c r="U17" s="163" t="str">
        <f t="shared" si="10"/>
        <v/>
      </c>
      <c r="V17" s="163" t="str">
        <f t="shared" si="10"/>
        <v/>
      </c>
      <c r="W17" s="163" t="str">
        <f t="shared" si="10"/>
        <v/>
      </c>
      <c r="X17" s="163" t="str">
        <f t="shared" si="10"/>
        <v/>
      </c>
      <c r="Y17" s="163" t="str">
        <f t="shared" si="10"/>
        <v/>
      </c>
      <c r="Z17" s="163" t="str">
        <f t="shared" si="10"/>
        <v/>
      </c>
      <c r="AA17" s="163" t="str">
        <f t="shared" si="10"/>
        <v/>
      </c>
      <c r="AB17" s="163" t="str">
        <f t="shared" si="10"/>
        <v/>
      </c>
      <c r="AC17" s="163" t="str">
        <f t="shared" si="10"/>
        <v/>
      </c>
      <c r="AD17" s="163" t="str">
        <f t="shared" si="10"/>
        <v/>
      </c>
      <c r="AE17" s="163" t="str">
        <f t="shared" si="10"/>
        <v/>
      </c>
      <c r="AF17" s="163" t="str">
        <f t="shared" si="10"/>
        <v/>
      </c>
      <c r="AG17" s="163" t="str">
        <f t="shared" si="10"/>
        <v/>
      </c>
      <c r="AH17" s="163" t="str">
        <f t="shared" si="10"/>
        <v/>
      </c>
      <c r="AI17" s="163" t="str">
        <f t="shared" si="10"/>
        <v/>
      </c>
      <c r="AJ17" s="163" t="str">
        <f t="shared" si="10"/>
        <v/>
      </c>
      <c r="AK17" s="163" t="str">
        <f t="shared" si="10"/>
        <v/>
      </c>
      <c r="AL17" s="163" t="str">
        <f t="shared" si="10"/>
        <v/>
      </c>
      <c r="AM17" s="163" t="str">
        <f t="shared" si="10"/>
        <v/>
      </c>
      <c r="AN17" s="163" t="str">
        <f t="shared" si="10"/>
        <v/>
      </c>
      <c r="AO17" s="163" t="str">
        <f t="shared" si="10"/>
        <v/>
      </c>
      <c r="AP17" s="163" t="str">
        <f t="shared" si="10"/>
        <v/>
      </c>
      <c r="AQ17" s="163" t="str">
        <f t="shared" si="10"/>
        <v/>
      </c>
      <c r="AR17" s="163" t="str">
        <f t="shared" si="10"/>
        <v/>
      </c>
      <c r="AS17" s="163" t="str">
        <f t="shared" si="10"/>
        <v/>
      </c>
      <c r="AT17" s="163" t="str">
        <f t="shared" si="10"/>
        <v/>
      </c>
      <c r="AU17" s="163" t="str">
        <f t="shared" si="10"/>
        <v/>
      </c>
      <c r="AV17" s="163" t="str">
        <f t="shared" si="10"/>
        <v/>
      </c>
      <c r="AW17" s="163" t="str">
        <f t="shared" si="10"/>
        <v/>
      </c>
    </row>
    <row r="18">
      <c r="A18" s="108"/>
      <c r="B18" s="134" t="s">
        <v>290</v>
      </c>
      <c r="C18" s="220"/>
      <c r="D18" s="134" t="s">
        <v>1661</v>
      </c>
      <c r="E18" s="134" t="str">
        <f>vlookup(D18,CNPJ!A7:B204,2,FAlse)</f>
        <v>73.506.453/0001−68</v>
      </c>
      <c r="F18" s="246">
        <v>49409.0</v>
      </c>
      <c r="G18" s="247">
        <v>734.0</v>
      </c>
      <c r="H18" s="225">
        <v>44942.0</v>
      </c>
      <c r="I18" s="134" t="s">
        <v>1662</v>
      </c>
      <c r="J18" s="220"/>
      <c r="K18" s="134" t="b">
        <v>1</v>
      </c>
      <c r="L18" s="247">
        <f t="shared" si="3"/>
        <v>734</v>
      </c>
      <c r="M18" s="248"/>
      <c r="N18" s="108" t="b">
        <f t="shared" si="4"/>
        <v>1</v>
      </c>
      <c r="O18" s="229">
        <f t="shared" si="5"/>
        <v>1</v>
      </c>
      <c r="P18" s="163">
        <f t="shared" ref="P18:AW18" si="11">iferror(if(P$9=FALSE,, if(if(search(P$11,$B18,1)&gt;0,1,0)=1,$G18/$O18,)),"")</f>
        <v>734</v>
      </c>
      <c r="Q18" s="163" t="str">
        <f t="shared" si="11"/>
        <v/>
      </c>
      <c r="R18" s="163" t="str">
        <f t="shared" si="11"/>
        <v/>
      </c>
      <c r="S18" s="163" t="str">
        <f t="shared" si="11"/>
        <v/>
      </c>
      <c r="T18" s="163" t="str">
        <f t="shared" si="11"/>
        <v/>
      </c>
      <c r="U18" s="163" t="str">
        <f t="shared" si="11"/>
        <v/>
      </c>
      <c r="V18" s="163" t="str">
        <f t="shared" si="11"/>
        <v/>
      </c>
      <c r="W18" s="163" t="str">
        <f t="shared" si="11"/>
        <v/>
      </c>
      <c r="X18" s="163" t="str">
        <f t="shared" si="11"/>
        <v/>
      </c>
      <c r="Y18" s="163" t="str">
        <f t="shared" si="11"/>
        <v/>
      </c>
      <c r="Z18" s="163" t="str">
        <f t="shared" si="11"/>
        <v/>
      </c>
      <c r="AA18" s="163" t="str">
        <f t="shared" si="11"/>
        <v/>
      </c>
      <c r="AB18" s="163" t="str">
        <f t="shared" si="11"/>
        <v/>
      </c>
      <c r="AC18" s="163" t="str">
        <f t="shared" si="11"/>
        <v/>
      </c>
      <c r="AD18" s="163" t="str">
        <f t="shared" si="11"/>
        <v/>
      </c>
      <c r="AE18" s="163" t="str">
        <f t="shared" si="11"/>
        <v/>
      </c>
      <c r="AF18" s="163" t="str">
        <f t="shared" si="11"/>
        <v/>
      </c>
      <c r="AG18" s="163" t="str">
        <f t="shared" si="11"/>
        <v/>
      </c>
      <c r="AH18" s="163" t="str">
        <f t="shared" si="11"/>
        <v/>
      </c>
      <c r="AI18" s="163" t="str">
        <f t="shared" si="11"/>
        <v/>
      </c>
      <c r="AJ18" s="163" t="str">
        <f t="shared" si="11"/>
        <v/>
      </c>
      <c r="AK18" s="163" t="str">
        <f t="shared" si="11"/>
        <v/>
      </c>
      <c r="AL18" s="163" t="str">
        <f t="shared" si="11"/>
        <v/>
      </c>
      <c r="AM18" s="163" t="str">
        <f t="shared" si="11"/>
        <v/>
      </c>
      <c r="AN18" s="163" t="str">
        <f t="shared" si="11"/>
        <v/>
      </c>
      <c r="AO18" s="163" t="str">
        <f t="shared" si="11"/>
        <v/>
      </c>
      <c r="AP18" s="163" t="str">
        <f t="shared" si="11"/>
        <v/>
      </c>
      <c r="AQ18" s="163" t="str">
        <f t="shared" si="11"/>
        <v/>
      </c>
      <c r="AR18" s="163" t="str">
        <f t="shared" si="11"/>
        <v/>
      </c>
      <c r="AS18" s="163" t="str">
        <f t="shared" si="11"/>
        <v/>
      </c>
      <c r="AT18" s="163" t="str">
        <f t="shared" si="11"/>
        <v/>
      </c>
      <c r="AU18" s="163" t="str">
        <f t="shared" si="11"/>
        <v/>
      </c>
      <c r="AV18" s="163" t="str">
        <f t="shared" si="11"/>
        <v/>
      </c>
      <c r="AW18" s="163" t="str">
        <f t="shared" si="11"/>
        <v/>
      </c>
    </row>
    <row r="19">
      <c r="A19" s="108"/>
      <c r="B19" s="134" t="s">
        <v>1663</v>
      </c>
      <c r="C19" s="220"/>
      <c r="D19" s="134" t="s">
        <v>1650</v>
      </c>
      <c r="E19" s="134" t="str">
        <f>vlookup(D19,CNPJ!A8:B205,2,FAlse)</f>
        <v>20.618.029/0001-49</v>
      </c>
      <c r="F19" s="249">
        <v>67637.0</v>
      </c>
      <c r="G19" s="247">
        <v>63.15</v>
      </c>
      <c r="H19" s="225">
        <v>44943.0</v>
      </c>
      <c r="I19" s="134" t="s">
        <v>1664</v>
      </c>
      <c r="J19" s="220"/>
      <c r="K19" s="134" t="b">
        <v>1</v>
      </c>
      <c r="L19" s="247">
        <f t="shared" si="3"/>
        <v>0</v>
      </c>
      <c r="M19" s="248"/>
      <c r="N19" s="108" t="b">
        <f t="shared" si="4"/>
        <v>0</v>
      </c>
      <c r="O19" s="229">
        <f t="shared" si="5"/>
        <v>1</v>
      </c>
      <c r="P19" s="163" t="str">
        <f t="shared" ref="P19:AW19" si="12">iferror(if(P$9=FALSE,, if(if(search(P$11,$B19,1)&gt;0,1,0)=1,$G19/$O19,)),"")</f>
        <v/>
      </c>
      <c r="Q19" s="163" t="str">
        <f t="shared" si="12"/>
        <v/>
      </c>
      <c r="R19" s="163" t="str">
        <f t="shared" si="12"/>
        <v/>
      </c>
      <c r="S19" s="163" t="str">
        <f t="shared" si="12"/>
        <v/>
      </c>
      <c r="T19" s="163" t="str">
        <f t="shared" si="12"/>
        <v/>
      </c>
      <c r="U19" s="163" t="str">
        <f t="shared" si="12"/>
        <v/>
      </c>
      <c r="V19" s="163" t="str">
        <f t="shared" si="12"/>
        <v/>
      </c>
      <c r="W19" s="163" t="str">
        <f t="shared" si="12"/>
        <v/>
      </c>
      <c r="X19" s="163" t="str">
        <f t="shared" si="12"/>
        <v/>
      </c>
      <c r="Y19" s="163" t="str">
        <f t="shared" si="12"/>
        <v/>
      </c>
      <c r="Z19" s="163" t="str">
        <f t="shared" si="12"/>
        <v/>
      </c>
      <c r="AA19" s="163" t="str">
        <f t="shared" si="12"/>
        <v/>
      </c>
      <c r="AB19" s="163" t="str">
        <f t="shared" si="12"/>
        <v/>
      </c>
      <c r="AC19" s="163" t="str">
        <f t="shared" si="12"/>
        <v/>
      </c>
      <c r="AD19" s="163" t="str">
        <f t="shared" si="12"/>
        <v/>
      </c>
      <c r="AE19" s="163" t="str">
        <f t="shared" si="12"/>
        <v/>
      </c>
      <c r="AF19" s="163" t="str">
        <f t="shared" si="12"/>
        <v/>
      </c>
      <c r="AG19" s="163" t="str">
        <f t="shared" si="12"/>
        <v/>
      </c>
      <c r="AH19" s="163" t="str">
        <f t="shared" si="12"/>
        <v/>
      </c>
      <c r="AI19" s="163" t="str">
        <f t="shared" si="12"/>
        <v/>
      </c>
      <c r="AJ19" s="163" t="str">
        <f t="shared" si="12"/>
        <v/>
      </c>
      <c r="AK19" s="163" t="str">
        <f t="shared" si="12"/>
        <v/>
      </c>
      <c r="AL19" s="163" t="str">
        <f t="shared" si="12"/>
        <v/>
      </c>
      <c r="AM19" s="163" t="str">
        <f t="shared" si="12"/>
        <v/>
      </c>
      <c r="AN19" s="163" t="str">
        <f t="shared" si="12"/>
        <v/>
      </c>
      <c r="AO19" s="163" t="str">
        <f t="shared" si="12"/>
        <v/>
      </c>
      <c r="AP19" s="163" t="str">
        <f t="shared" si="12"/>
        <v/>
      </c>
      <c r="AQ19" s="163" t="str">
        <f t="shared" si="12"/>
        <v/>
      </c>
      <c r="AR19" s="163" t="str">
        <f t="shared" si="12"/>
        <v/>
      </c>
      <c r="AS19" s="163" t="str">
        <f t="shared" si="12"/>
        <v/>
      </c>
      <c r="AT19" s="163" t="str">
        <f t="shared" si="12"/>
        <v/>
      </c>
      <c r="AU19" s="163" t="str">
        <f t="shared" si="12"/>
        <v/>
      </c>
      <c r="AV19" s="163" t="str">
        <f t="shared" si="12"/>
        <v/>
      </c>
      <c r="AW19" s="163" t="str">
        <f t="shared" si="12"/>
        <v/>
      </c>
    </row>
    <row r="20">
      <c r="A20" s="108"/>
      <c r="B20" s="134" t="s">
        <v>58</v>
      </c>
      <c r="C20" s="220"/>
      <c r="D20" s="134" t="s">
        <v>1665</v>
      </c>
      <c r="E20" s="134" t="str">
        <f>vlookup(D20,CNPJ!A9:B206,2,FAlse)</f>
        <v>00.799.205/0001-89</v>
      </c>
      <c r="F20" s="249">
        <v>104162.0</v>
      </c>
      <c r="G20" s="247">
        <v>1476.0</v>
      </c>
      <c r="H20" s="225">
        <v>44946.0</v>
      </c>
      <c r="I20" s="134" t="s">
        <v>1666</v>
      </c>
      <c r="J20" s="220"/>
      <c r="K20" s="134" t="b">
        <v>1</v>
      </c>
      <c r="L20" s="247">
        <f t="shared" si="3"/>
        <v>1476</v>
      </c>
      <c r="M20" s="248"/>
      <c r="N20" s="108" t="b">
        <f t="shared" si="4"/>
        <v>1</v>
      </c>
      <c r="O20" s="229">
        <f t="shared" si="5"/>
        <v>1</v>
      </c>
      <c r="P20" s="163" t="str">
        <f t="shared" ref="P20:AW20" si="13">iferror(if(P$9=FALSE,, if(if(search(P$11,$B20,1)&gt;0,1,0)=1,$G20/$O20,)),"")</f>
        <v/>
      </c>
      <c r="Q20" s="163" t="str">
        <f t="shared" si="13"/>
        <v/>
      </c>
      <c r="R20" s="163" t="str">
        <f t="shared" si="13"/>
        <v/>
      </c>
      <c r="S20" s="163" t="str">
        <f t="shared" si="13"/>
        <v/>
      </c>
      <c r="T20" s="163" t="str">
        <f t="shared" si="13"/>
        <v/>
      </c>
      <c r="U20" s="163" t="str">
        <f t="shared" si="13"/>
        <v/>
      </c>
      <c r="V20" s="163" t="str">
        <f t="shared" si="13"/>
        <v/>
      </c>
      <c r="W20" s="163" t="str">
        <f t="shared" si="13"/>
        <v/>
      </c>
      <c r="X20" s="163" t="str">
        <f t="shared" si="13"/>
        <v/>
      </c>
      <c r="Y20" s="163" t="str">
        <f t="shared" si="13"/>
        <v/>
      </c>
      <c r="Z20" s="163" t="str">
        <f t="shared" si="13"/>
        <v/>
      </c>
      <c r="AA20" s="163" t="str">
        <f t="shared" si="13"/>
        <v/>
      </c>
      <c r="AB20" s="163" t="str">
        <f t="shared" si="13"/>
        <v/>
      </c>
      <c r="AC20" s="163" t="str">
        <f t="shared" si="13"/>
        <v/>
      </c>
      <c r="AD20" s="163" t="str">
        <f t="shared" si="13"/>
        <v/>
      </c>
      <c r="AE20" s="163" t="str">
        <f t="shared" si="13"/>
        <v/>
      </c>
      <c r="AF20" s="163">
        <f t="shared" si="13"/>
        <v>1476</v>
      </c>
      <c r="AG20" s="163" t="str">
        <f t="shared" si="13"/>
        <v/>
      </c>
      <c r="AH20" s="163" t="str">
        <f t="shared" si="13"/>
        <v/>
      </c>
      <c r="AI20" s="163" t="str">
        <f t="shared" si="13"/>
        <v/>
      </c>
      <c r="AJ20" s="163" t="str">
        <f t="shared" si="13"/>
        <v/>
      </c>
      <c r="AK20" s="163" t="str">
        <f t="shared" si="13"/>
        <v/>
      </c>
      <c r="AL20" s="163" t="str">
        <f t="shared" si="13"/>
        <v/>
      </c>
      <c r="AM20" s="163" t="str">
        <f t="shared" si="13"/>
        <v/>
      </c>
      <c r="AN20" s="163" t="str">
        <f t="shared" si="13"/>
        <v/>
      </c>
      <c r="AO20" s="163" t="str">
        <f t="shared" si="13"/>
        <v/>
      </c>
      <c r="AP20" s="163" t="str">
        <f t="shared" si="13"/>
        <v/>
      </c>
      <c r="AQ20" s="163" t="str">
        <f t="shared" si="13"/>
        <v/>
      </c>
      <c r="AR20" s="163" t="str">
        <f t="shared" si="13"/>
        <v/>
      </c>
      <c r="AS20" s="163" t="str">
        <f t="shared" si="13"/>
        <v/>
      </c>
      <c r="AT20" s="163" t="str">
        <f t="shared" si="13"/>
        <v/>
      </c>
      <c r="AU20" s="163" t="str">
        <f t="shared" si="13"/>
        <v/>
      </c>
      <c r="AV20" s="163" t="str">
        <f t="shared" si="13"/>
        <v/>
      </c>
      <c r="AW20" s="163" t="str">
        <f t="shared" si="13"/>
        <v/>
      </c>
    </row>
    <row r="21">
      <c r="A21" s="108"/>
      <c r="B21" s="134" t="s">
        <v>59</v>
      </c>
      <c r="C21" s="220"/>
      <c r="D21" s="134" t="s">
        <v>1667</v>
      </c>
      <c r="E21" s="134" t="str">
        <f>vlookup(D21,CNPJ!A10:B207,2,FAlse)</f>
        <v>08.183.359/0003-15</v>
      </c>
      <c r="F21" s="246">
        <v>68015.0</v>
      </c>
      <c r="G21" s="247">
        <v>756.0</v>
      </c>
      <c r="H21" s="225">
        <v>44945.0</v>
      </c>
      <c r="I21" s="134" t="s">
        <v>1668</v>
      </c>
      <c r="J21" s="220"/>
      <c r="K21" s="134" t="b">
        <v>0</v>
      </c>
      <c r="L21" s="247">
        <f t="shared" si="3"/>
        <v>0</v>
      </c>
      <c r="M21" s="248"/>
      <c r="N21" s="108" t="b">
        <f t="shared" si="4"/>
        <v>0</v>
      </c>
      <c r="O21" s="229">
        <f t="shared" si="5"/>
        <v>0</v>
      </c>
      <c r="P21" s="163" t="str">
        <f t="shared" ref="P21:AW21" si="14">iferror(if(P$9=FALSE,, if(if(search(P$11,$B21,1)&gt;0,1,0)=1,$G21/$O21,)),"")</f>
        <v/>
      </c>
      <c r="Q21" s="163" t="str">
        <f t="shared" si="14"/>
        <v/>
      </c>
      <c r="R21" s="163" t="str">
        <f t="shared" si="14"/>
        <v/>
      </c>
      <c r="S21" s="163" t="str">
        <f t="shared" si="14"/>
        <v/>
      </c>
      <c r="T21" s="163" t="str">
        <f t="shared" si="14"/>
        <v/>
      </c>
      <c r="U21" s="163" t="str">
        <f t="shared" si="14"/>
        <v/>
      </c>
      <c r="V21" s="163" t="str">
        <f t="shared" si="14"/>
        <v/>
      </c>
      <c r="W21" s="163" t="str">
        <f t="shared" si="14"/>
        <v/>
      </c>
      <c r="X21" s="163" t="str">
        <f t="shared" si="14"/>
        <v/>
      </c>
      <c r="Y21" s="163" t="str">
        <f t="shared" si="14"/>
        <v/>
      </c>
      <c r="Z21" s="163" t="str">
        <f t="shared" si="14"/>
        <v/>
      </c>
      <c r="AA21" s="163" t="str">
        <f t="shared" si="14"/>
        <v/>
      </c>
      <c r="AB21" s="163" t="str">
        <f t="shared" si="14"/>
        <v/>
      </c>
      <c r="AC21" s="163" t="str">
        <f t="shared" si="14"/>
        <v/>
      </c>
      <c r="AD21" s="163" t="str">
        <f t="shared" si="14"/>
        <v/>
      </c>
      <c r="AE21" s="163" t="str">
        <f t="shared" si="14"/>
        <v/>
      </c>
      <c r="AF21" s="163" t="str">
        <f t="shared" si="14"/>
        <v/>
      </c>
      <c r="AG21" s="163" t="str">
        <f t="shared" si="14"/>
        <v/>
      </c>
      <c r="AH21" s="163" t="str">
        <f t="shared" si="14"/>
        <v/>
      </c>
      <c r="AI21" s="163" t="str">
        <f t="shared" si="14"/>
        <v/>
      </c>
      <c r="AJ21" s="163" t="str">
        <f t="shared" si="14"/>
        <v/>
      </c>
      <c r="AK21" s="163" t="str">
        <f t="shared" si="14"/>
        <v/>
      </c>
      <c r="AL21" s="163" t="str">
        <f t="shared" si="14"/>
        <v/>
      </c>
      <c r="AM21" s="163" t="str">
        <f t="shared" si="14"/>
        <v/>
      </c>
      <c r="AN21" s="163" t="str">
        <f t="shared" si="14"/>
        <v/>
      </c>
      <c r="AO21" s="163" t="str">
        <f t="shared" si="14"/>
        <v/>
      </c>
      <c r="AP21" s="163" t="str">
        <f t="shared" si="14"/>
        <v/>
      </c>
      <c r="AQ21" s="163" t="str">
        <f t="shared" si="14"/>
        <v/>
      </c>
      <c r="AR21" s="163" t="str">
        <f t="shared" si="14"/>
        <v/>
      </c>
      <c r="AS21" s="163" t="str">
        <f t="shared" si="14"/>
        <v/>
      </c>
      <c r="AT21" s="163" t="str">
        <f t="shared" si="14"/>
        <v/>
      </c>
      <c r="AU21" s="163" t="str">
        <f t="shared" si="14"/>
        <v/>
      </c>
      <c r="AV21" s="163" t="str">
        <f t="shared" si="14"/>
        <v/>
      </c>
      <c r="AW21" s="163" t="str">
        <f t="shared" si="14"/>
        <v/>
      </c>
    </row>
    <row r="22">
      <c r="A22" s="108"/>
      <c r="B22" s="134" t="s">
        <v>290</v>
      </c>
      <c r="C22" s="220"/>
      <c r="D22" s="134" t="s">
        <v>1648</v>
      </c>
      <c r="E22" s="134" t="str">
        <f>vlookup(D22,CNPJ!A11:B208,2,FAlse)</f>
        <v>04.329.668/0001-38</v>
      </c>
      <c r="F22" s="246">
        <v>209456.0</v>
      </c>
      <c r="G22" s="247">
        <v>8298.09</v>
      </c>
      <c r="H22" s="225">
        <v>44956.0</v>
      </c>
      <c r="I22" s="134" t="s">
        <v>1669</v>
      </c>
      <c r="J22" s="220"/>
      <c r="K22" s="134" t="b">
        <v>1</v>
      </c>
      <c r="L22" s="247">
        <f t="shared" si="3"/>
        <v>8298.09</v>
      </c>
      <c r="M22" s="248"/>
      <c r="N22" s="108" t="b">
        <f t="shared" si="4"/>
        <v>1</v>
      </c>
      <c r="O22" s="229">
        <f t="shared" si="5"/>
        <v>1</v>
      </c>
      <c r="P22" s="163">
        <f t="shared" ref="P22:AW22" si="15">iferror(if(P$9=FALSE,, if(if(search(P$11,$B22,1)&gt;0,1,0)=1,$G22/$O22,)),"")</f>
        <v>8298.09</v>
      </c>
      <c r="Q22" s="163" t="str">
        <f t="shared" si="15"/>
        <v/>
      </c>
      <c r="R22" s="163" t="str">
        <f t="shared" si="15"/>
        <v/>
      </c>
      <c r="S22" s="163" t="str">
        <f t="shared" si="15"/>
        <v/>
      </c>
      <c r="T22" s="163" t="str">
        <f t="shared" si="15"/>
        <v/>
      </c>
      <c r="U22" s="163" t="str">
        <f t="shared" si="15"/>
        <v/>
      </c>
      <c r="V22" s="163" t="str">
        <f t="shared" si="15"/>
        <v/>
      </c>
      <c r="W22" s="163" t="str">
        <f t="shared" si="15"/>
        <v/>
      </c>
      <c r="X22" s="163" t="str">
        <f t="shared" si="15"/>
        <v/>
      </c>
      <c r="Y22" s="163" t="str">
        <f t="shared" si="15"/>
        <v/>
      </c>
      <c r="Z22" s="163" t="str">
        <f t="shared" si="15"/>
        <v/>
      </c>
      <c r="AA22" s="163" t="str">
        <f t="shared" si="15"/>
        <v/>
      </c>
      <c r="AB22" s="163" t="str">
        <f t="shared" si="15"/>
        <v/>
      </c>
      <c r="AC22" s="163" t="str">
        <f t="shared" si="15"/>
        <v/>
      </c>
      <c r="AD22" s="163" t="str">
        <f t="shared" si="15"/>
        <v/>
      </c>
      <c r="AE22" s="163" t="str">
        <f t="shared" si="15"/>
        <v/>
      </c>
      <c r="AF22" s="163" t="str">
        <f t="shared" si="15"/>
        <v/>
      </c>
      <c r="AG22" s="163" t="str">
        <f t="shared" si="15"/>
        <v/>
      </c>
      <c r="AH22" s="163" t="str">
        <f t="shared" si="15"/>
        <v/>
      </c>
      <c r="AI22" s="163" t="str">
        <f t="shared" si="15"/>
        <v/>
      </c>
      <c r="AJ22" s="163" t="str">
        <f t="shared" si="15"/>
        <v/>
      </c>
      <c r="AK22" s="163" t="str">
        <f t="shared" si="15"/>
        <v/>
      </c>
      <c r="AL22" s="163" t="str">
        <f t="shared" si="15"/>
        <v/>
      </c>
      <c r="AM22" s="163" t="str">
        <f t="shared" si="15"/>
        <v/>
      </c>
      <c r="AN22" s="163" t="str">
        <f t="shared" si="15"/>
        <v/>
      </c>
      <c r="AO22" s="163" t="str">
        <f t="shared" si="15"/>
        <v/>
      </c>
      <c r="AP22" s="163" t="str">
        <f t="shared" si="15"/>
        <v/>
      </c>
      <c r="AQ22" s="163" t="str">
        <f t="shared" si="15"/>
        <v/>
      </c>
      <c r="AR22" s="163" t="str">
        <f t="shared" si="15"/>
        <v/>
      </c>
      <c r="AS22" s="163" t="str">
        <f t="shared" si="15"/>
        <v/>
      </c>
      <c r="AT22" s="163" t="str">
        <f t="shared" si="15"/>
        <v/>
      </c>
      <c r="AU22" s="163" t="str">
        <f t="shared" si="15"/>
        <v/>
      </c>
      <c r="AV22" s="163" t="str">
        <f t="shared" si="15"/>
        <v/>
      </c>
      <c r="AW22" s="163" t="str">
        <f t="shared" si="15"/>
        <v/>
      </c>
    </row>
    <row r="23">
      <c r="A23" s="108"/>
      <c r="B23" s="134" t="s">
        <v>54</v>
      </c>
      <c r="C23" s="220"/>
      <c r="D23" s="134" t="s">
        <v>1648</v>
      </c>
      <c r="E23" s="134" t="str">
        <f>vlookup(D23,CNPJ!A12:B209,2,FAlse)</f>
        <v>04.329.668/0001-38</v>
      </c>
      <c r="F23" s="246">
        <v>209531.0</v>
      </c>
      <c r="G23" s="247">
        <v>1140.48</v>
      </c>
      <c r="H23" s="225">
        <v>44958.0</v>
      </c>
      <c r="I23" s="134" t="s">
        <v>1670</v>
      </c>
      <c r="J23" s="220"/>
      <c r="K23" s="134" t="b">
        <v>1</v>
      </c>
      <c r="L23" s="247">
        <f t="shared" si="3"/>
        <v>1140.48</v>
      </c>
      <c r="M23" s="248"/>
      <c r="N23" s="108" t="b">
        <f t="shared" si="4"/>
        <v>1</v>
      </c>
      <c r="O23" s="229">
        <f t="shared" si="5"/>
        <v>1</v>
      </c>
      <c r="P23" s="163" t="str">
        <f t="shared" ref="P23:AW23" si="16">iferror(if(P$9=FALSE,, if(if(search(P$11,$B23,1)&gt;0,1,0)=1,$G23/$O23,)),"")</f>
        <v/>
      </c>
      <c r="Q23" s="163" t="str">
        <f t="shared" si="16"/>
        <v/>
      </c>
      <c r="R23" s="163" t="str">
        <f t="shared" si="16"/>
        <v/>
      </c>
      <c r="S23" s="163" t="str">
        <f t="shared" si="16"/>
        <v/>
      </c>
      <c r="T23" s="163" t="str">
        <f t="shared" si="16"/>
        <v/>
      </c>
      <c r="U23" s="163" t="str">
        <f t="shared" si="16"/>
        <v/>
      </c>
      <c r="V23" s="163" t="str">
        <f t="shared" si="16"/>
        <v/>
      </c>
      <c r="W23" s="163" t="str">
        <f t="shared" si="16"/>
        <v/>
      </c>
      <c r="X23" s="163" t="str">
        <f t="shared" si="16"/>
        <v/>
      </c>
      <c r="Y23" s="163">
        <f t="shared" si="16"/>
        <v>1140.48</v>
      </c>
      <c r="Z23" s="163" t="str">
        <f t="shared" si="16"/>
        <v/>
      </c>
      <c r="AA23" s="163" t="str">
        <f t="shared" si="16"/>
        <v/>
      </c>
      <c r="AB23" s="163" t="str">
        <f t="shared" si="16"/>
        <v/>
      </c>
      <c r="AC23" s="163" t="str">
        <f t="shared" si="16"/>
        <v/>
      </c>
      <c r="AD23" s="163" t="str">
        <f t="shared" si="16"/>
        <v/>
      </c>
      <c r="AE23" s="163" t="str">
        <f t="shared" si="16"/>
        <v/>
      </c>
      <c r="AF23" s="163" t="str">
        <f t="shared" si="16"/>
        <v/>
      </c>
      <c r="AG23" s="163" t="str">
        <f t="shared" si="16"/>
        <v/>
      </c>
      <c r="AH23" s="163" t="str">
        <f t="shared" si="16"/>
        <v/>
      </c>
      <c r="AI23" s="163" t="str">
        <f t="shared" si="16"/>
        <v/>
      </c>
      <c r="AJ23" s="163" t="str">
        <f t="shared" si="16"/>
        <v/>
      </c>
      <c r="AK23" s="163" t="str">
        <f t="shared" si="16"/>
        <v/>
      </c>
      <c r="AL23" s="163" t="str">
        <f t="shared" si="16"/>
        <v/>
      </c>
      <c r="AM23" s="163" t="str">
        <f t="shared" si="16"/>
        <v/>
      </c>
      <c r="AN23" s="163" t="str">
        <f t="shared" si="16"/>
        <v/>
      </c>
      <c r="AO23" s="163" t="str">
        <f t="shared" si="16"/>
        <v/>
      </c>
      <c r="AP23" s="163" t="str">
        <f t="shared" si="16"/>
        <v/>
      </c>
      <c r="AQ23" s="163" t="str">
        <f t="shared" si="16"/>
        <v/>
      </c>
      <c r="AR23" s="163" t="str">
        <f t="shared" si="16"/>
        <v/>
      </c>
      <c r="AS23" s="163" t="str">
        <f t="shared" si="16"/>
        <v/>
      </c>
      <c r="AT23" s="163" t="str">
        <f t="shared" si="16"/>
        <v/>
      </c>
      <c r="AU23" s="163" t="str">
        <f t="shared" si="16"/>
        <v/>
      </c>
      <c r="AV23" s="163" t="str">
        <f t="shared" si="16"/>
        <v/>
      </c>
      <c r="AW23" s="163" t="str">
        <f t="shared" si="16"/>
        <v/>
      </c>
    </row>
    <row r="24">
      <c r="A24" s="108"/>
      <c r="B24" s="134" t="s">
        <v>62</v>
      </c>
      <c r="C24" s="220"/>
      <c r="D24" s="134" t="s">
        <v>1650</v>
      </c>
      <c r="E24" s="134" t="str">
        <f>vlookup(D24,CNPJ!A13:B210,2,FAlse)</f>
        <v>20.618.029/0001-49</v>
      </c>
      <c r="F24" s="246">
        <v>68049.0</v>
      </c>
      <c r="G24" s="247">
        <v>364.4</v>
      </c>
      <c r="H24" s="225">
        <v>44960.0</v>
      </c>
      <c r="I24" s="134" t="s">
        <v>1671</v>
      </c>
      <c r="J24" s="220"/>
      <c r="K24" s="134" t="b">
        <v>1</v>
      </c>
      <c r="L24" s="247">
        <f t="shared" si="3"/>
        <v>0</v>
      </c>
      <c r="M24" s="248"/>
      <c r="N24" s="108" t="b">
        <f t="shared" si="4"/>
        <v>0</v>
      </c>
      <c r="O24" s="229">
        <f t="shared" si="5"/>
        <v>1</v>
      </c>
      <c r="P24" s="163" t="str">
        <f t="shared" ref="P24:AO24" si="17">iferror(if(P$9=FALSE,, if(if(search(P$11,$B24,1)&gt;0,1,0)=1,$G24/$O24,)),"")</f>
        <v/>
      </c>
      <c r="Q24" s="163" t="str">
        <f t="shared" si="17"/>
        <v/>
      </c>
      <c r="R24" s="163" t="str">
        <f t="shared" si="17"/>
        <v/>
      </c>
      <c r="S24" s="163" t="str">
        <f t="shared" si="17"/>
        <v/>
      </c>
      <c r="T24" s="163" t="str">
        <f t="shared" si="17"/>
        <v/>
      </c>
      <c r="U24" s="163" t="str">
        <f t="shared" si="17"/>
        <v/>
      </c>
      <c r="V24" s="163" t="str">
        <f t="shared" si="17"/>
        <v/>
      </c>
      <c r="W24" s="163" t="str">
        <f t="shared" si="17"/>
        <v/>
      </c>
      <c r="X24" s="163" t="str">
        <f t="shared" si="17"/>
        <v/>
      </c>
      <c r="Y24" s="163" t="str">
        <f t="shared" si="17"/>
        <v/>
      </c>
      <c r="Z24" s="163" t="str">
        <f t="shared" si="17"/>
        <v/>
      </c>
      <c r="AA24" s="163" t="str">
        <f t="shared" si="17"/>
        <v/>
      </c>
      <c r="AB24" s="163" t="str">
        <f t="shared" si="17"/>
        <v/>
      </c>
      <c r="AC24" s="163" t="str">
        <f t="shared" si="17"/>
        <v/>
      </c>
      <c r="AD24" s="163" t="str">
        <f t="shared" si="17"/>
        <v/>
      </c>
      <c r="AE24" s="163" t="str">
        <f t="shared" si="17"/>
        <v/>
      </c>
      <c r="AF24" s="163" t="str">
        <f t="shared" si="17"/>
        <v/>
      </c>
      <c r="AG24" s="163" t="str">
        <f t="shared" si="17"/>
        <v/>
      </c>
      <c r="AH24" s="163" t="str">
        <f t="shared" si="17"/>
        <v/>
      </c>
      <c r="AI24" s="163" t="str">
        <f t="shared" si="17"/>
        <v/>
      </c>
      <c r="AJ24" s="163" t="str">
        <f t="shared" si="17"/>
        <v/>
      </c>
      <c r="AK24" s="163" t="str">
        <f t="shared" si="17"/>
        <v/>
      </c>
      <c r="AL24" s="163" t="str">
        <f t="shared" si="17"/>
        <v/>
      </c>
      <c r="AM24" s="163" t="str">
        <f t="shared" si="17"/>
        <v/>
      </c>
      <c r="AN24" s="163" t="str">
        <f t="shared" si="17"/>
        <v/>
      </c>
      <c r="AO24" s="163" t="str">
        <f t="shared" si="17"/>
        <v/>
      </c>
      <c r="AP24" s="250">
        <v>0.0</v>
      </c>
      <c r="AQ24" s="163" t="str">
        <f t="shared" ref="AQ24:AW24" si="18">iferror(if(AQ$9=FALSE,, if(if(search(AQ$11,$B24,1)&gt;0,1,0)=1,$G24/$O24,)),"")</f>
        <v/>
      </c>
      <c r="AR24" s="163" t="str">
        <f t="shared" si="18"/>
        <v/>
      </c>
      <c r="AS24" s="163" t="str">
        <f t="shared" si="18"/>
        <v/>
      </c>
      <c r="AT24" s="163" t="str">
        <f t="shared" si="18"/>
        <v/>
      </c>
      <c r="AU24" s="163" t="str">
        <f t="shared" si="18"/>
        <v/>
      </c>
      <c r="AV24" s="163" t="str">
        <f t="shared" si="18"/>
        <v/>
      </c>
      <c r="AW24" s="163" t="str">
        <f t="shared" si="18"/>
        <v/>
      </c>
    </row>
    <row r="25">
      <c r="A25" s="108"/>
      <c r="B25" s="134" t="s">
        <v>1672</v>
      </c>
      <c r="C25" s="220"/>
      <c r="D25" s="134" t="s">
        <v>1650</v>
      </c>
      <c r="E25" s="134" t="str">
        <f>vlookup(D25,CNPJ!A14:B211,2,FAlse)</f>
        <v>20.618.029/0001-49</v>
      </c>
      <c r="F25" s="246">
        <v>68075.0</v>
      </c>
      <c r="G25" s="247">
        <v>197.02</v>
      </c>
      <c r="H25" s="225">
        <v>44959.0</v>
      </c>
      <c r="I25" s="134" t="s">
        <v>1673</v>
      </c>
      <c r="J25" s="220"/>
      <c r="K25" s="134" t="b">
        <v>1</v>
      </c>
      <c r="L25" s="247">
        <f t="shared" si="3"/>
        <v>197.02</v>
      </c>
      <c r="M25" s="248"/>
      <c r="N25" s="108" t="b">
        <f t="shared" si="4"/>
        <v>1</v>
      </c>
      <c r="O25" s="229">
        <f t="shared" si="5"/>
        <v>2</v>
      </c>
      <c r="P25" s="163" t="str">
        <f t="shared" ref="P25:AW25" si="19">iferror(if(P$9=FALSE,, if(if(search(P$11,$B25,1)&gt;0,1,0)=1,$G25/$O25,)),"")</f>
        <v/>
      </c>
      <c r="Q25" s="163" t="str">
        <f t="shared" si="19"/>
        <v/>
      </c>
      <c r="R25" s="163" t="str">
        <f t="shared" si="19"/>
        <v/>
      </c>
      <c r="S25" s="163" t="str">
        <f t="shared" si="19"/>
        <v/>
      </c>
      <c r="T25" s="163" t="str">
        <f t="shared" si="19"/>
        <v/>
      </c>
      <c r="U25" s="163" t="str">
        <f t="shared" si="19"/>
        <v/>
      </c>
      <c r="V25" s="163">
        <f t="shared" si="19"/>
        <v>98.51</v>
      </c>
      <c r="W25" s="163" t="str">
        <f t="shared" si="19"/>
        <v/>
      </c>
      <c r="X25" s="163" t="str">
        <f t="shared" si="19"/>
        <v/>
      </c>
      <c r="Y25" s="163">
        <f t="shared" si="19"/>
        <v>98.51</v>
      </c>
      <c r="Z25" s="163" t="str">
        <f t="shared" si="19"/>
        <v/>
      </c>
      <c r="AA25" s="163" t="str">
        <f t="shared" si="19"/>
        <v/>
      </c>
      <c r="AB25" s="163" t="str">
        <f t="shared" si="19"/>
        <v/>
      </c>
      <c r="AC25" s="163" t="str">
        <f t="shared" si="19"/>
        <v/>
      </c>
      <c r="AD25" s="163" t="str">
        <f t="shared" si="19"/>
        <v/>
      </c>
      <c r="AE25" s="163" t="str">
        <f t="shared" si="19"/>
        <v/>
      </c>
      <c r="AF25" s="163" t="str">
        <f t="shared" si="19"/>
        <v/>
      </c>
      <c r="AG25" s="163" t="str">
        <f t="shared" si="19"/>
        <v/>
      </c>
      <c r="AH25" s="163" t="str">
        <f t="shared" si="19"/>
        <v/>
      </c>
      <c r="AI25" s="163" t="str">
        <f t="shared" si="19"/>
        <v/>
      </c>
      <c r="AJ25" s="163" t="str">
        <f t="shared" si="19"/>
        <v/>
      </c>
      <c r="AK25" s="163" t="str">
        <f t="shared" si="19"/>
        <v/>
      </c>
      <c r="AL25" s="163" t="str">
        <f t="shared" si="19"/>
        <v/>
      </c>
      <c r="AM25" s="163" t="str">
        <f t="shared" si="19"/>
        <v/>
      </c>
      <c r="AN25" s="163" t="str">
        <f t="shared" si="19"/>
        <v/>
      </c>
      <c r="AO25" s="163" t="str">
        <f t="shared" si="19"/>
        <v/>
      </c>
      <c r="AP25" s="163" t="str">
        <f t="shared" si="19"/>
        <v/>
      </c>
      <c r="AQ25" s="163" t="str">
        <f t="shared" si="19"/>
        <v/>
      </c>
      <c r="AR25" s="163" t="str">
        <f t="shared" si="19"/>
        <v/>
      </c>
      <c r="AS25" s="163" t="str">
        <f t="shared" si="19"/>
        <v/>
      </c>
      <c r="AT25" s="163" t="str">
        <f t="shared" si="19"/>
        <v/>
      </c>
      <c r="AU25" s="163" t="str">
        <f t="shared" si="19"/>
        <v/>
      </c>
      <c r="AV25" s="163" t="str">
        <f t="shared" si="19"/>
        <v/>
      </c>
      <c r="AW25" s="163" t="str">
        <f t="shared" si="19"/>
        <v/>
      </c>
    </row>
    <row r="26">
      <c r="A26" s="108"/>
      <c r="B26" s="134" t="s">
        <v>54</v>
      </c>
      <c r="C26" s="220"/>
      <c r="D26" s="134" t="s">
        <v>1648</v>
      </c>
      <c r="E26" s="134" t="str">
        <f>vlookup(D26,CNPJ!A15:B212,2,FAlse)</f>
        <v>04.329.668/0001-38</v>
      </c>
      <c r="F26" s="246">
        <v>210288.0</v>
      </c>
      <c r="G26" s="247">
        <v>12717.91</v>
      </c>
      <c r="H26" s="225">
        <v>44970.0</v>
      </c>
      <c r="I26" s="134" t="s">
        <v>1674</v>
      </c>
      <c r="J26" s="220"/>
      <c r="K26" s="134" t="b">
        <v>1</v>
      </c>
      <c r="L26" s="247">
        <f t="shared" si="3"/>
        <v>12717.91</v>
      </c>
      <c r="M26" s="248"/>
      <c r="N26" s="108" t="b">
        <f t="shared" si="4"/>
        <v>1</v>
      </c>
      <c r="O26" s="229">
        <f t="shared" si="5"/>
        <v>1</v>
      </c>
      <c r="P26" s="163" t="str">
        <f t="shared" ref="P26:AW26" si="20">iferror(if(P$9=FALSE,, if(if(search(P$11,$B26,1)&gt;0,1,0)=1,$G26/$O26,)),"")</f>
        <v/>
      </c>
      <c r="Q26" s="163" t="str">
        <f t="shared" si="20"/>
        <v/>
      </c>
      <c r="R26" s="163" t="str">
        <f t="shared" si="20"/>
        <v/>
      </c>
      <c r="S26" s="163" t="str">
        <f t="shared" si="20"/>
        <v/>
      </c>
      <c r="T26" s="163" t="str">
        <f t="shared" si="20"/>
        <v/>
      </c>
      <c r="U26" s="163" t="str">
        <f t="shared" si="20"/>
        <v/>
      </c>
      <c r="V26" s="163" t="str">
        <f t="shared" si="20"/>
        <v/>
      </c>
      <c r="W26" s="163" t="str">
        <f t="shared" si="20"/>
        <v/>
      </c>
      <c r="X26" s="163" t="str">
        <f t="shared" si="20"/>
        <v/>
      </c>
      <c r="Y26" s="163">
        <f t="shared" si="20"/>
        <v>12717.91</v>
      </c>
      <c r="Z26" s="163" t="str">
        <f t="shared" si="20"/>
        <v/>
      </c>
      <c r="AA26" s="163" t="str">
        <f t="shared" si="20"/>
        <v/>
      </c>
      <c r="AB26" s="163" t="str">
        <f t="shared" si="20"/>
        <v/>
      </c>
      <c r="AC26" s="163" t="str">
        <f t="shared" si="20"/>
        <v/>
      </c>
      <c r="AD26" s="163" t="str">
        <f t="shared" si="20"/>
        <v/>
      </c>
      <c r="AE26" s="163" t="str">
        <f t="shared" si="20"/>
        <v/>
      </c>
      <c r="AF26" s="163" t="str">
        <f t="shared" si="20"/>
        <v/>
      </c>
      <c r="AG26" s="163" t="str">
        <f t="shared" si="20"/>
        <v/>
      </c>
      <c r="AH26" s="163" t="str">
        <f t="shared" si="20"/>
        <v/>
      </c>
      <c r="AI26" s="163" t="str">
        <f t="shared" si="20"/>
        <v/>
      </c>
      <c r="AJ26" s="163" t="str">
        <f t="shared" si="20"/>
        <v/>
      </c>
      <c r="AK26" s="163" t="str">
        <f t="shared" si="20"/>
        <v/>
      </c>
      <c r="AL26" s="163" t="str">
        <f t="shared" si="20"/>
        <v/>
      </c>
      <c r="AM26" s="163" t="str">
        <f t="shared" si="20"/>
        <v/>
      </c>
      <c r="AN26" s="163" t="str">
        <f t="shared" si="20"/>
        <v/>
      </c>
      <c r="AO26" s="163" t="str">
        <f t="shared" si="20"/>
        <v/>
      </c>
      <c r="AP26" s="163" t="str">
        <f t="shared" si="20"/>
        <v/>
      </c>
      <c r="AQ26" s="163" t="str">
        <f t="shared" si="20"/>
        <v/>
      </c>
      <c r="AR26" s="163" t="str">
        <f t="shared" si="20"/>
        <v/>
      </c>
      <c r="AS26" s="163" t="str">
        <f t="shared" si="20"/>
        <v/>
      </c>
      <c r="AT26" s="163" t="str">
        <f t="shared" si="20"/>
        <v/>
      </c>
      <c r="AU26" s="163" t="str">
        <f t="shared" si="20"/>
        <v/>
      </c>
      <c r="AV26" s="163" t="str">
        <f t="shared" si="20"/>
        <v/>
      </c>
      <c r="AW26" s="163" t="str">
        <f t="shared" si="20"/>
        <v/>
      </c>
    </row>
    <row r="27">
      <c r="A27" s="108"/>
      <c r="B27" s="134" t="s">
        <v>1675</v>
      </c>
      <c r="C27" s="220"/>
      <c r="D27" s="134" t="s">
        <v>1676</v>
      </c>
      <c r="E27" s="134" t="str">
        <f>vlookup(D27,CNPJ!A16:B213,2,FAlse)</f>
        <v>11.115.312/0001-67</v>
      </c>
      <c r="F27" s="246">
        <v>2474.0</v>
      </c>
      <c r="G27" s="247">
        <v>16200.0</v>
      </c>
      <c r="H27" s="225">
        <v>44966.0</v>
      </c>
      <c r="I27" s="134" t="s">
        <v>1677</v>
      </c>
      <c r="J27" s="220"/>
      <c r="K27" s="134" t="b">
        <v>0</v>
      </c>
      <c r="L27" s="247">
        <f t="shared" si="3"/>
        <v>0</v>
      </c>
      <c r="M27" s="248"/>
      <c r="N27" s="108" t="b">
        <f t="shared" si="4"/>
        <v>0</v>
      </c>
      <c r="O27" s="229">
        <f t="shared" si="5"/>
        <v>0</v>
      </c>
      <c r="P27" s="163" t="str">
        <f t="shared" ref="P27:AW27" si="21">iferror(if(P$9=FALSE,, if(if(search(P$11,$B27,1)&gt;0,1,0)=1,$G27/$O27,)),"")</f>
        <v/>
      </c>
      <c r="Q27" s="163" t="str">
        <f t="shared" si="21"/>
        <v/>
      </c>
      <c r="R27" s="163" t="str">
        <f t="shared" si="21"/>
        <v/>
      </c>
      <c r="S27" s="163" t="str">
        <f t="shared" si="21"/>
        <v/>
      </c>
      <c r="T27" s="163" t="str">
        <f t="shared" si="21"/>
        <v/>
      </c>
      <c r="U27" s="163" t="str">
        <f t="shared" si="21"/>
        <v/>
      </c>
      <c r="V27" s="163" t="str">
        <f t="shared" si="21"/>
        <v/>
      </c>
      <c r="W27" s="163" t="str">
        <f t="shared" si="21"/>
        <v/>
      </c>
      <c r="X27" s="163" t="str">
        <f t="shared" si="21"/>
        <v/>
      </c>
      <c r="Y27" s="163" t="str">
        <f t="shared" si="21"/>
        <v/>
      </c>
      <c r="Z27" s="163" t="str">
        <f t="shared" si="21"/>
        <v/>
      </c>
      <c r="AA27" s="163" t="str">
        <f t="shared" si="21"/>
        <v/>
      </c>
      <c r="AB27" s="163" t="str">
        <f t="shared" si="21"/>
        <v/>
      </c>
      <c r="AC27" s="163" t="str">
        <f t="shared" si="21"/>
        <v/>
      </c>
      <c r="AD27" s="163" t="str">
        <f t="shared" si="21"/>
        <v/>
      </c>
      <c r="AE27" s="163" t="str">
        <f t="shared" si="21"/>
        <v/>
      </c>
      <c r="AF27" s="163" t="str">
        <f t="shared" si="21"/>
        <v/>
      </c>
      <c r="AG27" s="163" t="str">
        <f t="shared" si="21"/>
        <v/>
      </c>
      <c r="AH27" s="163" t="str">
        <f t="shared" si="21"/>
        <v/>
      </c>
      <c r="AI27" s="163" t="str">
        <f t="shared" si="21"/>
        <v/>
      </c>
      <c r="AJ27" s="163" t="str">
        <f t="shared" si="21"/>
        <v/>
      </c>
      <c r="AK27" s="163" t="str">
        <f t="shared" si="21"/>
        <v/>
      </c>
      <c r="AL27" s="163" t="str">
        <f t="shared" si="21"/>
        <v/>
      </c>
      <c r="AM27" s="163" t="str">
        <f t="shared" si="21"/>
        <v/>
      </c>
      <c r="AN27" s="163" t="str">
        <f t="shared" si="21"/>
        <v/>
      </c>
      <c r="AO27" s="163" t="str">
        <f t="shared" si="21"/>
        <v/>
      </c>
      <c r="AP27" s="163" t="str">
        <f t="shared" si="21"/>
        <v/>
      </c>
      <c r="AQ27" s="163" t="str">
        <f t="shared" si="21"/>
        <v/>
      </c>
      <c r="AR27" s="163" t="str">
        <f t="shared" si="21"/>
        <v/>
      </c>
      <c r="AS27" s="163" t="str">
        <f t="shared" si="21"/>
        <v/>
      </c>
      <c r="AT27" s="163" t="str">
        <f t="shared" si="21"/>
        <v/>
      </c>
      <c r="AU27" s="163" t="str">
        <f t="shared" si="21"/>
        <v/>
      </c>
      <c r="AV27" s="163" t="str">
        <f t="shared" si="21"/>
        <v/>
      </c>
      <c r="AW27" s="163" t="str">
        <f t="shared" si="21"/>
        <v/>
      </c>
    </row>
    <row r="28">
      <c r="A28" s="108"/>
      <c r="B28" s="134" t="s">
        <v>54</v>
      </c>
      <c r="C28" s="220"/>
      <c r="D28" s="134" t="s">
        <v>1678</v>
      </c>
      <c r="E28" s="134" t="str">
        <f>vlookup(D28,CNPJ!A17:B214,2,FAlse)</f>
        <v>50.276.237/0001-78</v>
      </c>
      <c r="F28" s="249">
        <v>141637.0</v>
      </c>
      <c r="G28" s="247">
        <v>852.0</v>
      </c>
      <c r="H28" s="225">
        <v>44971.0</v>
      </c>
      <c r="I28" s="134" t="s">
        <v>1679</v>
      </c>
      <c r="J28" s="220"/>
      <c r="K28" s="134" t="b">
        <v>1</v>
      </c>
      <c r="L28" s="247">
        <f t="shared" si="3"/>
        <v>852</v>
      </c>
      <c r="M28" s="248"/>
      <c r="N28" s="108" t="b">
        <f t="shared" si="4"/>
        <v>1</v>
      </c>
      <c r="O28" s="229">
        <f t="shared" si="5"/>
        <v>1</v>
      </c>
      <c r="P28" s="163" t="str">
        <f t="shared" ref="P28:AW28" si="22">iferror(if(P$9=FALSE,, if(if(search(P$11,$B28,1)&gt;0,1,0)=1,$G28/$O28,)),"")</f>
        <v/>
      </c>
      <c r="Q28" s="163" t="str">
        <f t="shared" si="22"/>
        <v/>
      </c>
      <c r="R28" s="163" t="str">
        <f t="shared" si="22"/>
        <v/>
      </c>
      <c r="S28" s="163" t="str">
        <f t="shared" si="22"/>
        <v/>
      </c>
      <c r="T28" s="163" t="str">
        <f t="shared" si="22"/>
        <v/>
      </c>
      <c r="U28" s="163" t="str">
        <f t="shared" si="22"/>
        <v/>
      </c>
      <c r="V28" s="163" t="str">
        <f t="shared" si="22"/>
        <v/>
      </c>
      <c r="W28" s="163" t="str">
        <f t="shared" si="22"/>
        <v/>
      </c>
      <c r="X28" s="163" t="str">
        <f t="shared" si="22"/>
        <v/>
      </c>
      <c r="Y28" s="163">
        <f t="shared" si="22"/>
        <v>852</v>
      </c>
      <c r="Z28" s="163" t="str">
        <f t="shared" si="22"/>
        <v/>
      </c>
      <c r="AA28" s="163" t="str">
        <f t="shared" si="22"/>
        <v/>
      </c>
      <c r="AB28" s="163" t="str">
        <f t="shared" si="22"/>
        <v/>
      </c>
      <c r="AC28" s="163" t="str">
        <f t="shared" si="22"/>
        <v/>
      </c>
      <c r="AD28" s="163" t="str">
        <f t="shared" si="22"/>
        <v/>
      </c>
      <c r="AE28" s="163" t="str">
        <f t="shared" si="22"/>
        <v/>
      </c>
      <c r="AF28" s="163" t="str">
        <f t="shared" si="22"/>
        <v/>
      </c>
      <c r="AG28" s="163" t="str">
        <f t="shared" si="22"/>
        <v/>
      </c>
      <c r="AH28" s="163" t="str">
        <f t="shared" si="22"/>
        <v/>
      </c>
      <c r="AI28" s="163" t="str">
        <f t="shared" si="22"/>
        <v/>
      </c>
      <c r="AJ28" s="163" t="str">
        <f t="shared" si="22"/>
        <v/>
      </c>
      <c r="AK28" s="163" t="str">
        <f t="shared" si="22"/>
        <v/>
      </c>
      <c r="AL28" s="163" t="str">
        <f t="shared" si="22"/>
        <v/>
      </c>
      <c r="AM28" s="163" t="str">
        <f t="shared" si="22"/>
        <v/>
      </c>
      <c r="AN28" s="163" t="str">
        <f t="shared" si="22"/>
        <v/>
      </c>
      <c r="AO28" s="163" t="str">
        <f t="shared" si="22"/>
        <v/>
      </c>
      <c r="AP28" s="163" t="str">
        <f t="shared" si="22"/>
        <v/>
      </c>
      <c r="AQ28" s="163" t="str">
        <f t="shared" si="22"/>
        <v/>
      </c>
      <c r="AR28" s="163" t="str">
        <f t="shared" si="22"/>
        <v/>
      </c>
      <c r="AS28" s="163" t="str">
        <f t="shared" si="22"/>
        <v/>
      </c>
      <c r="AT28" s="163" t="str">
        <f t="shared" si="22"/>
        <v/>
      </c>
      <c r="AU28" s="163" t="str">
        <f t="shared" si="22"/>
        <v/>
      </c>
      <c r="AV28" s="163" t="str">
        <f t="shared" si="22"/>
        <v/>
      </c>
      <c r="AW28" s="163" t="str">
        <f t="shared" si="22"/>
        <v/>
      </c>
    </row>
    <row r="29">
      <c r="A29" s="108"/>
      <c r="B29" s="134" t="s">
        <v>290</v>
      </c>
      <c r="C29" s="220"/>
      <c r="D29" s="134" t="s">
        <v>1678</v>
      </c>
      <c r="E29" s="134" t="str">
        <f>vlookup(D29,CNPJ!A18:B215,2,FAlse)</f>
        <v>50.276.237/0001-78</v>
      </c>
      <c r="F29" s="246">
        <v>141631.0</v>
      </c>
      <c r="G29" s="247">
        <v>2556.0</v>
      </c>
      <c r="H29" s="225">
        <v>44971.0</v>
      </c>
      <c r="I29" s="134" t="s">
        <v>1680</v>
      </c>
      <c r="J29" s="220"/>
      <c r="K29" s="134" t="b">
        <v>1</v>
      </c>
      <c r="L29" s="247">
        <f t="shared" si="3"/>
        <v>2556</v>
      </c>
      <c r="M29" s="248"/>
      <c r="N29" s="108" t="b">
        <f t="shared" si="4"/>
        <v>1</v>
      </c>
      <c r="O29" s="229">
        <f t="shared" si="5"/>
        <v>1</v>
      </c>
      <c r="P29" s="163">
        <f t="shared" ref="P29:AW29" si="23">iferror(if(P$9=FALSE,, if(if(search(P$11,$B29,1)&gt;0,1,0)=1,$G29/$O29,)),"")</f>
        <v>2556</v>
      </c>
      <c r="Q29" s="163" t="str">
        <f t="shared" si="23"/>
        <v/>
      </c>
      <c r="R29" s="163" t="str">
        <f t="shared" si="23"/>
        <v/>
      </c>
      <c r="S29" s="163" t="str">
        <f t="shared" si="23"/>
        <v/>
      </c>
      <c r="T29" s="163" t="str">
        <f t="shared" si="23"/>
        <v/>
      </c>
      <c r="U29" s="163" t="str">
        <f t="shared" si="23"/>
        <v/>
      </c>
      <c r="V29" s="163" t="str">
        <f t="shared" si="23"/>
        <v/>
      </c>
      <c r="W29" s="163" t="str">
        <f t="shared" si="23"/>
        <v/>
      </c>
      <c r="X29" s="163" t="str">
        <f t="shared" si="23"/>
        <v/>
      </c>
      <c r="Y29" s="163" t="str">
        <f t="shared" si="23"/>
        <v/>
      </c>
      <c r="Z29" s="163" t="str">
        <f t="shared" si="23"/>
        <v/>
      </c>
      <c r="AA29" s="163" t="str">
        <f t="shared" si="23"/>
        <v/>
      </c>
      <c r="AB29" s="163" t="str">
        <f t="shared" si="23"/>
        <v/>
      </c>
      <c r="AC29" s="163" t="str">
        <f t="shared" si="23"/>
        <v/>
      </c>
      <c r="AD29" s="163" t="str">
        <f t="shared" si="23"/>
        <v/>
      </c>
      <c r="AE29" s="163" t="str">
        <f t="shared" si="23"/>
        <v/>
      </c>
      <c r="AF29" s="163" t="str">
        <f t="shared" si="23"/>
        <v/>
      </c>
      <c r="AG29" s="163" t="str">
        <f t="shared" si="23"/>
        <v/>
      </c>
      <c r="AH29" s="163" t="str">
        <f t="shared" si="23"/>
        <v/>
      </c>
      <c r="AI29" s="163" t="str">
        <f t="shared" si="23"/>
        <v/>
      </c>
      <c r="AJ29" s="163" t="str">
        <f t="shared" si="23"/>
        <v/>
      </c>
      <c r="AK29" s="163" t="str">
        <f t="shared" si="23"/>
        <v/>
      </c>
      <c r="AL29" s="163" t="str">
        <f t="shared" si="23"/>
        <v/>
      </c>
      <c r="AM29" s="163" t="str">
        <f t="shared" si="23"/>
        <v/>
      </c>
      <c r="AN29" s="163" t="str">
        <f t="shared" si="23"/>
        <v/>
      </c>
      <c r="AO29" s="163" t="str">
        <f t="shared" si="23"/>
        <v/>
      </c>
      <c r="AP29" s="163" t="str">
        <f t="shared" si="23"/>
        <v/>
      </c>
      <c r="AQ29" s="163" t="str">
        <f t="shared" si="23"/>
        <v/>
      </c>
      <c r="AR29" s="163" t="str">
        <f t="shared" si="23"/>
        <v/>
      </c>
      <c r="AS29" s="163" t="str">
        <f t="shared" si="23"/>
        <v/>
      </c>
      <c r="AT29" s="163" t="str">
        <f t="shared" si="23"/>
        <v/>
      </c>
      <c r="AU29" s="163" t="str">
        <f t="shared" si="23"/>
        <v/>
      </c>
      <c r="AV29" s="163" t="str">
        <f t="shared" si="23"/>
        <v/>
      </c>
      <c r="AW29" s="163" t="str">
        <f t="shared" si="23"/>
        <v/>
      </c>
    </row>
    <row r="30">
      <c r="A30" s="108"/>
      <c r="B30" s="134" t="s">
        <v>52</v>
      </c>
      <c r="C30" s="220"/>
      <c r="D30" s="134" t="s">
        <v>1678</v>
      </c>
      <c r="E30" s="134" t="str">
        <f>vlookup(D30,CNPJ!A19:B216,2,FAlse)</f>
        <v>50.276.237/0001-78</v>
      </c>
      <c r="F30" s="246">
        <v>141728.0</v>
      </c>
      <c r="G30" s="247">
        <v>797.0</v>
      </c>
      <c r="H30" s="225">
        <v>44973.0</v>
      </c>
      <c r="I30" s="134" t="s">
        <v>1681</v>
      </c>
      <c r="J30" s="220"/>
      <c r="K30" s="134" t="b">
        <v>1</v>
      </c>
      <c r="L30" s="247">
        <f t="shared" si="3"/>
        <v>797</v>
      </c>
      <c r="M30" s="248"/>
      <c r="N30" s="108" t="b">
        <f t="shared" si="4"/>
        <v>1</v>
      </c>
      <c r="O30" s="229">
        <f t="shared" si="5"/>
        <v>1</v>
      </c>
      <c r="P30" s="163" t="str">
        <f t="shared" ref="P30:AW30" si="24">iferror(if(P$9=FALSE,, if(if(search(P$11,$B30,1)&gt;0,1,0)=1,$G30/$O30,)),"")</f>
        <v/>
      </c>
      <c r="Q30" s="163" t="str">
        <f t="shared" si="24"/>
        <v/>
      </c>
      <c r="R30" s="163" t="str">
        <f t="shared" si="24"/>
        <v/>
      </c>
      <c r="S30" s="163" t="str">
        <f t="shared" si="24"/>
        <v/>
      </c>
      <c r="T30" s="163" t="str">
        <f t="shared" si="24"/>
        <v/>
      </c>
      <c r="U30" s="163" t="str">
        <f t="shared" si="24"/>
        <v/>
      </c>
      <c r="V30" s="163">
        <f t="shared" si="24"/>
        <v>797</v>
      </c>
      <c r="W30" s="163" t="str">
        <f t="shared" si="24"/>
        <v/>
      </c>
      <c r="X30" s="163" t="str">
        <f t="shared" si="24"/>
        <v/>
      </c>
      <c r="Y30" s="163" t="str">
        <f t="shared" si="24"/>
        <v/>
      </c>
      <c r="Z30" s="163" t="str">
        <f t="shared" si="24"/>
        <v/>
      </c>
      <c r="AA30" s="163" t="str">
        <f t="shared" si="24"/>
        <v/>
      </c>
      <c r="AB30" s="163" t="str">
        <f t="shared" si="24"/>
        <v/>
      </c>
      <c r="AC30" s="163" t="str">
        <f t="shared" si="24"/>
        <v/>
      </c>
      <c r="AD30" s="163" t="str">
        <f t="shared" si="24"/>
        <v/>
      </c>
      <c r="AE30" s="163" t="str">
        <f t="shared" si="24"/>
        <v/>
      </c>
      <c r="AF30" s="163" t="str">
        <f t="shared" si="24"/>
        <v/>
      </c>
      <c r="AG30" s="163" t="str">
        <f t="shared" si="24"/>
        <v/>
      </c>
      <c r="AH30" s="163" t="str">
        <f t="shared" si="24"/>
        <v/>
      </c>
      <c r="AI30" s="163" t="str">
        <f t="shared" si="24"/>
        <v/>
      </c>
      <c r="AJ30" s="163" t="str">
        <f t="shared" si="24"/>
        <v/>
      </c>
      <c r="AK30" s="163" t="str">
        <f t="shared" si="24"/>
        <v/>
      </c>
      <c r="AL30" s="163" t="str">
        <f t="shared" si="24"/>
        <v/>
      </c>
      <c r="AM30" s="163" t="str">
        <f t="shared" si="24"/>
        <v/>
      </c>
      <c r="AN30" s="163" t="str">
        <f t="shared" si="24"/>
        <v/>
      </c>
      <c r="AO30" s="163" t="str">
        <f t="shared" si="24"/>
        <v/>
      </c>
      <c r="AP30" s="163" t="str">
        <f t="shared" si="24"/>
        <v/>
      </c>
      <c r="AQ30" s="163" t="str">
        <f t="shared" si="24"/>
        <v/>
      </c>
      <c r="AR30" s="163" t="str">
        <f t="shared" si="24"/>
        <v/>
      </c>
      <c r="AS30" s="163" t="str">
        <f t="shared" si="24"/>
        <v/>
      </c>
      <c r="AT30" s="163" t="str">
        <f t="shared" si="24"/>
        <v/>
      </c>
      <c r="AU30" s="163" t="str">
        <f t="shared" si="24"/>
        <v/>
      </c>
      <c r="AV30" s="163" t="str">
        <f t="shared" si="24"/>
        <v/>
      </c>
      <c r="AW30" s="163" t="str">
        <f t="shared" si="24"/>
        <v/>
      </c>
    </row>
    <row r="31">
      <c r="A31" s="108"/>
      <c r="B31" s="134" t="s">
        <v>54</v>
      </c>
      <c r="C31" s="220"/>
      <c r="D31" s="134" t="s">
        <v>1650</v>
      </c>
      <c r="E31" s="134" t="str">
        <f>vlookup(D31,CNPJ!A20:B217,2,FAlse)</f>
        <v>20.618.029/0001-49</v>
      </c>
      <c r="F31" s="246">
        <v>68381.0</v>
      </c>
      <c r="G31" s="247">
        <v>89.8</v>
      </c>
      <c r="H31" s="225">
        <v>44974.0</v>
      </c>
      <c r="I31" s="134" t="s">
        <v>1682</v>
      </c>
      <c r="J31" s="220"/>
      <c r="K31" s="134" t="b">
        <v>1</v>
      </c>
      <c r="L31" s="247">
        <f t="shared" si="3"/>
        <v>89.8</v>
      </c>
      <c r="M31" s="248"/>
      <c r="N31" s="108" t="b">
        <f t="shared" si="4"/>
        <v>1</v>
      </c>
      <c r="O31" s="229">
        <f t="shared" si="5"/>
        <v>1</v>
      </c>
      <c r="P31" s="163" t="str">
        <f t="shared" ref="P31:AW31" si="25">iferror(if(P$9=FALSE,, if(if(search(P$11,$B31,1)&gt;0,1,0)=1,$G31/$O31,)),"")</f>
        <v/>
      </c>
      <c r="Q31" s="163" t="str">
        <f t="shared" si="25"/>
        <v/>
      </c>
      <c r="R31" s="163" t="str">
        <f t="shared" si="25"/>
        <v/>
      </c>
      <c r="S31" s="163" t="str">
        <f t="shared" si="25"/>
        <v/>
      </c>
      <c r="T31" s="163" t="str">
        <f t="shared" si="25"/>
        <v/>
      </c>
      <c r="U31" s="163" t="str">
        <f t="shared" si="25"/>
        <v/>
      </c>
      <c r="V31" s="163" t="str">
        <f t="shared" si="25"/>
        <v/>
      </c>
      <c r="W31" s="163" t="str">
        <f t="shared" si="25"/>
        <v/>
      </c>
      <c r="X31" s="163" t="str">
        <f t="shared" si="25"/>
        <v/>
      </c>
      <c r="Y31" s="163">
        <f t="shared" si="25"/>
        <v>89.8</v>
      </c>
      <c r="Z31" s="163" t="str">
        <f t="shared" si="25"/>
        <v/>
      </c>
      <c r="AA31" s="163" t="str">
        <f t="shared" si="25"/>
        <v/>
      </c>
      <c r="AB31" s="163" t="str">
        <f t="shared" si="25"/>
        <v/>
      </c>
      <c r="AC31" s="163" t="str">
        <f t="shared" si="25"/>
        <v/>
      </c>
      <c r="AD31" s="163" t="str">
        <f t="shared" si="25"/>
        <v/>
      </c>
      <c r="AE31" s="163" t="str">
        <f t="shared" si="25"/>
        <v/>
      </c>
      <c r="AF31" s="163" t="str">
        <f t="shared" si="25"/>
        <v/>
      </c>
      <c r="AG31" s="163" t="str">
        <f t="shared" si="25"/>
        <v/>
      </c>
      <c r="AH31" s="163" t="str">
        <f t="shared" si="25"/>
        <v/>
      </c>
      <c r="AI31" s="163" t="str">
        <f t="shared" si="25"/>
        <v/>
      </c>
      <c r="AJ31" s="163" t="str">
        <f t="shared" si="25"/>
        <v/>
      </c>
      <c r="AK31" s="163" t="str">
        <f t="shared" si="25"/>
        <v/>
      </c>
      <c r="AL31" s="163" t="str">
        <f t="shared" si="25"/>
        <v/>
      </c>
      <c r="AM31" s="163" t="str">
        <f t="shared" si="25"/>
        <v/>
      </c>
      <c r="AN31" s="163" t="str">
        <f t="shared" si="25"/>
        <v/>
      </c>
      <c r="AO31" s="163" t="str">
        <f t="shared" si="25"/>
        <v/>
      </c>
      <c r="AP31" s="163" t="str">
        <f t="shared" si="25"/>
        <v/>
      </c>
      <c r="AQ31" s="163" t="str">
        <f t="shared" si="25"/>
        <v/>
      </c>
      <c r="AR31" s="163" t="str">
        <f t="shared" si="25"/>
        <v/>
      </c>
      <c r="AS31" s="163" t="str">
        <f t="shared" si="25"/>
        <v/>
      </c>
      <c r="AT31" s="163" t="str">
        <f t="shared" si="25"/>
        <v/>
      </c>
      <c r="AU31" s="163" t="str">
        <f t="shared" si="25"/>
        <v/>
      </c>
      <c r="AV31" s="163" t="str">
        <f t="shared" si="25"/>
        <v/>
      </c>
      <c r="AW31" s="163" t="str">
        <f t="shared" si="25"/>
        <v/>
      </c>
    </row>
    <row r="32">
      <c r="A32" s="108"/>
      <c r="B32" s="134" t="s">
        <v>54</v>
      </c>
      <c r="C32" s="220"/>
      <c r="D32" s="134" t="s">
        <v>1652</v>
      </c>
      <c r="E32" s="134" t="str">
        <f>vlookup(D32,CNPJ!A21:B218,2,FAlse)</f>
        <v>68.314.830/0001-27</v>
      </c>
      <c r="F32" s="246">
        <v>55924.0</v>
      </c>
      <c r="G32" s="247">
        <v>280.0</v>
      </c>
      <c r="H32" s="225">
        <v>44974.0</v>
      </c>
      <c r="I32" s="134" t="s">
        <v>1653</v>
      </c>
      <c r="J32" s="220"/>
      <c r="K32" s="134" t="b">
        <v>1</v>
      </c>
      <c r="L32" s="247">
        <f t="shared" si="3"/>
        <v>280</v>
      </c>
      <c r="M32" s="248"/>
      <c r="N32" s="108" t="b">
        <f t="shared" si="4"/>
        <v>1</v>
      </c>
      <c r="O32" s="229">
        <f t="shared" si="5"/>
        <v>1</v>
      </c>
      <c r="P32" s="163" t="str">
        <f t="shared" ref="P32:AW32" si="26">iferror(if(P$9=FALSE,, if(if(search(P$11,$B32,1)&gt;0,1,0)=1,$G32/$O32,)),"")</f>
        <v/>
      </c>
      <c r="Q32" s="163" t="str">
        <f t="shared" si="26"/>
        <v/>
      </c>
      <c r="R32" s="163" t="str">
        <f t="shared" si="26"/>
        <v/>
      </c>
      <c r="S32" s="163" t="str">
        <f t="shared" si="26"/>
        <v/>
      </c>
      <c r="T32" s="163" t="str">
        <f t="shared" si="26"/>
        <v/>
      </c>
      <c r="U32" s="163" t="str">
        <f t="shared" si="26"/>
        <v/>
      </c>
      <c r="V32" s="163" t="str">
        <f t="shared" si="26"/>
        <v/>
      </c>
      <c r="W32" s="163" t="str">
        <f t="shared" si="26"/>
        <v/>
      </c>
      <c r="X32" s="163" t="str">
        <f t="shared" si="26"/>
        <v/>
      </c>
      <c r="Y32" s="163">
        <f t="shared" si="26"/>
        <v>280</v>
      </c>
      <c r="Z32" s="163" t="str">
        <f t="shared" si="26"/>
        <v/>
      </c>
      <c r="AA32" s="163" t="str">
        <f t="shared" si="26"/>
        <v/>
      </c>
      <c r="AB32" s="163" t="str">
        <f t="shared" si="26"/>
        <v/>
      </c>
      <c r="AC32" s="163" t="str">
        <f t="shared" si="26"/>
        <v/>
      </c>
      <c r="AD32" s="163" t="str">
        <f t="shared" si="26"/>
        <v/>
      </c>
      <c r="AE32" s="163" t="str">
        <f t="shared" si="26"/>
        <v/>
      </c>
      <c r="AF32" s="163" t="str">
        <f t="shared" si="26"/>
        <v/>
      </c>
      <c r="AG32" s="163" t="str">
        <f t="shared" si="26"/>
        <v/>
      </c>
      <c r="AH32" s="163" t="str">
        <f t="shared" si="26"/>
        <v/>
      </c>
      <c r="AI32" s="163" t="str">
        <f t="shared" si="26"/>
        <v/>
      </c>
      <c r="AJ32" s="163" t="str">
        <f t="shared" si="26"/>
        <v/>
      </c>
      <c r="AK32" s="163" t="str">
        <f t="shared" si="26"/>
        <v/>
      </c>
      <c r="AL32" s="163" t="str">
        <f t="shared" si="26"/>
        <v/>
      </c>
      <c r="AM32" s="163" t="str">
        <f t="shared" si="26"/>
        <v/>
      </c>
      <c r="AN32" s="163" t="str">
        <f t="shared" si="26"/>
        <v/>
      </c>
      <c r="AO32" s="163" t="str">
        <f t="shared" si="26"/>
        <v/>
      </c>
      <c r="AP32" s="163" t="str">
        <f t="shared" si="26"/>
        <v/>
      </c>
      <c r="AQ32" s="163" t="str">
        <f t="shared" si="26"/>
        <v/>
      </c>
      <c r="AR32" s="163" t="str">
        <f t="shared" si="26"/>
        <v/>
      </c>
      <c r="AS32" s="163" t="str">
        <f t="shared" si="26"/>
        <v/>
      </c>
      <c r="AT32" s="163" t="str">
        <f t="shared" si="26"/>
        <v/>
      </c>
      <c r="AU32" s="163" t="str">
        <f t="shared" si="26"/>
        <v/>
      </c>
      <c r="AV32" s="163" t="str">
        <f t="shared" si="26"/>
        <v/>
      </c>
      <c r="AW32" s="163" t="str">
        <f t="shared" si="26"/>
        <v/>
      </c>
    </row>
    <row r="33">
      <c r="A33" s="108"/>
      <c r="B33" s="134" t="s">
        <v>290</v>
      </c>
      <c r="C33" s="220"/>
      <c r="D33" s="134" t="s">
        <v>1683</v>
      </c>
      <c r="E33" s="134" t="str">
        <f>vlookup(D33,CNPJ!A22:B219,2,FAlse)</f>
        <v>09.296.295/0001-60</v>
      </c>
      <c r="F33" s="246" t="s">
        <v>1684</v>
      </c>
      <c r="G33" s="247">
        <v>1499.57</v>
      </c>
      <c r="H33" s="225">
        <v>44985.0</v>
      </c>
      <c r="I33" s="134" t="s">
        <v>1685</v>
      </c>
      <c r="J33" s="220"/>
      <c r="K33" s="134" t="b">
        <v>0</v>
      </c>
      <c r="L33" s="247">
        <f t="shared" si="3"/>
        <v>0</v>
      </c>
      <c r="M33" s="248" t="s">
        <v>1686</v>
      </c>
      <c r="N33" s="108" t="b">
        <f t="shared" si="4"/>
        <v>0</v>
      </c>
      <c r="O33" s="229">
        <f t="shared" si="5"/>
        <v>0</v>
      </c>
      <c r="P33" s="163" t="str">
        <f t="shared" ref="P33:AW33" si="27">iferror(if(P$9=FALSE,, if(if(search(P$11,$B33,1)&gt;0,1,0)=1,$G33/$O33,)),"")</f>
        <v/>
      </c>
      <c r="Q33" s="163" t="str">
        <f t="shared" si="27"/>
        <v/>
      </c>
      <c r="R33" s="163" t="str">
        <f t="shared" si="27"/>
        <v/>
      </c>
      <c r="S33" s="163" t="str">
        <f t="shared" si="27"/>
        <v/>
      </c>
      <c r="T33" s="163" t="str">
        <f t="shared" si="27"/>
        <v/>
      </c>
      <c r="U33" s="163" t="str">
        <f t="shared" si="27"/>
        <v/>
      </c>
      <c r="V33" s="163" t="str">
        <f t="shared" si="27"/>
        <v/>
      </c>
      <c r="W33" s="163" t="str">
        <f t="shared" si="27"/>
        <v/>
      </c>
      <c r="X33" s="163" t="str">
        <f t="shared" si="27"/>
        <v/>
      </c>
      <c r="Y33" s="163" t="str">
        <f t="shared" si="27"/>
        <v/>
      </c>
      <c r="Z33" s="163" t="str">
        <f t="shared" si="27"/>
        <v/>
      </c>
      <c r="AA33" s="163" t="str">
        <f t="shared" si="27"/>
        <v/>
      </c>
      <c r="AB33" s="163" t="str">
        <f t="shared" si="27"/>
        <v/>
      </c>
      <c r="AC33" s="163" t="str">
        <f t="shared" si="27"/>
        <v/>
      </c>
      <c r="AD33" s="163" t="str">
        <f t="shared" si="27"/>
        <v/>
      </c>
      <c r="AE33" s="163" t="str">
        <f t="shared" si="27"/>
        <v/>
      </c>
      <c r="AF33" s="163" t="str">
        <f t="shared" si="27"/>
        <v/>
      </c>
      <c r="AG33" s="163" t="str">
        <f t="shared" si="27"/>
        <v/>
      </c>
      <c r="AH33" s="163" t="str">
        <f t="shared" si="27"/>
        <v/>
      </c>
      <c r="AI33" s="163" t="str">
        <f t="shared" si="27"/>
        <v/>
      </c>
      <c r="AJ33" s="163" t="str">
        <f t="shared" si="27"/>
        <v/>
      </c>
      <c r="AK33" s="163" t="str">
        <f t="shared" si="27"/>
        <v/>
      </c>
      <c r="AL33" s="163" t="str">
        <f t="shared" si="27"/>
        <v/>
      </c>
      <c r="AM33" s="163" t="str">
        <f t="shared" si="27"/>
        <v/>
      </c>
      <c r="AN33" s="163" t="str">
        <f t="shared" si="27"/>
        <v/>
      </c>
      <c r="AO33" s="163" t="str">
        <f t="shared" si="27"/>
        <v/>
      </c>
      <c r="AP33" s="163" t="str">
        <f t="shared" si="27"/>
        <v/>
      </c>
      <c r="AQ33" s="163" t="str">
        <f t="shared" si="27"/>
        <v/>
      </c>
      <c r="AR33" s="163" t="str">
        <f t="shared" si="27"/>
        <v/>
      </c>
      <c r="AS33" s="163" t="str">
        <f t="shared" si="27"/>
        <v/>
      </c>
      <c r="AT33" s="163" t="str">
        <f t="shared" si="27"/>
        <v/>
      </c>
      <c r="AU33" s="163" t="str">
        <f t="shared" si="27"/>
        <v/>
      </c>
      <c r="AV33" s="163" t="str">
        <f t="shared" si="27"/>
        <v/>
      </c>
      <c r="AW33" s="163" t="str">
        <f t="shared" si="27"/>
        <v/>
      </c>
    </row>
    <row r="34">
      <c r="A34" s="108"/>
      <c r="B34" s="134" t="s">
        <v>290</v>
      </c>
      <c r="C34" s="220"/>
      <c r="D34" s="134" t="s">
        <v>1687</v>
      </c>
      <c r="E34" s="134" t="str">
        <f>vlookup(D34,CNPJ!A23:B220,2,FAlse)</f>
        <v>07.575.651/0001-59</v>
      </c>
      <c r="F34" s="246" t="s">
        <v>1684</v>
      </c>
      <c r="G34" s="247">
        <v>871.11</v>
      </c>
      <c r="H34" s="225">
        <v>44986.0</v>
      </c>
      <c r="I34" s="134" t="s">
        <v>1688</v>
      </c>
      <c r="J34" s="220"/>
      <c r="K34" s="134" t="b">
        <v>0</v>
      </c>
      <c r="L34" s="247">
        <f t="shared" si="3"/>
        <v>0</v>
      </c>
      <c r="M34" s="248" t="s">
        <v>1686</v>
      </c>
      <c r="N34" s="108" t="b">
        <f t="shared" si="4"/>
        <v>0</v>
      </c>
      <c r="O34" s="229">
        <f t="shared" si="5"/>
        <v>0</v>
      </c>
      <c r="P34" s="163" t="str">
        <f t="shared" ref="P34:AW34" si="28">iferror(if(P$9=FALSE,, if(if(search(P$11,$B34,1)&gt;0,1,0)=1,$G34/$O34,)),"")</f>
        <v/>
      </c>
      <c r="Q34" s="163" t="str">
        <f t="shared" si="28"/>
        <v/>
      </c>
      <c r="R34" s="163" t="str">
        <f t="shared" si="28"/>
        <v/>
      </c>
      <c r="S34" s="163" t="str">
        <f t="shared" si="28"/>
        <v/>
      </c>
      <c r="T34" s="163" t="str">
        <f t="shared" si="28"/>
        <v/>
      </c>
      <c r="U34" s="163" t="str">
        <f t="shared" si="28"/>
        <v/>
      </c>
      <c r="V34" s="163" t="str">
        <f t="shared" si="28"/>
        <v/>
      </c>
      <c r="W34" s="163" t="str">
        <f t="shared" si="28"/>
        <v/>
      </c>
      <c r="X34" s="163" t="str">
        <f t="shared" si="28"/>
        <v/>
      </c>
      <c r="Y34" s="163" t="str">
        <f t="shared" si="28"/>
        <v/>
      </c>
      <c r="Z34" s="163" t="str">
        <f t="shared" si="28"/>
        <v/>
      </c>
      <c r="AA34" s="163" t="str">
        <f t="shared" si="28"/>
        <v/>
      </c>
      <c r="AB34" s="163" t="str">
        <f t="shared" si="28"/>
        <v/>
      </c>
      <c r="AC34" s="163" t="str">
        <f t="shared" si="28"/>
        <v/>
      </c>
      <c r="AD34" s="163" t="str">
        <f t="shared" si="28"/>
        <v/>
      </c>
      <c r="AE34" s="163" t="str">
        <f t="shared" si="28"/>
        <v/>
      </c>
      <c r="AF34" s="163" t="str">
        <f t="shared" si="28"/>
        <v/>
      </c>
      <c r="AG34" s="163" t="str">
        <f t="shared" si="28"/>
        <v/>
      </c>
      <c r="AH34" s="163" t="str">
        <f t="shared" si="28"/>
        <v/>
      </c>
      <c r="AI34" s="163" t="str">
        <f t="shared" si="28"/>
        <v/>
      </c>
      <c r="AJ34" s="163" t="str">
        <f t="shared" si="28"/>
        <v/>
      </c>
      <c r="AK34" s="163" t="str">
        <f t="shared" si="28"/>
        <v/>
      </c>
      <c r="AL34" s="163" t="str">
        <f t="shared" si="28"/>
        <v/>
      </c>
      <c r="AM34" s="163" t="str">
        <f t="shared" si="28"/>
        <v/>
      </c>
      <c r="AN34" s="163" t="str">
        <f t="shared" si="28"/>
        <v/>
      </c>
      <c r="AO34" s="163" t="str">
        <f t="shared" si="28"/>
        <v/>
      </c>
      <c r="AP34" s="163" t="str">
        <f t="shared" si="28"/>
        <v/>
      </c>
      <c r="AQ34" s="163" t="str">
        <f t="shared" si="28"/>
        <v/>
      </c>
      <c r="AR34" s="163" t="str">
        <f t="shared" si="28"/>
        <v/>
      </c>
      <c r="AS34" s="163" t="str">
        <f t="shared" si="28"/>
        <v/>
      </c>
      <c r="AT34" s="163" t="str">
        <f t="shared" si="28"/>
        <v/>
      </c>
      <c r="AU34" s="163" t="str">
        <f t="shared" si="28"/>
        <v/>
      </c>
      <c r="AV34" s="163" t="str">
        <f t="shared" si="28"/>
        <v/>
      </c>
      <c r="AW34" s="163" t="str">
        <f t="shared" si="28"/>
        <v/>
      </c>
    </row>
    <row r="35">
      <c r="A35" s="108"/>
      <c r="B35" s="134" t="s">
        <v>57</v>
      </c>
      <c r="C35" s="220"/>
      <c r="D35" s="134" t="s">
        <v>1678</v>
      </c>
      <c r="E35" s="134" t="str">
        <f>vlookup(D35,CNPJ!A24:B221,2,FAlse)</f>
        <v>50.276.237/0001-78</v>
      </c>
      <c r="F35" s="246">
        <v>141897.0</v>
      </c>
      <c r="G35" s="247">
        <v>730.0</v>
      </c>
      <c r="H35" s="225">
        <v>44986.0</v>
      </c>
      <c r="I35" s="134" t="s">
        <v>1689</v>
      </c>
      <c r="J35" s="220"/>
      <c r="K35" s="134" t="b">
        <v>1</v>
      </c>
      <c r="L35" s="247">
        <f t="shared" si="3"/>
        <v>730</v>
      </c>
      <c r="M35" s="248"/>
      <c r="N35" s="108" t="b">
        <f t="shared" si="4"/>
        <v>1</v>
      </c>
      <c r="O35" s="229">
        <f t="shared" si="5"/>
        <v>1</v>
      </c>
      <c r="P35" s="163" t="str">
        <f t="shared" ref="P35:AW35" si="29">iferror(if(P$9=FALSE,, if(if(search(P$11,$B35,1)&gt;0,1,0)=1,$G35/$O35,)),"")</f>
        <v/>
      </c>
      <c r="Q35" s="163" t="str">
        <f t="shared" si="29"/>
        <v/>
      </c>
      <c r="R35" s="163" t="str">
        <f t="shared" si="29"/>
        <v/>
      </c>
      <c r="S35" s="163" t="str">
        <f t="shared" si="29"/>
        <v/>
      </c>
      <c r="T35" s="163" t="str">
        <f t="shared" si="29"/>
        <v/>
      </c>
      <c r="U35" s="163" t="str">
        <f t="shared" si="29"/>
        <v/>
      </c>
      <c r="V35" s="163" t="str">
        <f t="shared" si="29"/>
        <v/>
      </c>
      <c r="W35" s="163" t="str">
        <f t="shared" si="29"/>
        <v/>
      </c>
      <c r="X35" s="163" t="str">
        <f t="shared" si="29"/>
        <v/>
      </c>
      <c r="Y35" s="163" t="str">
        <f t="shared" si="29"/>
        <v/>
      </c>
      <c r="Z35" s="163" t="str">
        <f t="shared" si="29"/>
        <v/>
      </c>
      <c r="AA35" s="163" t="str">
        <f t="shared" si="29"/>
        <v/>
      </c>
      <c r="AB35" s="163" t="str">
        <f t="shared" si="29"/>
        <v/>
      </c>
      <c r="AC35" s="163" t="str">
        <f t="shared" si="29"/>
        <v/>
      </c>
      <c r="AD35" s="163" t="str">
        <f t="shared" si="29"/>
        <v/>
      </c>
      <c r="AE35" s="163">
        <f t="shared" si="29"/>
        <v>730</v>
      </c>
      <c r="AF35" s="163" t="str">
        <f t="shared" si="29"/>
        <v/>
      </c>
      <c r="AG35" s="163" t="str">
        <f t="shared" si="29"/>
        <v/>
      </c>
      <c r="AH35" s="163" t="str">
        <f t="shared" si="29"/>
        <v/>
      </c>
      <c r="AI35" s="163" t="str">
        <f t="shared" si="29"/>
        <v/>
      </c>
      <c r="AJ35" s="163" t="str">
        <f t="shared" si="29"/>
        <v/>
      </c>
      <c r="AK35" s="163" t="str">
        <f t="shared" si="29"/>
        <v/>
      </c>
      <c r="AL35" s="163" t="str">
        <f t="shared" si="29"/>
        <v/>
      </c>
      <c r="AM35" s="163" t="str">
        <f t="shared" si="29"/>
        <v/>
      </c>
      <c r="AN35" s="163" t="str">
        <f t="shared" si="29"/>
        <v/>
      </c>
      <c r="AO35" s="163" t="str">
        <f t="shared" si="29"/>
        <v/>
      </c>
      <c r="AP35" s="163" t="str">
        <f t="shared" si="29"/>
        <v/>
      </c>
      <c r="AQ35" s="163" t="str">
        <f t="shared" si="29"/>
        <v/>
      </c>
      <c r="AR35" s="163" t="str">
        <f t="shared" si="29"/>
        <v/>
      </c>
      <c r="AS35" s="163" t="str">
        <f t="shared" si="29"/>
        <v/>
      </c>
      <c r="AT35" s="163" t="str">
        <f t="shared" si="29"/>
        <v/>
      </c>
      <c r="AU35" s="163" t="str">
        <f t="shared" si="29"/>
        <v/>
      </c>
      <c r="AV35" s="163" t="str">
        <f t="shared" si="29"/>
        <v/>
      </c>
      <c r="AW35" s="163" t="str">
        <f t="shared" si="29"/>
        <v/>
      </c>
    </row>
    <row r="36">
      <c r="A36" s="108"/>
      <c r="B36" s="134" t="s">
        <v>453</v>
      </c>
      <c r="C36" s="220"/>
      <c r="D36" s="134" t="s">
        <v>1648</v>
      </c>
      <c r="E36" s="134" t="str">
        <f>vlookup(D36,CNPJ!A25:B222,2,FAlse)</f>
        <v>04.329.668/0001-38</v>
      </c>
      <c r="F36" s="246">
        <v>211793.0</v>
      </c>
      <c r="G36" s="247">
        <v>488.68</v>
      </c>
      <c r="H36" s="225">
        <v>44987.0</v>
      </c>
      <c r="I36" s="134" t="s">
        <v>1690</v>
      </c>
      <c r="J36" s="220"/>
      <c r="K36" s="134" t="b">
        <v>1</v>
      </c>
      <c r="L36" s="247">
        <f t="shared" si="3"/>
        <v>0</v>
      </c>
      <c r="M36" s="248"/>
      <c r="N36" s="108" t="b">
        <f t="shared" si="4"/>
        <v>0</v>
      </c>
      <c r="O36" s="229">
        <f t="shared" si="5"/>
        <v>1</v>
      </c>
      <c r="P36" s="163" t="str">
        <f t="shared" ref="P36:AW36" si="30">iferror(if(P$9=FALSE,, if(if(search(P$11,$B36,1)&gt;0,1,0)=1,$G36/$O36,)),"")</f>
        <v/>
      </c>
      <c r="Q36" s="163" t="str">
        <f t="shared" si="30"/>
        <v/>
      </c>
      <c r="R36" s="163" t="str">
        <f t="shared" si="30"/>
        <v/>
      </c>
      <c r="S36" s="163" t="str">
        <f t="shared" si="30"/>
        <v/>
      </c>
      <c r="T36" s="163" t="str">
        <f t="shared" si="30"/>
        <v/>
      </c>
      <c r="U36" s="163" t="str">
        <f t="shared" si="30"/>
        <v/>
      </c>
      <c r="V36" s="163" t="str">
        <f t="shared" si="30"/>
        <v/>
      </c>
      <c r="W36" s="163" t="str">
        <f t="shared" si="30"/>
        <v/>
      </c>
      <c r="X36" s="163" t="str">
        <f t="shared" si="30"/>
        <v/>
      </c>
      <c r="Y36" s="163" t="str">
        <f t="shared" si="30"/>
        <v/>
      </c>
      <c r="Z36" s="163" t="str">
        <f t="shared" si="30"/>
        <v/>
      </c>
      <c r="AA36" s="163" t="str">
        <f t="shared" si="30"/>
        <v/>
      </c>
      <c r="AB36" s="163" t="str">
        <f t="shared" si="30"/>
        <v/>
      </c>
      <c r="AC36" s="163" t="str">
        <f t="shared" si="30"/>
        <v/>
      </c>
      <c r="AD36" s="163" t="str">
        <f t="shared" si="30"/>
        <v/>
      </c>
      <c r="AE36" s="163" t="str">
        <f t="shared" si="30"/>
        <v/>
      </c>
      <c r="AF36" s="163" t="str">
        <f t="shared" si="30"/>
        <v/>
      </c>
      <c r="AG36" s="163" t="str">
        <f t="shared" si="30"/>
        <v/>
      </c>
      <c r="AH36" s="163" t="str">
        <f t="shared" si="30"/>
        <v/>
      </c>
      <c r="AI36" s="163" t="str">
        <f t="shared" si="30"/>
        <v/>
      </c>
      <c r="AJ36" s="163" t="str">
        <f t="shared" si="30"/>
        <v/>
      </c>
      <c r="AK36" s="163" t="str">
        <f t="shared" si="30"/>
        <v/>
      </c>
      <c r="AL36" s="163" t="str">
        <f t="shared" si="30"/>
        <v/>
      </c>
      <c r="AM36" s="163" t="str">
        <f t="shared" si="30"/>
        <v/>
      </c>
      <c r="AN36" s="163" t="str">
        <f t="shared" si="30"/>
        <v/>
      </c>
      <c r="AO36" s="163" t="str">
        <f t="shared" si="30"/>
        <v/>
      </c>
      <c r="AP36" s="163" t="str">
        <f t="shared" si="30"/>
        <v/>
      </c>
      <c r="AQ36" s="163" t="str">
        <f t="shared" si="30"/>
        <v/>
      </c>
      <c r="AR36" s="163" t="str">
        <f t="shared" si="30"/>
        <v/>
      </c>
      <c r="AS36" s="163" t="str">
        <f t="shared" si="30"/>
        <v/>
      </c>
      <c r="AT36" s="163" t="str">
        <f t="shared" si="30"/>
        <v/>
      </c>
      <c r="AU36" s="163" t="str">
        <f t="shared" si="30"/>
        <v/>
      </c>
      <c r="AV36" s="163" t="str">
        <f t="shared" si="30"/>
        <v/>
      </c>
      <c r="AW36" s="163" t="str">
        <f t="shared" si="30"/>
        <v/>
      </c>
    </row>
    <row r="37">
      <c r="A37" s="108"/>
      <c r="B37" s="134" t="s">
        <v>66</v>
      </c>
      <c r="C37" s="220"/>
      <c r="D37" s="134" t="s">
        <v>1667</v>
      </c>
      <c r="E37" s="134" t="str">
        <f>vlookup(D37,CNPJ!A26:B223,2,FAlse)</f>
        <v>08.183.359/0003-15</v>
      </c>
      <c r="F37" s="246">
        <v>68670.0</v>
      </c>
      <c r="G37" s="247">
        <v>112.0</v>
      </c>
      <c r="H37" s="225">
        <v>44963.0</v>
      </c>
      <c r="I37" s="134" t="s">
        <v>1691</v>
      </c>
      <c r="J37" s="220"/>
      <c r="K37" s="134" t="b">
        <v>0</v>
      </c>
      <c r="L37" s="247">
        <f t="shared" si="3"/>
        <v>0</v>
      </c>
      <c r="M37" s="248"/>
      <c r="N37" s="108" t="b">
        <f t="shared" si="4"/>
        <v>0</v>
      </c>
      <c r="O37" s="229">
        <f t="shared" si="5"/>
        <v>0</v>
      </c>
      <c r="P37" s="163" t="str">
        <f t="shared" ref="P37:AW37" si="31">iferror(if(P$9=FALSE,, if(if(search(P$11,$B37,1)&gt;0,1,0)=1,$G37/$O37,)),"")</f>
        <v/>
      </c>
      <c r="Q37" s="163" t="str">
        <f t="shared" si="31"/>
        <v/>
      </c>
      <c r="R37" s="163" t="str">
        <f t="shared" si="31"/>
        <v/>
      </c>
      <c r="S37" s="163" t="str">
        <f t="shared" si="31"/>
        <v/>
      </c>
      <c r="T37" s="163" t="str">
        <f t="shared" si="31"/>
        <v/>
      </c>
      <c r="U37" s="163" t="str">
        <f t="shared" si="31"/>
        <v/>
      </c>
      <c r="V37" s="163" t="str">
        <f t="shared" si="31"/>
        <v/>
      </c>
      <c r="W37" s="163" t="str">
        <f t="shared" si="31"/>
        <v/>
      </c>
      <c r="X37" s="163" t="str">
        <f t="shared" si="31"/>
        <v/>
      </c>
      <c r="Y37" s="163" t="str">
        <f t="shared" si="31"/>
        <v/>
      </c>
      <c r="Z37" s="163" t="str">
        <f t="shared" si="31"/>
        <v/>
      </c>
      <c r="AA37" s="163" t="str">
        <f t="shared" si="31"/>
        <v/>
      </c>
      <c r="AB37" s="163" t="str">
        <f t="shared" si="31"/>
        <v/>
      </c>
      <c r="AC37" s="163" t="str">
        <f t="shared" si="31"/>
        <v/>
      </c>
      <c r="AD37" s="163" t="str">
        <f t="shared" si="31"/>
        <v/>
      </c>
      <c r="AE37" s="163" t="str">
        <f t="shared" si="31"/>
        <v/>
      </c>
      <c r="AF37" s="163" t="str">
        <f t="shared" si="31"/>
        <v/>
      </c>
      <c r="AG37" s="163" t="str">
        <f t="shared" si="31"/>
        <v/>
      </c>
      <c r="AH37" s="163" t="str">
        <f t="shared" si="31"/>
        <v/>
      </c>
      <c r="AI37" s="163" t="str">
        <f t="shared" si="31"/>
        <v/>
      </c>
      <c r="AJ37" s="163" t="str">
        <f t="shared" si="31"/>
        <v/>
      </c>
      <c r="AK37" s="163" t="str">
        <f t="shared" si="31"/>
        <v/>
      </c>
      <c r="AL37" s="163" t="str">
        <f t="shared" si="31"/>
        <v/>
      </c>
      <c r="AM37" s="163" t="str">
        <f t="shared" si="31"/>
        <v/>
      </c>
      <c r="AN37" s="163" t="str">
        <f t="shared" si="31"/>
        <v/>
      </c>
      <c r="AO37" s="163" t="str">
        <f t="shared" si="31"/>
        <v/>
      </c>
      <c r="AP37" s="163" t="str">
        <f t="shared" si="31"/>
        <v/>
      </c>
      <c r="AQ37" s="163" t="str">
        <f t="shared" si="31"/>
        <v/>
      </c>
      <c r="AR37" s="163" t="str">
        <f t="shared" si="31"/>
        <v/>
      </c>
      <c r="AS37" s="163" t="str">
        <f t="shared" si="31"/>
        <v/>
      </c>
      <c r="AT37" s="163" t="str">
        <f t="shared" si="31"/>
        <v/>
      </c>
      <c r="AU37" s="163" t="str">
        <f t="shared" si="31"/>
        <v/>
      </c>
      <c r="AV37" s="163" t="str">
        <f t="shared" si="31"/>
        <v/>
      </c>
      <c r="AW37" s="163" t="str">
        <f t="shared" si="31"/>
        <v/>
      </c>
    </row>
    <row r="38">
      <c r="A38" s="108"/>
      <c r="B38" s="134" t="s">
        <v>58</v>
      </c>
      <c r="C38" s="220"/>
      <c r="D38" s="134" t="s">
        <v>1665</v>
      </c>
      <c r="E38" s="134" t="str">
        <f>vlookup(D38,CNPJ!A27:B224,2,FAlse)</f>
        <v>00.799.205/0001-89</v>
      </c>
      <c r="F38" s="246">
        <v>105669.0</v>
      </c>
      <c r="G38" s="247">
        <v>1476.0</v>
      </c>
      <c r="H38" s="225">
        <v>44986.0</v>
      </c>
      <c r="I38" s="134" t="s">
        <v>1666</v>
      </c>
      <c r="J38" s="220"/>
      <c r="K38" s="134" t="b">
        <v>1</v>
      </c>
      <c r="L38" s="247">
        <f t="shared" si="3"/>
        <v>1476</v>
      </c>
      <c r="M38" s="248"/>
      <c r="N38" s="108" t="b">
        <f t="shared" si="4"/>
        <v>1</v>
      </c>
      <c r="O38" s="229">
        <f t="shared" si="5"/>
        <v>1</v>
      </c>
      <c r="P38" s="163" t="str">
        <f t="shared" ref="P38:AW38" si="32">iferror(if(P$9=FALSE,, if(if(search(P$11,$B38,1)&gt;0,1,0)=1,$G38/$O38,)),"")</f>
        <v/>
      </c>
      <c r="Q38" s="163" t="str">
        <f t="shared" si="32"/>
        <v/>
      </c>
      <c r="R38" s="163" t="str">
        <f t="shared" si="32"/>
        <v/>
      </c>
      <c r="S38" s="163" t="str">
        <f t="shared" si="32"/>
        <v/>
      </c>
      <c r="T38" s="163" t="str">
        <f t="shared" si="32"/>
        <v/>
      </c>
      <c r="U38" s="163" t="str">
        <f t="shared" si="32"/>
        <v/>
      </c>
      <c r="V38" s="163" t="str">
        <f t="shared" si="32"/>
        <v/>
      </c>
      <c r="W38" s="163" t="str">
        <f t="shared" si="32"/>
        <v/>
      </c>
      <c r="X38" s="163" t="str">
        <f t="shared" si="32"/>
        <v/>
      </c>
      <c r="Y38" s="163" t="str">
        <f t="shared" si="32"/>
        <v/>
      </c>
      <c r="Z38" s="163" t="str">
        <f t="shared" si="32"/>
        <v/>
      </c>
      <c r="AA38" s="163" t="str">
        <f t="shared" si="32"/>
        <v/>
      </c>
      <c r="AB38" s="163" t="str">
        <f t="shared" si="32"/>
        <v/>
      </c>
      <c r="AC38" s="163" t="str">
        <f t="shared" si="32"/>
        <v/>
      </c>
      <c r="AD38" s="163" t="str">
        <f t="shared" si="32"/>
        <v/>
      </c>
      <c r="AE38" s="163" t="str">
        <f t="shared" si="32"/>
        <v/>
      </c>
      <c r="AF38" s="163">
        <f t="shared" si="32"/>
        <v>1476</v>
      </c>
      <c r="AG38" s="163" t="str">
        <f t="shared" si="32"/>
        <v/>
      </c>
      <c r="AH38" s="163" t="str">
        <f t="shared" si="32"/>
        <v/>
      </c>
      <c r="AI38" s="163" t="str">
        <f t="shared" si="32"/>
        <v/>
      </c>
      <c r="AJ38" s="163" t="str">
        <f t="shared" si="32"/>
        <v/>
      </c>
      <c r="AK38" s="163" t="str">
        <f t="shared" si="32"/>
        <v/>
      </c>
      <c r="AL38" s="163" t="str">
        <f t="shared" si="32"/>
        <v/>
      </c>
      <c r="AM38" s="163" t="str">
        <f t="shared" si="32"/>
        <v/>
      </c>
      <c r="AN38" s="163" t="str">
        <f t="shared" si="32"/>
        <v/>
      </c>
      <c r="AO38" s="163" t="str">
        <f t="shared" si="32"/>
        <v/>
      </c>
      <c r="AP38" s="163" t="str">
        <f t="shared" si="32"/>
        <v/>
      </c>
      <c r="AQ38" s="163" t="str">
        <f t="shared" si="32"/>
        <v/>
      </c>
      <c r="AR38" s="163" t="str">
        <f t="shared" si="32"/>
        <v/>
      </c>
      <c r="AS38" s="163" t="str">
        <f t="shared" si="32"/>
        <v/>
      </c>
      <c r="AT38" s="163" t="str">
        <f t="shared" si="32"/>
        <v/>
      </c>
      <c r="AU38" s="163" t="str">
        <f t="shared" si="32"/>
        <v/>
      </c>
      <c r="AV38" s="163" t="str">
        <f t="shared" si="32"/>
        <v/>
      </c>
      <c r="AW38" s="163" t="str">
        <f t="shared" si="32"/>
        <v/>
      </c>
    </row>
    <row r="39">
      <c r="A39" s="108"/>
      <c r="B39" s="134" t="s">
        <v>52</v>
      </c>
      <c r="C39" s="220"/>
      <c r="D39" s="134" t="s">
        <v>1678</v>
      </c>
      <c r="E39" s="134" t="str">
        <f>vlookup(D39,CNPJ!A28:B225,2,FAlse)</f>
        <v>50.276.237/0001-78</v>
      </c>
      <c r="F39" s="246">
        <v>142037.0</v>
      </c>
      <c r="G39" s="247">
        <v>918.0</v>
      </c>
      <c r="H39" s="225">
        <v>44988.0</v>
      </c>
      <c r="I39" s="134" t="s">
        <v>1692</v>
      </c>
      <c r="J39" s="220"/>
      <c r="K39" s="134" t="b">
        <v>1</v>
      </c>
      <c r="L39" s="247">
        <f t="shared" si="3"/>
        <v>918</v>
      </c>
      <c r="M39" s="248"/>
      <c r="N39" s="108" t="b">
        <f t="shared" si="4"/>
        <v>1</v>
      </c>
      <c r="O39" s="229">
        <f t="shared" si="5"/>
        <v>1</v>
      </c>
      <c r="P39" s="163" t="str">
        <f t="shared" ref="P39:AW39" si="33">iferror(if(P$9=FALSE,, if(if(search(P$11,$B39,1)&gt;0,1,0)=1,$G39/$O39,)),"")</f>
        <v/>
      </c>
      <c r="Q39" s="163" t="str">
        <f t="shared" si="33"/>
        <v/>
      </c>
      <c r="R39" s="163" t="str">
        <f t="shared" si="33"/>
        <v/>
      </c>
      <c r="S39" s="163" t="str">
        <f t="shared" si="33"/>
        <v/>
      </c>
      <c r="T39" s="163" t="str">
        <f t="shared" si="33"/>
        <v/>
      </c>
      <c r="U39" s="163" t="str">
        <f t="shared" si="33"/>
        <v/>
      </c>
      <c r="V39" s="163">
        <f t="shared" si="33"/>
        <v>918</v>
      </c>
      <c r="W39" s="163" t="str">
        <f t="shared" si="33"/>
        <v/>
      </c>
      <c r="X39" s="163" t="str">
        <f t="shared" si="33"/>
        <v/>
      </c>
      <c r="Y39" s="163" t="str">
        <f t="shared" si="33"/>
        <v/>
      </c>
      <c r="Z39" s="163" t="str">
        <f t="shared" si="33"/>
        <v/>
      </c>
      <c r="AA39" s="163" t="str">
        <f t="shared" si="33"/>
        <v/>
      </c>
      <c r="AB39" s="163" t="str">
        <f t="shared" si="33"/>
        <v/>
      </c>
      <c r="AC39" s="163" t="str">
        <f t="shared" si="33"/>
        <v/>
      </c>
      <c r="AD39" s="163" t="str">
        <f t="shared" si="33"/>
        <v/>
      </c>
      <c r="AE39" s="163" t="str">
        <f t="shared" si="33"/>
        <v/>
      </c>
      <c r="AF39" s="163" t="str">
        <f t="shared" si="33"/>
        <v/>
      </c>
      <c r="AG39" s="163" t="str">
        <f t="shared" si="33"/>
        <v/>
      </c>
      <c r="AH39" s="163" t="str">
        <f t="shared" si="33"/>
        <v/>
      </c>
      <c r="AI39" s="163" t="str">
        <f t="shared" si="33"/>
        <v/>
      </c>
      <c r="AJ39" s="163" t="str">
        <f t="shared" si="33"/>
        <v/>
      </c>
      <c r="AK39" s="163" t="str">
        <f t="shared" si="33"/>
        <v/>
      </c>
      <c r="AL39" s="163" t="str">
        <f t="shared" si="33"/>
        <v/>
      </c>
      <c r="AM39" s="163" t="str">
        <f t="shared" si="33"/>
        <v/>
      </c>
      <c r="AN39" s="163" t="str">
        <f t="shared" si="33"/>
        <v/>
      </c>
      <c r="AO39" s="163" t="str">
        <f t="shared" si="33"/>
        <v/>
      </c>
      <c r="AP39" s="163" t="str">
        <f t="shared" si="33"/>
        <v/>
      </c>
      <c r="AQ39" s="163" t="str">
        <f t="shared" si="33"/>
        <v/>
      </c>
      <c r="AR39" s="163" t="str">
        <f t="shared" si="33"/>
        <v/>
      </c>
      <c r="AS39" s="163" t="str">
        <f t="shared" si="33"/>
        <v/>
      </c>
      <c r="AT39" s="163" t="str">
        <f t="shared" si="33"/>
        <v/>
      </c>
      <c r="AU39" s="163" t="str">
        <f t="shared" si="33"/>
        <v/>
      </c>
      <c r="AV39" s="163" t="str">
        <f t="shared" si="33"/>
        <v/>
      </c>
      <c r="AW39" s="163" t="str">
        <f t="shared" si="33"/>
        <v/>
      </c>
    </row>
    <row r="40">
      <c r="A40" s="108"/>
      <c r="B40" s="134" t="s">
        <v>290</v>
      </c>
      <c r="C40" s="220"/>
      <c r="D40" s="134" t="s">
        <v>1648</v>
      </c>
      <c r="E40" s="134" t="str">
        <f>vlookup(D40,CNPJ!A29:B226,2,FAlse)</f>
        <v>04.329.668/0001-38</v>
      </c>
      <c r="F40" s="246">
        <v>213093.0</v>
      </c>
      <c r="G40" s="247">
        <v>39861.58</v>
      </c>
      <c r="H40" s="225">
        <v>45005.0</v>
      </c>
      <c r="I40" s="134" t="s">
        <v>1693</v>
      </c>
      <c r="J40" s="220"/>
      <c r="K40" s="134" t="b">
        <v>1</v>
      </c>
      <c r="L40" s="247">
        <f t="shared" si="3"/>
        <v>39861.58</v>
      </c>
      <c r="M40" s="248"/>
      <c r="N40" s="108" t="b">
        <f t="shared" si="4"/>
        <v>1</v>
      </c>
      <c r="O40" s="229">
        <f t="shared" si="5"/>
        <v>1</v>
      </c>
      <c r="P40" s="163">
        <f t="shared" ref="P40:AW40" si="34">iferror(if(P$9=FALSE,, if(if(search(P$11,$B40,1)&gt;0,1,0)=1,$G40/$O40,)),"")</f>
        <v>39861.58</v>
      </c>
      <c r="Q40" s="163" t="str">
        <f t="shared" si="34"/>
        <v/>
      </c>
      <c r="R40" s="163" t="str">
        <f t="shared" si="34"/>
        <v/>
      </c>
      <c r="S40" s="163" t="str">
        <f t="shared" si="34"/>
        <v/>
      </c>
      <c r="T40" s="163" t="str">
        <f t="shared" si="34"/>
        <v/>
      </c>
      <c r="U40" s="163" t="str">
        <f t="shared" si="34"/>
        <v/>
      </c>
      <c r="V40" s="163" t="str">
        <f t="shared" si="34"/>
        <v/>
      </c>
      <c r="W40" s="163" t="str">
        <f t="shared" si="34"/>
        <v/>
      </c>
      <c r="X40" s="163" t="str">
        <f t="shared" si="34"/>
        <v/>
      </c>
      <c r="Y40" s="163" t="str">
        <f t="shared" si="34"/>
        <v/>
      </c>
      <c r="Z40" s="163" t="str">
        <f t="shared" si="34"/>
        <v/>
      </c>
      <c r="AA40" s="163" t="str">
        <f t="shared" si="34"/>
        <v/>
      </c>
      <c r="AB40" s="163" t="str">
        <f t="shared" si="34"/>
        <v/>
      </c>
      <c r="AC40" s="163" t="str">
        <f t="shared" si="34"/>
        <v/>
      </c>
      <c r="AD40" s="163" t="str">
        <f t="shared" si="34"/>
        <v/>
      </c>
      <c r="AE40" s="163" t="str">
        <f t="shared" si="34"/>
        <v/>
      </c>
      <c r="AF40" s="163" t="str">
        <f t="shared" si="34"/>
        <v/>
      </c>
      <c r="AG40" s="163" t="str">
        <f t="shared" si="34"/>
        <v/>
      </c>
      <c r="AH40" s="163" t="str">
        <f t="shared" si="34"/>
        <v/>
      </c>
      <c r="AI40" s="163" t="str">
        <f t="shared" si="34"/>
        <v/>
      </c>
      <c r="AJ40" s="163" t="str">
        <f t="shared" si="34"/>
        <v/>
      </c>
      <c r="AK40" s="163" t="str">
        <f t="shared" si="34"/>
        <v/>
      </c>
      <c r="AL40" s="163" t="str">
        <f t="shared" si="34"/>
        <v/>
      </c>
      <c r="AM40" s="163" t="str">
        <f t="shared" si="34"/>
        <v/>
      </c>
      <c r="AN40" s="163" t="str">
        <f t="shared" si="34"/>
        <v/>
      </c>
      <c r="AO40" s="163" t="str">
        <f t="shared" si="34"/>
        <v/>
      </c>
      <c r="AP40" s="163" t="str">
        <f t="shared" si="34"/>
        <v/>
      </c>
      <c r="AQ40" s="163" t="str">
        <f t="shared" si="34"/>
        <v/>
      </c>
      <c r="AR40" s="163" t="str">
        <f t="shared" si="34"/>
        <v/>
      </c>
      <c r="AS40" s="163" t="str">
        <f t="shared" si="34"/>
        <v/>
      </c>
      <c r="AT40" s="163" t="str">
        <f t="shared" si="34"/>
        <v/>
      </c>
      <c r="AU40" s="163" t="str">
        <f t="shared" si="34"/>
        <v/>
      </c>
      <c r="AV40" s="163" t="str">
        <f t="shared" si="34"/>
        <v/>
      </c>
      <c r="AW40" s="163" t="str">
        <f t="shared" si="34"/>
        <v/>
      </c>
    </row>
    <row r="41">
      <c r="A41" s="108"/>
      <c r="B41" s="134" t="s">
        <v>290</v>
      </c>
      <c r="C41" s="220"/>
      <c r="D41" s="134" t="s">
        <v>1694</v>
      </c>
      <c r="E41" s="134" t="str">
        <f>vlookup(D41,CNPJ!A30:B227,2,FAlse)</f>
        <v>NA</v>
      </c>
      <c r="F41" s="246" t="s">
        <v>1684</v>
      </c>
      <c r="G41" s="247">
        <v>1736.92</v>
      </c>
      <c r="H41" s="225">
        <v>45002.0</v>
      </c>
      <c r="I41" s="134" t="s">
        <v>1695</v>
      </c>
      <c r="J41" s="220"/>
      <c r="K41" s="134" t="b">
        <v>0</v>
      </c>
      <c r="L41" s="247">
        <f t="shared" si="3"/>
        <v>0</v>
      </c>
      <c r="M41" s="248" t="s">
        <v>1686</v>
      </c>
      <c r="N41" s="108" t="b">
        <f t="shared" si="4"/>
        <v>0</v>
      </c>
      <c r="O41" s="229">
        <f t="shared" si="5"/>
        <v>0</v>
      </c>
      <c r="P41" s="163" t="str">
        <f t="shared" ref="P41:AW41" si="35">iferror(if(P$9=FALSE,, if(if(search(P$11,$B41,1)&gt;0,1,0)=1,$G41/$O41,)),"")</f>
        <v/>
      </c>
      <c r="Q41" s="163" t="str">
        <f t="shared" si="35"/>
        <v/>
      </c>
      <c r="R41" s="163" t="str">
        <f t="shared" si="35"/>
        <v/>
      </c>
      <c r="S41" s="163" t="str">
        <f t="shared" si="35"/>
        <v/>
      </c>
      <c r="T41" s="163" t="str">
        <f t="shared" si="35"/>
        <v/>
      </c>
      <c r="U41" s="163" t="str">
        <f t="shared" si="35"/>
        <v/>
      </c>
      <c r="V41" s="163" t="str">
        <f t="shared" si="35"/>
        <v/>
      </c>
      <c r="W41" s="163" t="str">
        <f t="shared" si="35"/>
        <v/>
      </c>
      <c r="X41" s="163" t="str">
        <f t="shared" si="35"/>
        <v/>
      </c>
      <c r="Y41" s="163" t="str">
        <f t="shared" si="35"/>
        <v/>
      </c>
      <c r="Z41" s="163" t="str">
        <f t="shared" si="35"/>
        <v/>
      </c>
      <c r="AA41" s="163" t="str">
        <f t="shared" si="35"/>
        <v/>
      </c>
      <c r="AB41" s="163" t="str">
        <f t="shared" si="35"/>
        <v/>
      </c>
      <c r="AC41" s="163" t="str">
        <f t="shared" si="35"/>
        <v/>
      </c>
      <c r="AD41" s="163" t="str">
        <f t="shared" si="35"/>
        <v/>
      </c>
      <c r="AE41" s="163" t="str">
        <f t="shared" si="35"/>
        <v/>
      </c>
      <c r="AF41" s="163" t="str">
        <f t="shared" si="35"/>
        <v/>
      </c>
      <c r="AG41" s="163" t="str">
        <f t="shared" si="35"/>
        <v/>
      </c>
      <c r="AH41" s="163" t="str">
        <f t="shared" si="35"/>
        <v/>
      </c>
      <c r="AI41" s="163" t="str">
        <f t="shared" si="35"/>
        <v/>
      </c>
      <c r="AJ41" s="163" t="str">
        <f t="shared" si="35"/>
        <v/>
      </c>
      <c r="AK41" s="163" t="str">
        <f t="shared" si="35"/>
        <v/>
      </c>
      <c r="AL41" s="163" t="str">
        <f t="shared" si="35"/>
        <v/>
      </c>
      <c r="AM41" s="163" t="str">
        <f t="shared" si="35"/>
        <v/>
      </c>
      <c r="AN41" s="163" t="str">
        <f t="shared" si="35"/>
        <v/>
      </c>
      <c r="AO41" s="163" t="str">
        <f t="shared" si="35"/>
        <v/>
      </c>
      <c r="AP41" s="163" t="str">
        <f t="shared" si="35"/>
        <v/>
      </c>
      <c r="AQ41" s="163" t="str">
        <f t="shared" si="35"/>
        <v/>
      </c>
      <c r="AR41" s="163" t="str">
        <f t="shared" si="35"/>
        <v/>
      </c>
      <c r="AS41" s="163" t="str">
        <f t="shared" si="35"/>
        <v/>
      </c>
      <c r="AT41" s="163" t="str">
        <f t="shared" si="35"/>
        <v/>
      </c>
      <c r="AU41" s="163" t="str">
        <f t="shared" si="35"/>
        <v/>
      </c>
      <c r="AV41" s="163" t="str">
        <f t="shared" si="35"/>
        <v/>
      </c>
      <c r="AW41" s="163" t="str">
        <f t="shared" si="35"/>
        <v/>
      </c>
    </row>
    <row r="42">
      <c r="A42" s="108"/>
      <c r="B42" s="134" t="s">
        <v>290</v>
      </c>
      <c r="C42" s="220"/>
      <c r="D42" s="134" t="s">
        <v>1696</v>
      </c>
      <c r="E42" s="134" t="str">
        <f>vlookup(D42,CNPJ!A31:B228,2,FAlse)</f>
        <v>NA</v>
      </c>
      <c r="F42" s="246" t="s">
        <v>1684</v>
      </c>
      <c r="G42" s="247">
        <v>2024.13</v>
      </c>
      <c r="H42" s="225">
        <v>44986.0</v>
      </c>
      <c r="I42" s="134" t="s">
        <v>1697</v>
      </c>
      <c r="J42" s="220"/>
      <c r="K42" s="134" t="b">
        <v>0</v>
      </c>
      <c r="L42" s="247">
        <f t="shared" si="3"/>
        <v>0</v>
      </c>
      <c r="M42" s="248" t="s">
        <v>1686</v>
      </c>
      <c r="N42" s="108" t="b">
        <f t="shared" si="4"/>
        <v>0</v>
      </c>
      <c r="O42" s="229">
        <f t="shared" si="5"/>
        <v>0</v>
      </c>
      <c r="P42" s="163" t="str">
        <f t="shared" ref="P42:AW42" si="36">iferror(if(P$9=FALSE,, if(if(search(P$11,$B42,1)&gt;0,1,0)=1,$G42/$O42,)),"")</f>
        <v/>
      </c>
      <c r="Q42" s="163" t="str">
        <f t="shared" si="36"/>
        <v/>
      </c>
      <c r="R42" s="163" t="str">
        <f t="shared" si="36"/>
        <v/>
      </c>
      <c r="S42" s="163" t="str">
        <f t="shared" si="36"/>
        <v/>
      </c>
      <c r="T42" s="163" t="str">
        <f t="shared" si="36"/>
        <v/>
      </c>
      <c r="U42" s="163" t="str">
        <f t="shared" si="36"/>
        <v/>
      </c>
      <c r="V42" s="163" t="str">
        <f t="shared" si="36"/>
        <v/>
      </c>
      <c r="W42" s="163" t="str">
        <f t="shared" si="36"/>
        <v/>
      </c>
      <c r="X42" s="163" t="str">
        <f t="shared" si="36"/>
        <v/>
      </c>
      <c r="Y42" s="163" t="str">
        <f t="shared" si="36"/>
        <v/>
      </c>
      <c r="Z42" s="163" t="str">
        <f t="shared" si="36"/>
        <v/>
      </c>
      <c r="AA42" s="163" t="str">
        <f t="shared" si="36"/>
        <v/>
      </c>
      <c r="AB42" s="163" t="str">
        <f t="shared" si="36"/>
        <v/>
      </c>
      <c r="AC42" s="163" t="str">
        <f t="shared" si="36"/>
        <v/>
      </c>
      <c r="AD42" s="163" t="str">
        <f t="shared" si="36"/>
        <v/>
      </c>
      <c r="AE42" s="163" t="str">
        <f t="shared" si="36"/>
        <v/>
      </c>
      <c r="AF42" s="163" t="str">
        <f t="shared" si="36"/>
        <v/>
      </c>
      <c r="AG42" s="163" t="str">
        <f t="shared" si="36"/>
        <v/>
      </c>
      <c r="AH42" s="163" t="str">
        <f t="shared" si="36"/>
        <v/>
      </c>
      <c r="AI42" s="163" t="str">
        <f t="shared" si="36"/>
        <v/>
      </c>
      <c r="AJ42" s="163" t="str">
        <f t="shared" si="36"/>
        <v/>
      </c>
      <c r="AK42" s="163" t="str">
        <f t="shared" si="36"/>
        <v/>
      </c>
      <c r="AL42" s="163" t="str">
        <f t="shared" si="36"/>
        <v/>
      </c>
      <c r="AM42" s="163" t="str">
        <f t="shared" si="36"/>
        <v/>
      </c>
      <c r="AN42" s="163" t="str">
        <f t="shared" si="36"/>
        <v/>
      </c>
      <c r="AO42" s="163" t="str">
        <f t="shared" si="36"/>
        <v/>
      </c>
      <c r="AP42" s="163" t="str">
        <f t="shared" si="36"/>
        <v/>
      </c>
      <c r="AQ42" s="163" t="str">
        <f t="shared" si="36"/>
        <v/>
      </c>
      <c r="AR42" s="163" t="str">
        <f t="shared" si="36"/>
        <v/>
      </c>
      <c r="AS42" s="163" t="str">
        <f t="shared" si="36"/>
        <v/>
      </c>
      <c r="AT42" s="163" t="str">
        <f t="shared" si="36"/>
        <v/>
      </c>
      <c r="AU42" s="163" t="str">
        <f t="shared" si="36"/>
        <v/>
      </c>
      <c r="AV42" s="163" t="str">
        <f t="shared" si="36"/>
        <v/>
      </c>
      <c r="AW42" s="163" t="str">
        <f t="shared" si="36"/>
        <v/>
      </c>
    </row>
    <row r="43">
      <c r="A43" s="251"/>
      <c r="B43" s="190" t="s">
        <v>290</v>
      </c>
      <c r="C43" s="252"/>
      <c r="D43" s="134" t="s">
        <v>1667</v>
      </c>
      <c r="E43" s="134" t="str">
        <f>vlookup(D43,CNPJ!A32:B229,2,FAlse)</f>
        <v>08.183.359/0001-53</v>
      </c>
      <c r="F43" s="253" t="s">
        <v>1684</v>
      </c>
      <c r="G43" s="254">
        <v>333.75</v>
      </c>
      <c r="H43" s="255">
        <v>44972.0</v>
      </c>
      <c r="I43" s="190" t="s">
        <v>1698</v>
      </c>
      <c r="J43" s="252"/>
      <c r="K43" s="190" t="b">
        <v>1</v>
      </c>
      <c r="L43" s="254">
        <f t="shared" si="3"/>
        <v>333.75</v>
      </c>
      <c r="M43" s="256"/>
      <c r="N43" s="251" t="b">
        <f t="shared" si="4"/>
        <v>1</v>
      </c>
      <c r="O43" s="257">
        <f t="shared" si="5"/>
        <v>1</v>
      </c>
      <c r="P43" s="258">
        <f t="shared" ref="P43:AW43" si="37">iferror(if(P$9=FALSE,, if(if(search(P$11,$B43,1)&gt;0,1,0)=1,$G43/$O43,)),"")</f>
        <v>333.75</v>
      </c>
      <c r="Q43" s="258" t="str">
        <f t="shared" si="37"/>
        <v/>
      </c>
      <c r="R43" s="258" t="str">
        <f t="shared" si="37"/>
        <v/>
      </c>
      <c r="S43" s="258" t="str">
        <f t="shared" si="37"/>
        <v/>
      </c>
      <c r="T43" s="258" t="str">
        <f t="shared" si="37"/>
        <v/>
      </c>
      <c r="U43" s="258" t="str">
        <f t="shared" si="37"/>
        <v/>
      </c>
      <c r="V43" s="258" t="str">
        <f t="shared" si="37"/>
        <v/>
      </c>
      <c r="W43" s="258" t="str">
        <f t="shared" si="37"/>
        <v/>
      </c>
      <c r="X43" s="258" t="str">
        <f t="shared" si="37"/>
        <v/>
      </c>
      <c r="Y43" s="258" t="str">
        <f t="shared" si="37"/>
        <v/>
      </c>
      <c r="Z43" s="258" t="str">
        <f t="shared" si="37"/>
        <v/>
      </c>
      <c r="AA43" s="258" t="str">
        <f t="shared" si="37"/>
        <v/>
      </c>
      <c r="AB43" s="258" t="str">
        <f t="shared" si="37"/>
        <v/>
      </c>
      <c r="AC43" s="258" t="str">
        <f t="shared" si="37"/>
        <v/>
      </c>
      <c r="AD43" s="258" t="str">
        <f t="shared" si="37"/>
        <v/>
      </c>
      <c r="AE43" s="258" t="str">
        <f t="shared" si="37"/>
        <v/>
      </c>
      <c r="AF43" s="258" t="str">
        <f t="shared" si="37"/>
        <v/>
      </c>
      <c r="AG43" s="258" t="str">
        <f t="shared" si="37"/>
        <v/>
      </c>
      <c r="AH43" s="258" t="str">
        <f t="shared" si="37"/>
        <v/>
      </c>
      <c r="AI43" s="258" t="str">
        <f t="shared" si="37"/>
        <v/>
      </c>
      <c r="AJ43" s="258" t="str">
        <f t="shared" si="37"/>
        <v/>
      </c>
      <c r="AK43" s="258" t="str">
        <f t="shared" si="37"/>
        <v/>
      </c>
      <c r="AL43" s="258" t="str">
        <f t="shared" si="37"/>
        <v/>
      </c>
      <c r="AM43" s="258" t="str">
        <f t="shared" si="37"/>
        <v/>
      </c>
      <c r="AN43" s="258" t="str">
        <f t="shared" si="37"/>
        <v/>
      </c>
      <c r="AO43" s="258" t="str">
        <f t="shared" si="37"/>
        <v/>
      </c>
      <c r="AP43" s="258" t="str">
        <f t="shared" si="37"/>
        <v/>
      </c>
      <c r="AQ43" s="258" t="str">
        <f t="shared" si="37"/>
        <v/>
      </c>
      <c r="AR43" s="258" t="str">
        <f t="shared" si="37"/>
        <v/>
      </c>
      <c r="AS43" s="258" t="str">
        <f t="shared" si="37"/>
        <v/>
      </c>
      <c r="AT43" s="258" t="str">
        <f t="shared" si="37"/>
        <v/>
      </c>
      <c r="AU43" s="258" t="str">
        <f t="shared" si="37"/>
        <v/>
      </c>
      <c r="AV43" s="258" t="str">
        <f t="shared" si="37"/>
        <v/>
      </c>
      <c r="AW43" s="258" t="str">
        <f t="shared" si="37"/>
        <v/>
      </c>
    </row>
    <row r="44">
      <c r="A44" s="251"/>
      <c r="B44" s="190" t="s">
        <v>290</v>
      </c>
      <c r="C44" s="252"/>
      <c r="D44" s="134" t="s">
        <v>1667</v>
      </c>
      <c r="E44" s="134" t="str">
        <f>vlookup(D44,CNPJ!A33:B230,2,FAlse)</f>
        <v>08.183.359/0001-53</v>
      </c>
      <c r="F44" s="253" t="s">
        <v>1684</v>
      </c>
      <c r="G44" s="254">
        <v>4003.57</v>
      </c>
      <c r="H44" s="255">
        <v>44936.0</v>
      </c>
      <c r="I44" s="190" t="s">
        <v>1699</v>
      </c>
      <c r="J44" s="252"/>
      <c r="K44" s="190" t="b">
        <v>1</v>
      </c>
      <c r="L44" s="254">
        <f t="shared" si="3"/>
        <v>4003.57</v>
      </c>
      <c r="M44" s="256"/>
      <c r="N44" s="251" t="b">
        <f t="shared" si="4"/>
        <v>1</v>
      </c>
      <c r="O44" s="257">
        <f t="shared" si="5"/>
        <v>1</v>
      </c>
      <c r="P44" s="258">
        <f t="shared" ref="P44:AW44" si="38">iferror(if(P$9=FALSE,, if(if(search(P$11,$B44,1)&gt;0,1,0)=1,$G44/$O44,)),"")</f>
        <v>4003.57</v>
      </c>
      <c r="Q44" s="258" t="str">
        <f t="shared" si="38"/>
        <v/>
      </c>
      <c r="R44" s="258" t="str">
        <f t="shared" si="38"/>
        <v/>
      </c>
      <c r="S44" s="258" t="str">
        <f t="shared" si="38"/>
        <v/>
      </c>
      <c r="T44" s="258" t="str">
        <f t="shared" si="38"/>
        <v/>
      </c>
      <c r="U44" s="258" t="str">
        <f t="shared" si="38"/>
        <v/>
      </c>
      <c r="V44" s="258" t="str">
        <f t="shared" si="38"/>
        <v/>
      </c>
      <c r="W44" s="258" t="str">
        <f t="shared" si="38"/>
        <v/>
      </c>
      <c r="X44" s="258" t="str">
        <f t="shared" si="38"/>
        <v/>
      </c>
      <c r="Y44" s="258" t="str">
        <f t="shared" si="38"/>
        <v/>
      </c>
      <c r="Z44" s="258" t="str">
        <f t="shared" si="38"/>
        <v/>
      </c>
      <c r="AA44" s="258" t="str">
        <f t="shared" si="38"/>
        <v/>
      </c>
      <c r="AB44" s="258" t="str">
        <f t="shared" si="38"/>
        <v/>
      </c>
      <c r="AC44" s="258" t="str">
        <f t="shared" si="38"/>
        <v/>
      </c>
      <c r="AD44" s="258" t="str">
        <f t="shared" si="38"/>
        <v/>
      </c>
      <c r="AE44" s="258" t="str">
        <f t="shared" si="38"/>
        <v/>
      </c>
      <c r="AF44" s="258" t="str">
        <f t="shared" si="38"/>
        <v/>
      </c>
      <c r="AG44" s="258" t="str">
        <f t="shared" si="38"/>
        <v/>
      </c>
      <c r="AH44" s="258" t="str">
        <f t="shared" si="38"/>
        <v/>
      </c>
      <c r="AI44" s="258" t="str">
        <f t="shared" si="38"/>
        <v/>
      </c>
      <c r="AJ44" s="258" t="str">
        <f t="shared" si="38"/>
        <v/>
      </c>
      <c r="AK44" s="258" t="str">
        <f t="shared" si="38"/>
        <v/>
      </c>
      <c r="AL44" s="258" t="str">
        <f t="shared" si="38"/>
        <v/>
      </c>
      <c r="AM44" s="258" t="str">
        <f t="shared" si="38"/>
        <v/>
      </c>
      <c r="AN44" s="258" t="str">
        <f t="shared" si="38"/>
        <v/>
      </c>
      <c r="AO44" s="258" t="str">
        <f t="shared" si="38"/>
        <v/>
      </c>
      <c r="AP44" s="258" t="str">
        <f t="shared" si="38"/>
        <v/>
      </c>
      <c r="AQ44" s="258" t="str">
        <f t="shared" si="38"/>
        <v/>
      </c>
      <c r="AR44" s="258" t="str">
        <f t="shared" si="38"/>
        <v/>
      </c>
      <c r="AS44" s="258" t="str">
        <f t="shared" si="38"/>
        <v/>
      </c>
      <c r="AT44" s="258" t="str">
        <f t="shared" si="38"/>
        <v/>
      </c>
      <c r="AU44" s="258" t="str">
        <f t="shared" si="38"/>
        <v/>
      </c>
      <c r="AV44" s="258" t="str">
        <f t="shared" si="38"/>
        <v/>
      </c>
      <c r="AW44" s="258" t="str">
        <f t="shared" si="38"/>
        <v/>
      </c>
    </row>
    <row r="45">
      <c r="A45" s="108"/>
      <c r="B45" s="134" t="s">
        <v>59</v>
      </c>
      <c r="C45" s="220"/>
      <c r="D45" s="134" t="s">
        <v>1656</v>
      </c>
      <c r="E45" s="134" t="str">
        <f>vlookup(D45,CNPJ!A34:B231,2,FAlse)</f>
        <v>02.980.901/0001-12</v>
      </c>
      <c r="F45" s="246">
        <v>6455.0</v>
      </c>
      <c r="G45" s="247">
        <v>800.0</v>
      </c>
      <c r="H45" s="225">
        <v>45012.0</v>
      </c>
      <c r="I45" s="134" t="s">
        <v>1657</v>
      </c>
      <c r="J45" s="220"/>
      <c r="K45" s="134" t="b">
        <v>1</v>
      </c>
      <c r="L45" s="247">
        <f t="shared" si="3"/>
        <v>800</v>
      </c>
      <c r="M45" s="248"/>
      <c r="N45" s="108" t="b">
        <f t="shared" si="4"/>
        <v>1</v>
      </c>
      <c r="O45" s="229">
        <f t="shared" si="5"/>
        <v>1</v>
      </c>
      <c r="P45" s="163" t="str">
        <f t="shared" ref="P45:AW45" si="39">iferror(if(P$9=FALSE,, if(if(search(P$11,$B45,1)&gt;0,1,0)=1,$G45/$O45,)),"")</f>
        <v/>
      </c>
      <c r="Q45" s="163" t="str">
        <f t="shared" si="39"/>
        <v/>
      </c>
      <c r="R45" s="163" t="str">
        <f t="shared" si="39"/>
        <v/>
      </c>
      <c r="S45" s="163" t="str">
        <f t="shared" si="39"/>
        <v/>
      </c>
      <c r="T45" s="163" t="str">
        <f t="shared" si="39"/>
        <v/>
      </c>
      <c r="U45" s="163" t="str">
        <f t="shared" si="39"/>
        <v/>
      </c>
      <c r="V45" s="163" t="str">
        <f t="shared" si="39"/>
        <v/>
      </c>
      <c r="W45" s="163" t="str">
        <f t="shared" si="39"/>
        <v/>
      </c>
      <c r="X45" s="163" t="str">
        <f t="shared" si="39"/>
        <v/>
      </c>
      <c r="Y45" s="163" t="str">
        <f t="shared" si="39"/>
        <v/>
      </c>
      <c r="Z45" s="163" t="str">
        <f t="shared" si="39"/>
        <v/>
      </c>
      <c r="AA45" s="163" t="str">
        <f t="shared" si="39"/>
        <v/>
      </c>
      <c r="AB45" s="163" t="str">
        <f t="shared" si="39"/>
        <v/>
      </c>
      <c r="AC45" s="163" t="str">
        <f t="shared" si="39"/>
        <v/>
      </c>
      <c r="AD45" s="163" t="str">
        <f t="shared" si="39"/>
        <v/>
      </c>
      <c r="AE45" s="163" t="str">
        <f t="shared" si="39"/>
        <v/>
      </c>
      <c r="AF45" s="163" t="str">
        <f t="shared" si="39"/>
        <v/>
      </c>
      <c r="AG45" s="163">
        <f t="shared" si="39"/>
        <v>800</v>
      </c>
      <c r="AH45" s="163" t="str">
        <f t="shared" si="39"/>
        <v/>
      </c>
      <c r="AI45" s="163" t="str">
        <f t="shared" si="39"/>
        <v/>
      </c>
      <c r="AJ45" s="163" t="str">
        <f t="shared" si="39"/>
        <v/>
      </c>
      <c r="AK45" s="163" t="str">
        <f t="shared" si="39"/>
        <v/>
      </c>
      <c r="AL45" s="163" t="str">
        <f t="shared" si="39"/>
        <v/>
      </c>
      <c r="AM45" s="163" t="str">
        <f t="shared" si="39"/>
        <v/>
      </c>
      <c r="AN45" s="163" t="str">
        <f t="shared" si="39"/>
        <v/>
      </c>
      <c r="AO45" s="163" t="str">
        <f t="shared" si="39"/>
        <v/>
      </c>
      <c r="AP45" s="163" t="str">
        <f t="shared" si="39"/>
        <v/>
      </c>
      <c r="AQ45" s="163" t="str">
        <f t="shared" si="39"/>
        <v/>
      </c>
      <c r="AR45" s="163" t="str">
        <f t="shared" si="39"/>
        <v/>
      </c>
      <c r="AS45" s="163" t="str">
        <f t="shared" si="39"/>
        <v/>
      </c>
      <c r="AT45" s="163" t="str">
        <f t="shared" si="39"/>
        <v/>
      </c>
      <c r="AU45" s="163" t="str">
        <f t="shared" si="39"/>
        <v/>
      </c>
      <c r="AV45" s="163" t="str">
        <f t="shared" si="39"/>
        <v/>
      </c>
      <c r="AW45" s="163" t="str">
        <f t="shared" si="39"/>
        <v/>
      </c>
    </row>
    <row r="46">
      <c r="A46" s="108"/>
      <c r="B46" s="134" t="s">
        <v>290</v>
      </c>
      <c r="C46" s="220"/>
      <c r="D46" s="134" t="s">
        <v>1667</v>
      </c>
      <c r="E46" s="134" t="str">
        <f>vlookup(D46,CNPJ!A35:B232,2,FAlse)</f>
        <v>08.183.359/0001-53</v>
      </c>
      <c r="F46" s="246" t="s">
        <v>1684</v>
      </c>
      <c r="G46" s="247">
        <v>208.35</v>
      </c>
      <c r="H46" s="225">
        <v>45016.0</v>
      </c>
      <c r="I46" s="134" t="s">
        <v>1700</v>
      </c>
      <c r="J46" s="220"/>
      <c r="K46" s="134" t="b">
        <v>0</v>
      </c>
      <c r="L46" s="247">
        <f t="shared" si="3"/>
        <v>0</v>
      </c>
      <c r="M46" s="248" t="s">
        <v>1686</v>
      </c>
      <c r="N46" s="108" t="b">
        <f t="shared" si="4"/>
        <v>0</v>
      </c>
      <c r="O46" s="229">
        <f t="shared" si="5"/>
        <v>0</v>
      </c>
      <c r="P46" s="163" t="str">
        <f t="shared" ref="P46:AW46" si="40">iferror(if(P$9=FALSE,, if(if(search(P$11,$B46,1)&gt;0,1,0)=1,$G46/$O46,)),"")</f>
        <v/>
      </c>
      <c r="Q46" s="163" t="str">
        <f t="shared" si="40"/>
        <v/>
      </c>
      <c r="R46" s="163" t="str">
        <f t="shared" si="40"/>
        <v/>
      </c>
      <c r="S46" s="163" t="str">
        <f t="shared" si="40"/>
        <v/>
      </c>
      <c r="T46" s="163" t="str">
        <f t="shared" si="40"/>
        <v/>
      </c>
      <c r="U46" s="163" t="str">
        <f t="shared" si="40"/>
        <v/>
      </c>
      <c r="V46" s="163" t="str">
        <f t="shared" si="40"/>
        <v/>
      </c>
      <c r="W46" s="163" t="str">
        <f t="shared" si="40"/>
        <v/>
      </c>
      <c r="X46" s="163" t="str">
        <f t="shared" si="40"/>
        <v/>
      </c>
      <c r="Y46" s="163" t="str">
        <f t="shared" si="40"/>
        <v/>
      </c>
      <c r="Z46" s="163" t="str">
        <f t="shared" si="40"/>
        <v/>
      </c>
      <c r="AA46" s="163" t="str">
        <f t="shared" si="40"/>
        <v/>
      </c>
      <c r="AB46" s="163" t="str">
        <f t="shared" si="40"/>
        <v/>
      </c>
      <c r="AC46" s="163" t="str">
        <f t="shared" si="40"/>
        <v/>
      </c>
      <c r="AD46" s="163" t="str">
        <f t="shared" si="40"/>
        <v/>
      </c>
      <c r="AE46" s="163" t="str">
        <f t="shared" si="40"/>
        <v/>
      </c>
      <c r="AF46" s="163" t="str">
        <f t="shared" si="40"/>
        <v/>
      </c>
      <c r="AG46" s="163" t="str">
        <f t="shared" si="40"/>
        <v/>
      </c>
      <c r="AH46" s="163" t="str">
        <f t="shared" si="40"/>
        <v/>
      </c>
      <c r="AI46" s="163" t="str">
        <f t="shared" si="40"/>
        <v/>
      </c>
      <c r="AJ46" s="163" t="str">
        <f t="shared" si="40"/>
        <v/>
      </c>
      <c r="AK46" s="163" t="str">
        <f t="shared" si="40"/>
        <v/>
      </c>
      <c r="AL46" s="163" t="str">
        <f t="shared" si="40"/>
        <v/>
      </c>
      <c r="AM46" s="163" t="str">
        <f t="shared" si="40"/>
        <v/>
      </c>
      <c r="AN46" s="163" t="str">
        <f t="shared" si="40"/>
        <v/>
      </c>
      <c r="AO46" s="163" t="str">
        <f t="shared" si="40"/>
        <v/>
      </c>
      <c r="AP46" s="163" t="str">
        <f t="shared" si="40"/>
        <v/>
      </c>
      <c r="AQ46" s="163" t="str">
        <f t="shared" si="40"/>
        <v/>
      </c>
      <c r="AR46" s="163" t="str">
        <f t="shared" si="40"/>
        <v/>
      </c>
      <c r="AS46" s="163" t="str">
        <f t="shared" si="40"/>
        <v/>
      </c>
      <c r="AT46" s="163" t="str">
        <f t="shared" si="40"/>
        <v/>
      </c>
      <c r="AU46" s="163" t="str">
        <f t="shared" si="40"/>
        <v/>
      </c>
      <c r="AV46" s="163" t="str">
        <f t="shared" si="40"/>
        <v/>
      </c>
      <c r="AW46" s="163" t="str">
        <f t="shared" si="40"/>
        <v/>
      </c>
    </row>
    <row r="47">
      <c r="A47" s="108"/>
      <c r="B47" s="134" t="s">
        <v>290</v>
      </c>
      <c r="C47" s="220"/>
      <c r="D47" s="134" t="s">
        <v>1667</v>
      </c>
      <c r="E47" s="134" t="str">
        <f>vlookup(D47,CNPJ!A36:B233,2,FAlse)</f>
        <v>08.183.359/0001-53</v>
      </c>
      <c r="F47" s="246" t="s">
        <v>1684</v>
      </c>
      <c r="G47" s="247">
        <v>332.75</v>
      </c>
      <c r="H47" s="225">
        <v>45016.0</v>
      </c>
      <c r="I47" s="134" t="s">
        <v>1701</v>
      </c>
      <c r="J47" s="220"/>
      <c r="K47" s="134" t="b">
        <v>1</v>
      </c>
      <c r="L47" s="247">
        <f t="shared" si="3"/>
        <v>332.75</v>
      </c>
      <c r="M47" s="248"/>
      <c r="N47" s="108" t="b">
        <f t="shared" si="4"/>
        <v>1</v>
      </c>
      <c r="O47" s="229">
        <f t="shared" si="5"/>
        <v>1</v>
      </c>
      <c r="P47" s="163">
        <f t="shared" ref="P47:AW47" si="41">iferror(if(P$9=FALSE,, if(if(search(P$11,$B47,1)&gt;0,1,0)=1,$G47/$O47,)),"")</f>
        <v>332.75</v>
      </c>
      <c r="Q47" s="163" t="str">
        <f t="shared" si="41"/>
        <v/>
      </c>
      <c r="R47" s="163" t="str">
        <f t="shared" si="41"/>
        <v/>
      </c>
      <c r="S47" s="163" t="str">
        <f t="shared" si="41"/>
        <v/>
      </c>
      <c r="T47" s="163" t="str">
        <f t="shared" si="41"/>
        <v/>
      </c>
      <c r="U47" s="163" t="str">
        <f t="shared" si="41"/>
        <v/>
      </c>
      <c r="V47" s="163" t="str">
        <f t="shared" si="41"/>
        <v/>
      </c>
      <c r="W47" s="163" t="str">
        <f t="shared" si="41"/>
        <v/>
      </c>
      <c r="X47" s="163" t="str">
        <f t="shared" si="41"/>
        <v/>
      </c>
      <c r="Y47" s="163" t="str">
        <f t="shared" si="41"/>
        <v/>
      </c>
      <c r="Z47" s="163" t="str">
        <f t="shared" si="41"/>
        <v/>
      </c>
      <c r="AA47" s="163" t="str">
        <f t="shared" si="41"/>
        <v/>
      </c>
      <c r="AB47" s="163" t="str">
        <f t="shared" si="41"/>
        <v/>
      </c>
      <c r="AC47" s="163" t="str">
        <f t="shared" si="41"/>
        <v/>
      </c>
      <c r="AD47" s="163" t="str">
        <f t="shared" si="41"/>
        <v/>
      </c>
      <c r="AE47" s="163" t="str">
        <f t="shared" si="41"/>
        <v/>
      </c>
      <c r="AF47" s="163" t="str">
        <f t="shared" si="41"/>
        <v/>
      </c>
      <c r="AG47" s="163" t="str">
        <f t="shared" si="41"/>
        <v/>
      </c>
      <c r="AH47" s="163" t="str">
        <f t="shared" si="41"/>
        <v/>
      </c>
      <c r="AI47" s="163" t="str">
        <f t="shared" si="41"/>
        <v/>
      </c>
      <c r="AJ47" s="163" t="str">
        <f t="shared" si="41"/>
        <v/>
      </c>
      <c r="AK47" s="163" t="str">
        <f t="shared" si="41"/>
        <v/>
      </c>
      <c r="AL47" s="163" t="str">
        <f t="shared" si="41"/>
        <v/>
      </c>
      <c r="AM47" s="163" t="str">
        <f t="shared" si="41"/>
        <v/>
      </c>
      <c r="AN47" s="163" t="str">
        <f t="shared" si="41"/>
        <v/>
      </c>
      <c r="AO47" s="163" t="str">
        <f t="shared" si="41"/>
        <v/>
      </c>
      <c r="AP47" s="163" t="str">
        <f t="shared" si="41"/>
        <v/>
      </c>
      <c r="AQ47" s="163" t="str">
        <f t="shared" si="41"/>
        <v/>
      </c>
      <c r="AR47" s="163" t="str">
        <f t="shared" si="41"/>
        <v/>
      </c>
      <c r="AS47" s="163" t="str">
        <f t="shared" si="41"/>
        <v/>
      </c>
      <c r="AT47" s="163" t="str">
        <f t="shared" si="41"/>
        <v/>
      </c>
      <c r="AU47" s="163" t="str">
        <f t="shared" si="41"/>
        <v/>
      </c>
      <c r="AV47" s="163" t="str">
        <f t="shared" si="41"/>
        <v/>
      </c>
      <c r="AW47" s="163" t="str">
        <f t="shared" si="41"/>
        <v/>
      </c>
    </row>
    <row r="48">
      <c r="A48" s="108"/>
      <c r="B48" s="134" t="s">
        <v>62</v>
      </c>
      <c r="C48" s="220"/>
      <c r="D48" s="134" t="s">
        <v>1702</v>
      </c>
      <c r="E48" s="134" t="str">
        <f>vlookup(D48,CNPJ!A37:B234,2,FAlse)</f>
        <v>03.289.084/0001-13</v>
      </c>
      <c r="F48" s="246">
        <v>18652.0</v>
      </c>
      <c r="G48" s="247">
        <v>800.0</v>
      </c>
      <c r="H48" s="225">
        <v>45016.0</v>
      </c>
      <c r="I48" s="134" t="s">
        <v>1703</v>
      </c>
      <c r="J48" s="220"/>
      <c r="K48" s="134" t="b">
        <v>0</v>
      </c>
      <c r="L48" s="247">
        <f t="shared" si="3"/>
        <v>0</v>
      </c>
      <c r="M48" s="248"/>
      <c r="N48" s="108" t="b">
        <f t="shared" si="4"/>
        <v>0</v>
      </c>
      <c r="O48" s="229">
        <f t="shared" si="5"/>
        <v>0</v>
      </c>
      <c r="P48" s="163" t="str">
        <f t="shared" ref="P48:AW48" si="42">iferror(if(P$9=FALSE,, if(if(search(P$11,$B48,1)&gt;0,1,0)=1,$G48/$O48,)),"")</f>
        <v/>
      </c>
      <c r="Q48" s="163" t="str">
        <f t="shared" si="42"/>
        <v/>
      </c>
      <c r="R48" s="163" t="str">
        <f t="shared" si="42"/>
        <v/>
      </c>
      <c r="S48" s="163" t="str">
        <f t="shared" si="42"/>
        <v/>
      </c>
      <c r="T48" s="163" t="str">
        <f t="shared" si="42"/>
        <v/>
      </c>
      <c r="U48" s="163" t="str">
        <f t="shared" si="42"/>
        <v/>
      </c>
      <c r="V48" s="163" t="str">
        <f t="shared" si="42"/>
        <v/>
      </c>
      <c r="W48" s="163" t="str">
        <f t="shared" si="42"/>
        <v/>
      </c>
      <c r="X48" s="163" t="str">
        <f t="shared" si="42"/>
        <v/>
      </c>
      <c r="Y48" s="163" t="str">
        <f t="shared" si="42"/>
        <v/>
      </c>
      <c r="Z48" s="163" t="str">
        <f t="shared" si="42"/>
        <v/>
      </c>
      <c r="AA48" s="163" t="str">
        <f t="shared" si="42"/>
        <v/>
      </c>
      <c r="AB48" s="163" t="str">
        <f t="shared" si="42"/>
        <v/>
      </c>
      <c r="AC48" s="163" t="str">
        <f t="shared" si="42"/>
        <v/>
      </c>
      <c r="AD48" s="163" t="str">
        <f t="shared" si="42"/>
        <v/>
      </c>
      <c r="AE48" s="163" t="str">
        <f t="shared" si="42"/>
        <v/>
      </c>
      <c r="AF48" s="163" t="str">
        <f t="shared" si="42"/>
        <v/>
      </c>
      <c r="AG48" s="163" t="str">
        <f t="shared" si="42"/>
        <v/>
      </c>
      <c r="AH48" s="163" t="str">
        <f t="shared" si="42"/>
        <v/>
      </c>
      <c r="AI48" s="163" t="str">
        <f t="shared" si="42"/>
        <v/>
      </c>
      <c r="AJ48" s="163" t="str">
        <f t="shared" si="42"/>
        <v/>
      </c>
      <c r="AK48" s="163" t="str">
        <f t="shared" si="42"/>
        <v/>
      </c>
      <c r="AL48" s="163" t="str">
        <f t="shared" si="42"/>
        <v/>
      </c>
      <c r="AM48" s="163" t="str">
        <f t="shared" si="42"/>
        <v/>
      </c>
      <c r="AN48" s="163" t="str">
        <f t="shared" si="42"/>
        <v/>
      </c>
      <c r="AO48" s="163" t="str">
        <f t="shared" si="42"/>
        <v/>
      </c>
      <c r="AP48" s="163" t="str">
        <f t="shared" si="42"/>
        <v/>
      </c>
      <c r="AQ48" s="163" t="str">
        <f t="shared" si="42"/>
        <v/>
      </c>
      <c r="AR48" s="163" t="str">
        <f t="shared" si="42"/>
        <v/>
      </c>
      <c r="AS48" s="163" t="str">
        <f t="shared" si="42"/>
        <v/>
      </c>
      <c r="AT48" s="163" t="str">
        <f t="shared" si="42"/>
        <v/>
      </c>
      <c r="AU48" s="163" t="str">
        <f t="shared" si="42"/>
        <v/>
      </c>
      <c r="AV48" s="163" t="str">
        <f t="shared" si="42"/>
        <v/>
      </c>
      <c r="AW48" s="163" t="str">
        <f t="shared" si="42"/>
        <v/>
      </c>
    </row>
    <row r="49">
      <c r="A49" s="108"/>
      <c r="B49" s="134" t="s">
        <v>54</v>
      </c>
      <c r="C49" s="220"/>
      <c r="D49" s="134" t="s">
        <v>1652</v>
      </c>
      <c r="E49" s="134" t="str">
        <f>vlookup(D49,CNPJ!A38:B235,2,FAlse)</f>
        <v>68.314.830/0001-27</v>
      </c>
      <c r="F49" s="246">
        <v>56414.0</v>
      </c>
      <c r="G49" s="247">
        <v>560.0</v>
      </c>
      <c r="H49" s="225">
        <v>45019.0</v>
      </c>
      <c r="I49" s="134" t="s">
        <v>1653</v>
      </c>
      <c r="J49" s="220"/>
      <c r="K49" s="134" t="b">
        <v>1</v>
      </c>
      <c r="L49" s="247">
        <f t="shared" si="3"/>
        <v>560</v>
      </c>
      <c r="M49" s="248"/>
      <c r="N49" s="108" t="b">
        <f t="shared" si="4"/>
        <v>1</v>
      </c>
      <c r="O49" s="229">
        <f t="shared" si="5"/>
        <v>1</v>
      </c>
      <c r="P49" s="163" t="str">
        <f t="shared" ref="P49:AW49" si="43">iferror(if(P$9=FALSE,, if(if(search(P$11,$B49,1)&gt;0,1,0)=1,$G49/$O49,)),"")</f>
        <v/>
      </c>
      <c r="Q49" s="163" t="str">
        <f t="shared" si="43"/>
        <v/>
      </c>
      <c r="R49" s="163" t="str">
        <f t="shared" si="43"/>
        <v/>
      </c>
      <c r="S49" s="163" t="str">
        <f t="shared" si="43"/>
        <v/>
      </c>
      <c r="T49" s="163" t="str">
        <f t="shared" si="43"/>
        <v/>
      </c>
      <c r="U49" s="163" t="str">
        <f t="shared" si="43"/>
        <v/>
      </c>
      <c r="V49" s="163" t="str">
        <f t="shared" si="43"/>
        <v/>
      </c>
      <c r="W49" s="163" t="str">
        <f t="shared" si="43"/>
        <v/>
      </c>
      <c r="X49" s="163" t="str">
        <f t="shared" si="43"/>
        <v/>
      </c>
      <c r="Y49" s="163">
        <f t="shared" si="43"/>
        <v>560</v>
      </c>
      <c r="Z49" s="163" t="str">
        <f t="shared" si="43"/>
        <v/>
      </c>
      <c r="AA49" s="163" t="str">
        <f t="shared" si="43"/>
        <v/>
      </c>
      <c r="AB49" s="163" t="str">
        <f t="shared" si="43"/>
        <v/>
      </c>
      <c r="AC49" s="163" t="str">
        <f t="shared" si="43"/>
        <v/>
      </c>
      <c r="AD49" s="163" t="str">
        <f t="shared" si="43"/>
        <v/>
      </c>
      <c r="AE49" s="163" t="str">
        <f t="shared" si="43"/>
        <v/>
      </c>
      <c r="AF49" s="163" t="str">
        <f t="shared" si="43"/>
        <v/>
      </c>
      <c r="AG49" s="163" t="str">
        <f t="shared" si="43"/>
        <v/>
      </c>
      <c r="AH49" s="163" t="str">
        <f t="shared" si="43"/>
        <v/>
      </c>
      <c r="AI49" s="163" t="str">
        <f t="shared" si="43"/>
        <v/>
      </c>
      <c r="AJ49" s="163" t="str">
        <f t="shared" si="43"/>
        <v/>
      </c>
      <c r="AK49" s="163" t="str">
        <f t="shared" si="43"/>
        <v/>
      </c>
      <c r="AL49" s="163" t="str">
        <f t="shared" si="43"/>
        <v/>
      </c>
      <c r="AM49" s="163" t="str">
        <f t="shared" si="43"/>
        <v/>
      </c>
      <c r="AN49" s="163" t="str">
        <f t="shared" si="43"/>
        <v/>
      </c>
      <c r="AO49" s="163" t="str">
        <f t="shared" si="43"/>
        <v/>
      </c>
      <c r="AP49" s="163" t="str">
        <f t="shared" si="43"/>
        <v/>
      </c>
      <c r="AQ49" s="163" t="str">
        <f t="shared" si="43"/>
        <v/>
      </c>
      <c r="AR49" s="163" t="str">
        <f t="shared" si="43"/>
        <v/>
      </c>
      <c r="AS49" s="163" t="str">
        <f t="shared" si="43"/>
        <v/>
      </c>
      <c r="AT49" s="163" t="str">
        <f t="shared" si="43"/>
        <v/>
      </c>
      <c r="AU49" s="163" t="str">
        <f t="shared" si="43"/>
        <v/>
      </c>
      <c r="AV49" s="163" t="str">
        <f t="shared" si="43"/>
        <v/>
      </c>
      <c r="AW49" s="163" t="str">
        <f t="shared" si="43"/>
        <v/>
      </c>
    </row>
    <row r="50">
      <c r="A50" s="108"/>
      <c r="B50" s="134" t="s">
        <v>54</v>
      </c>
      <c r="C50" s="220"/>
      <c r="D50" s="134" t="s">
        <v>1650</v>
      </c>
      <c r="E50" s="134" t="str">
        <f>vlookup(D50,CNPJ!A39:B236,2,FAlse)</f>
        <v>20.618.029/0001-49</v>
      </c>
      <c r="F50" s="246">
        <v>69465.0</v>
      </c>
      <c r="G50" s="247">
        <v>120.92</v>
      </c>
      <c r="H50" s="225">
        <v>45020.0</v>
      </c>
      <c r="I50" s="134" t="s">
        <v>1682</v>
      </c>
      <c r="J50" s="220"/>
      <c r="K50" s="134" t="b">
        <v>1</v>
      </c>
      <c r="L50" s="247">
        <f t="shared" si="3"/>
        <v>44.96</v>
      </c>
      <c r="M50" s="248"/>
      <c r="N50" s="108" t="b">
        <f t="shared" si="4"/>
        <v>0</v>
      </c>
      <c r="O50" s="229">
        <f t="shared" si="5"/>
        <v>1</v>
      </c>
      <c r="P50" s="163" t="str">
        <f t="shared" ref="P50:X50" si="44">iferror(if(P$9=FALSE,, if(if(search(P$11,$B50,1)&gt;0,1,0)=1,$G50/$O50,)),"")</f>
        <v/>
      </c>
      <c r="Q50" s="163" t="str">
        <f t="shared" si="44"/>
        <v/>
      </c>
      <c r="R50" s="163" t="str">
        <f t="shared" si="44"/>
        <v/>
      </c>
      <c r="S50" s="163" t="str">
        <f t="shared" si="44"/>
        <v/>
      </c>
      <c r="T50" s="163" t="str">
        <f t="shared" si="44"/>
        <v/>
      </c>
      <c r="U50" s="163" t="str">
        <f t="shared" si="44"/>
        <v/>
      </c>
      <c r="V50" s="163" t="str">
        <f t="shared" si="44"/>
        <v/>
      </c>
      <c r="W50" s="163" t="str">
        <f t="shared" si="44"/>
        <v/>
      </c>
      <c r="X50" s="163" t="str">
        <f t="shared" si="44"/>
        <v/>
      </c>
      <c r="Y50" s="250">
        <v>44.96</v>
      </c>
      <c r="Z50" s="163" t="str">
        <f t="shared" ref="Z50:AW50" si="45">iferror(if(Z$9=FALSE,, if(if(search(Z$11,$B50,1)&gt;0,1,0)=1,$G50/$O50,)),"")</f>
        <v/>
      </c>
      <c r="AA50" s="163" t="str">
        <f t="shared" si="45"/>
        <v/>
      </c>
      <c r="AB50" s="163" t="str">
        <f t="shared" si="45"/>
        <v/>
      </c>
      <c r="AC50" s="163" t="str">
        <f t="shared" si="45"/>
        <v/>
      </c>
      <c r="AD50" s="163" t="str">
        <f t="shared" si="45"/>
        <v/>
      </c>
      <c r="AE50" s="163" t="str">
        <f t="shared" si="45"/>
        <v/>
      </c>
      <c r="AF50" s="163" t="str">
        <f t="shared" si="45"/>
        <v/>
      </c>
      <c r="AG50" s="163" t="str">
        <f t="shared" si="45"/>
        <v/>
      </c>
      <c r="AH50" s="163" t="str">
        <f t="shared" si="45"/>
        <v/>
      </c>
      <c r="AI50" s="163" t="str">
        <f t="shared" si="45"/>
        <v/>
      </c>
      <c r="AJ50" s="163" t="str">
        <f t="shared" si="45"/>
        <v/>
      </c>
      <c r="AK50" s="163" t="str">
        <f t="shared" si="45"/>
        <v/>
      </c>
      <c r="AL50" s="163" t="str">
        <f t="shared" si="45"/>
        <v/>
      </c>
      <c r="AM50" s="163" t="str">
        <f t="shared" si="45"/>
        <v/>
      </c>
      <c r="AN50" s="163" t="str">
        <f t="shared" si="45"/>
        <v/>
      </c>
      <c r="AO50" s="163" t="str">
        <f t="shared" si="45"/>
        <v/>
      </c>
      <c r="AP50" s="163" t="str">
        <f t="shared" si="45"/>
        <v/>
      </c>
      <c r="AQ50" s="163" t="str">
        <f t="shared" si="45"/>
        <v/>
      </c>
      <c r="AR50" s="163" t="str">
        <f t="shared" si="45"/>
        <v/>
      </c>
      <c r="AS50" s="163" t="str">
        <f t="shared" si="45"/>
        <v/>
      </c>
      <c r="AT50" s="163" t="str">
        <f t="shared" si="45"/>
        <v/>
      </c>
      <c r="AU50" s="163" t="str">
        <f t="shared" si="45"/>
        <v/>
      </c>
      <c r="AV50" s="163" t="str">
        <f t="shared" si="45"/>
        <v/>
      </c>
      <c r="AW50" s="163" t="str">
        <f t="shared" si="45"/>
        <v/>
      </c>
    </row>
    <row r="51">
      <c r="A51" s="108"/>
      <c r="B51" s="134" t="s">
        <v>1704</v>
      </c>
      <c r="C51" s="220"/>
      <c r="D51" s="134" t="s">
        <v>1705</v>
      </c>
      <c r="E51" s="134" t="str">
        <f>vlookup(D51,CNPJ!A40:B237,2,FAlse)</f>
        <v>02.012.862/0001-60</v>
      </c>
      <c r="F51" s="246" t="s">
        <v>1684</v>
      </c>
      <c r="G51" s="247">
        <v>766.22</v>
      </c>
      <c r="H51" s="225">
        <v>45022.0</v>
      </c>
      <c r="I51" s="134" t="s">
        <v>1706</v>
      </c>
      <c r="J51" s="220"/>
      <c r="K51" s="134" t="b">
        <v>1</v>
      </c>
      <c r="L51" s="247">
        <f t="shared" si="3"/>
        <v>0</v>
      </c>
      <c r="M51" s="248" t="s">
        <v>1707</v>
      </c>
      <c r="N51" s="108" t="b">
        <f t="shared" si="4"/>
        <v>0</v>
      </c>
      <c r="O51" s="229">
        <f t="shared" si="5"/>
        <v>2</v>
      </c>
      <c r="P51" s="163" t="str">
        <f t="shared" ref="P51:V51" si="46">iferror(if(P$9=FALSE,, if(if(search(P$11,$B51,1)&gt;0,1,0)=1,$G51/$O51,)),"")</f>
        <v/>
      </c>
      <c r="Q51" s="163" t="str">
        <f t="shared" si="46"/>
        <v/>
      </c>
      <c r="R51" s="163" t="str">
        <f t="shared" si="46"/>
        <v/>
      </c>
      <c r="S51" s="163" t="str">
        <f t="shared" si="46"/>
        <v/>
      </c>
      <c r="T51" s="163" t="str">
        <f t="shared" si="46"/>
        <v/>
      </c>
      <c r="U51" s="163" t="str">
        <f t="shared" si="46"/>
        <v/>
      </c>
      <c r="V51" s="163" t="str">
        <f t="shared" si="46"/>
        <v/>
      </c>
      <c r="W51" s="250">
        <v>0.0</v>
      </c>
      <c r="X51" s="163" t="str">
        <f>iferror(if(X$9=FALSE,, if(if(search(X$11,$B51,1)&gt;0,1,0)=1,$G51/$O51,)),"")</f>
        <v/>
      </c>
      <c r="Y51" s="250">
        <v>0.0</v>
      </c>
      <c r="Z51" s="163" t="str">
        <f t="shared" ref="Z51:AW51" si="47">iferror(if(Z$9=FALSE,, if(if(search(Z$11,$B51,1)&gt;0,1,0)=1,$G51/$O51,)),"")</f>
        <v/>
      </c>
      <c r="AA51" s="163" t="str">
        <f t="shared" si="47"/>
        <v/>
      </c>
      <c r="AB51" s="163" t="str">
        <f t="shared" si="47"/>
        <v/>
      </c>
      <c r="AC51" s="163" t="str">
        <f t="shared" si="47"/>
        <v/>
      </c>
      <c r="AD51" s="163" t="str">
        <f t="shared" si="47"/>
        <v/>
      </c>
      <c r="AE51" s="163" t="str">
        <f t="shared" si="47"/>
        <v/>
      </c>
      <c r="AF51" s="163" t="str">
        <f t="shared" si="47"/>
        <v/>
      </c>
      <c r="AG51" s="163" t="str">
        <f t="shared" si="47"/>
        <v/>
      </c>
      <c r="AH51" s="163" t="str">
        <f t="shared" si="47"/>
        <v/>
      </c>
      <c r="AI51" s="163" t="str">
        <f t="shared" si="47"/>
        <v/>
      </c>
      <c r="AJ51" s="163" t="str">
        <f t="shared" si="47"/>
        <v/>
      </c>
      <c r="AK51" s="163" t="str">
        <f t="shared" si="47"/>
        <v/>
      </c>
      <c r="AL51" s="163" t="str">
        <f t="shared" si="47"/>
        <v/>
      </c>
      <c r="AM51" s="163" t="str">
        <f t="shared" si="47"/>
        <v/>
      </c>
      <c r="AN51" s="163" t="str">
        <f t="shared" si="47"/>
        <v/>
      </c>
      <c r="AO51" s="163" t="str">
        <f t="shared" si="47"/>
        <v/>
      </c>
      <c r="AP51" s="163" t="str">
        <f t="shared" si="47"/>
        <v/>
      </c>
      <c r="AQ51" s="163" t="str">
        <f t="shared" si="47"/>
        <v/>
      </c>
      <c r="AR51" s="163" t="str">
        <f t="shared" si="47"/>
        <v/>
      </c>
      <c r="AS51" s="163" t="str">
        <f t="shared" si="47"/>
        <v/>
      </c>
      <c r="AT51" s="163" t="str">
        <f t="shared" si="47"/>
        <v/>
      </c>
      <c r="AU51" s="163" t="str">
        <f t="shared" si="47"/>
        <v/>
      </c>
      <c r="AV51" s="163" t="str">
        <f t="shared" si="47"/>
        <v/>
      </c>
      <c r="AW51" s="163" t="str">
        <f t="shared" si="47"/>
        <v/>
      </c>
    </row>
    <row r="52">
      <c r="A52" s="108"/>
      <c r="B52" s="134" t="s">
        <v>290</v>
      </c>
      <c r="C52" s="220"/>
      <c r="D52" s="134" t="s">
        <v>1667</v>
      </c>
      <c r="E52" s="134" t="str">
        <f>vlookup(D52,CNPJ!A41:B238,2,FAlse)</f>
        <v>08.183.359/0003-15</v>
      </c>
      <c r="F52" s="246">
        <v>20813.0</v>
      </c>
      <c r="G52" s="247">
        <v>751.32</v>
      </c>
      <c r="H52" s="225">
        <v>45022.0</v>
      </c>
      <c r="I52" s="134" t="s">
        <v>1708</v>
      </c>
      <c r="J52" s="220"/>
      <c r="K52" s="134" t="b">
        <v>1</v>
      </c>
      <c r="L52" s="247">
        <f t="shared" si="3"/>
        <v>0</v>
      </c>
      <c r="M52" s="248" t="s">
        <v>1707</v>
      </c>
      <c r="N52" s="108" t="b">
        <f t="shared" si="4"/>
        <v>0</v>
      </c>
      <c r="O52" s="229">
        <f t="shared" si="5"/>
        <v>1</v>
      </c>
      <c r="P52" s="250">
        <v>0.0</v>
      </c>
      <c r="Q52" s="163" t="str">
        <f t="shared" ref="Q52:AW52" si="48">iferror(if(Q$9=FALSE,, if(if(search(Q$11,$B52,1)&gt;0,1,0)=1,$G52/$O52,)),"")</f>
        <v/>
      </c>
      <c r="R52" s="163" t="str">
        <f t="shared" si="48"/>
        <v/>
      </c>
      <c r="S52" s="163" t="str">
        <f t="shared" si="48"/>
        <v/>
      </c>
      <c r="T52" s="163" t="str">
        <f t="shared" si="48"/>
        <v/>
      </c>
      <c r="U52" s="163" t="str">
        <f t="shared" si="48"/>
        <v/>
      </c>
      <c r="V52" s="163" t="str">
        <f t="shared" si="48"/>
        <v/>
      </c>
      <c r="W52" s="163" t="str">
        <f t="shared" si="48"/>
        <v/>
      </c>
      <c r="X52" s="163" t="str">
        <f t="shared" si="48"/>
        <v/>
      </c>
      <c r="Y52" s="163" t="str">
        <f t="shared" si="48"/>
        <v/>
      </c>
      <c r="Z52" s="163" t="str">
        <f t="shared" si="48"/>
        <v/>
      </c>
      <c r="AA52" s="163" t="str">
        <f t="shared" si="48"/>
        <v/>
      </c>
      <c r="AB52" s="163" t="str">
        <f t="shared" si="48"/>
        <v/>
      </c>
      <c r="AC52" s="163" t="str">
        <f t="shared" si="48"/>
        <v/>
      </c>
      <c r="AD52" s="163" t="str">
        <f t="shared" si="48"/>
        <v/>
      </c>
      <c r="AE52" s="163" t="str">
        <f t="shared" si="48"/>
        <v/>
      </c>
      <c r="AF52" s="163" t="str">
        <f t="shared" si="48"/>
        <v/>
      </c>
      <c r="AG52" s="163" t="str">
        <f t="shared" si="48"/>
        <v/>
      </c>
      <c r="AH52" s="163" t="str">
        <f t="shared" si="48"/>
        <v/>
      </c>
      <c r="AI52" s="163" t="str">
        <f t="shared" si="48"/>
        <v/>
      </c>
      <c r="AJ52" s="163" t="str">
        <f t="shared" si="48"/>
        <v/>
      </c>
      <c r="AK52" s="163" t="str">
        <f t="shared" si="48"/>
        <v/>
      </c>
      <c r="AL52" s="163" t="str">
        <f t="shared" si="48"/>
        <v/>
      </c>
      <c r="AM52" s="163" t="str">
        <f t="shared" si="48"/>
        <v/>
      </c>
      <c r="AN52" s="163" t="str">
        <f t="shared" si="48"/>
        <v/>
      </c>
      <c r="AO52" s="163" t="str">
        <f t="shared" si="48"/>
        <v/>
      </c>
      <c r="AP52" s="163" t="str">
        <f t="shared" si="48"/>
        <v/>
      </c>
      <c r="AQ52" s="163" t="str">
        <f t="shared" si="48"/>
        <v/>
      </c>
      <c r="AR52" s="163" t="str">
        <f t="shared" si="48"/>
        <v/>
      </c>
      <c r="AS52" s="163" t="str">
        <f t="shared" si="48"/>
        <v/>
      </c>
      <c r="AT52" s="163" t="str">
        <f t="shared" si="48"/>
        <v/>
      </c>
      <c r="AU52" s="163" t="str">
        <f t="shared" si="48"/>
        <v/>
      </c>
      <c r="AV52" s="163" t="str">
        <f t="shared" si="48"/>
        <v/>
      </c>
      <c r="AW52" s="163" t="str">
        <f t="shared" si="48"/>
        <v/>
      </c>
    </row>
    <row r="53">
      <c r="A53" s="108"/>
      <c r="B53" s="134" t="s">
        <v>290</v>
      </c>
      <c r="C53" s="220"/>
      <c r="D53" s="134" t="s">
        <v>1709</v>
      </c>
      <c r="E53" s="134" t="str">
        <f>vlookup(D53,CNPJ!A42:B239,2,FAlse)</f>
        <v/>
      </c>
      <c r="F53" s="246" t="s">
        <v>1684</v>
      </c>
      <c r="G53" s="247">
        <v>471.68</v>
      </c>
      <c r="H53" s="225">
        <v>45019.0</v>
      </c>
      <c r="I53" s="134" t="s">
        <v>1710</v>
      </c>
      <c r="J53" s="220"/>
      <c r="K53" s="134" t="b">
        <v>0</v>
      </c>
      <c r="L53" s="247">
        <f t="shared" si="3"/>
        <v>0</v>
      </c>
      <c r="M53" s="248"/>
      <c r="N53" s="108" t="b">
        <f t="shared" si="4"/>
        <v>0</v>
      </c>
      <c r="O53" s="229">
        <f t="shared" si="5"/>
        <v>0</v>
      </c>
      <c r="P53" s="163" t="str">
        <f t="shared" ref="P53:AW53" si="49">iferror(if(P$9=FALSE,, if(if(search(P$11,$B53,1)&gt;0,1,0)=1,$G53/$O53,)),"")</f>
        <v/>
      </c>
      <c r="Q53" s="163" t="str">
        <f t="shared" si="49"/>
        <v/>
      </c>
      <c r="R53" s="163" t="str">
        <f t="shared" si="49"/>
        <v/>
      </c>
      <c r="S53" s="163" t="str">
        <f t="shared" si="49"/>
        <v/>
      </c>
      <c r="T53" s="163" t="str">
        <f t="shared" si="49"/>
        <v/>
      </c>
      <c r="U53" s="163" t="str">
        <f t="shared" si="49"/>
        <v/>
      </c>
      <c r="V53" s="163" t="str">
        <f t="shared" si="49"/>
        <v/>
      </c>
      <c r="W53" s="163" t="str">
        <f t="shared" si="49"/>
        <v/>
      </c>
      <c r="X53" s="163" t="str">
        <f t="shared" si="49"/>
        <v/>
      </c>
      <c r="Y53" s="163" t="str">
        <f t="shared" si="49"/>
        <v/>
      </c>
      <c r="Z53" s="163" t="str">
        <f t="shared" si="49"/>
        <v/>
      </c>
      <c r="AA53" s="163" t="str">
        <f t="shared" si="49"/>
        <v/>
      </c>
      <c r="AB53" s="163" t="str">
        <f t="shared" si="49"/>
        <v/>
      </c>
      <c r="AC53" s="163" t="str">
        <f t="shared" si="49"/>
        <v/>
      </c>
      <c r="AD53" s="163" t="str">
        <f t="shared" si="49"/>
        <v/>
      </c>
      <c r="AE53" s="163" t="str">
        <f t="shared" si="49"/>
        <v/>
      </c>
      <c r="AF53" s="163" t="str">
        <f t="shared" si="49"/>
        <v/>
      </c>
      <c r="AG53" s="163" t="str">
        <f t="shared" si="49"/>
        <v/>
      </c>
      <c r="AH53" s="163" t="str">
        <f t="shared" si="49"/>
        <v/>
      </c>
      <c r="AI53" s="163" t="str">
        <f t="shared" si="49"/>
        <v/>
      </c>
      <c r="AJ53" s="163" t="str">
        <f t="shared" si="49"/>
        <v/>
      </c>
      <c r="AK53" s="163" t="str">
        <f t="shared" si="49"/>
        <v/>
      </c>
      <c r="AL53" s="163" t="str">
        <f t="shared" si="49"/>
        <v/>
      </c>
      <c r="AM53" s="163" t="str">
        <f t="shared" si="49"/>
        <v/>
      </c>
      <c r="AN53" s="163" t="str">
        <f t="shared" si="49"/>
        <v/>
      </c>
      <c r="AO53" s="163" t="str">
        <f t="shared" si="49"/>
        <v/>
      </c>
      <c r="AP53" s="163" t="str">
        <f t="shared" si="49"/>
        <v/>
      </c>
      <c r="AQ53" s="163" t="str">
        <f t="shared" si="49"/>
        <v/>
      </c>
      <c r="AR53" s="163" t="str">
        <f t="shared" si="49"/>
        <v/>
      </c>
      <c r="AS53" s="163" t="str">
        <f t="shared" si="49"/>
        <v/>
      </c>
      <c r="AT53" s="163" t="str">
        <f t="shared" si="49"/>
        <v/>
      </c>
      <c r="AU53" s="163" t="str">
        <f t="shared" si="49"/>
        <v/>
      </c>
      <c r="AV53" s="163" t="str">
        <f t="shared" si="49"/>
        <v/>
      </c>
      <c r="AW53" s="163" t="str">
        <f t="shared" si="49"/>
        <v/>
      </c>
    </row>
    <row r="54">
      <c r="A54" s="108"/>
      <c r="B54" s="144" t="s">
        <v>448</v>
      </c>
      <c r="C54" s="134"/>
      <c r="D54" s="134" t="s">
        <v>1711</v>
      </c>
      <c r="E54" s="134" t="str">
        <f>vlookup(D54,CNPJ!A43:B240,2,FAlse)</f>
        <v>43.503.492/0001-40</v>
      </c>
      <c r="F54" s="246">
        <v>55.0</v>
      </c>
      <c r="G54" s="247">
        <v>73.0</v>
      </c>
      <c r="H54" s="225">
        <v>45028.0</v>
      </c>
      <c r="I54" s="134" t="s">
        <v>1712</v>
      </c>
      <c r="J54" s="220"/>
      <c r="K54" s="134" t="b">
        <v>0</v>
      </c>
      <c r="L54" s="247">
        <f t="shared" si="3"/>
        <v>0</v>
      </c>
      <c r="M54" s="248"/>
      <c r="N54" s="108" t="b">
        <f t="shared" si="4"/>
        <v>0</v>
      </c>
      <c r="O54" s="229">
        <f t="shared" si="5"/>
        <v>0</v>
      </c>
      <c r="P54" s="163" t="str">
        <f t="shared" ref="P54:AW54" si="50">iferror(if(P$9=FALSE,, if(if(search(P$11,$B54,1)&gt;0,1,0)=1,$G54/$O54,)),"")</f>
        <v/>
      </c>
      <c r="Q54" s="163" t="str">
        <f t="shared" si="50"/>
        <v/>
      </c>
      <c r="R54" s="163" t="str">
        <f t="shared" si="50"/>
        <v/>
      </c>
      <c r="S54" s="163" t="str">
        <f t="shared" si="50"/>
        <v/>
      </c>
      <c r="T54" s="163" t="str">
        <f t="shared" si="50"/>
        <v/>
      </c>
      <c r="U54" s="163" t="str">
        <f t="shared" si="50"/>
        <v/>
      </c>
      <c r="V54" s="163" t="str">
        <f t="shared" si="50"/>
        <v/>
      </c>
      <c r="W54" s="163" t="str">
        <f t="shared" si="50"/>
        <v/>
      </c>
      <c r="X54" s="163" t="str">
        <f t="shared" si="50"/>
        <v/>
      </c>
      <c r="Y54" s="163" t="str">
        <f t="shared" si="50"/>
        <v/>
      </c>
      <c r="Z54" s="163" t="str">
        <f t="shared" si="50"/>
        <v/>
      </c>
      <c r="AA54" s="163" t="str">
        <f t="shared" si="50"/>
        <v/>
      </c>
      <c r="AB54" s="163" t="str">
        <f t="shared" si="50"/>
        <v/>
      </c>
      <c r="AC54" s="163" t="str">
        <f t="shared" si="50"/>
        <v/>
      </c>
      <c r="AD54" s="163" t="str">
        <f t="shared" si="50"/>
        <v/>
      </c>
      <c r="AE54" s="163" t="str">
        <f t="shared" si="50"/>
        <v/>
      </c>
      <c r="AF54" s="163" t="str">
        <f t="shared" si="50"/>
        <v/>
      </c>
      <c r="AG54" s="163" t="str">
        <f t="shared" si="50"/>
        <v/>
      </c>
      <c r="AH54" s="163" t="str">
        <f t="shared" si="50"/>
        <v/>
      </c>
      <c r="AI54" s="163" t="str">
        <f t="shared" si="50"/>
        <v/>
      </c>
      <c r="AJ54" s="163" t="str">
        <f t="shared" si="50"/>
        <v/>
      </c>
      <c r="AK54" s="163" t="str">
        <f t="shared" si="50"/>
        <v/>
      </c>
      <c r="AL54" s="163" t="str">
        <f t="shared" si="50"/>
        <v/>
      </c>
      <c r="AM54" s="163" t="str">
        <f t="shared" si="50"/>
        <v/>
      </c>
      <c r="AN54" s="163" t="str">
        <f t="shared" si="50"/>
        <v/>
      </c>
      <c r="AO54" s="163" t="str">
        <f t="shared" si="50"/>
        <v/>
      </c>
      <c r="AP54" s="163" t="str">
        <f t="shared" si="50"/>
        <v/>
      </c>
      <c r="AQ54" s="163" t="str">
        <f t="shared" si="50"/>
        <v/>
      </c>
      <c r="AR54" s="163" t="str">
        <f t="shared" si="50"/>
        <v/>
      </c>
      <c r="AS54" s="163" t="str">
        <f t="shared" si="50"/>
        <v/>
      </c>
      <c r="AT54" s="163" t="str">
        <f t="shared" si="50"/>
        <v/>
      </c>
      <c r="AU54" s="163" t="str">
        <f t="shared" si="50"/>
        <v/>
      </c>
      <c r="AV54" s="163" t="str">
        <f t="shared" si="50"/>
        <v/>
      </c>
      <c r="AW54" s="163" t="str">
        <f t="shared" si="50"/>
        <v/>
      </c>
    </row>
    <row r="55">
      <c r="A55" s="108"/>
      <c r="B55" s="144" t="s">
        <v>290</v>
      </c>
      <c r="C55" s="220"/>
      <c r="D55" s="134" t="s">
        <v>1713</v>
      </c>
      <c r="E55" s="134" t="str">
        <f>vlookup(D55,CNPJ!A44:B241,2,FAlse)</f>
        <v>02.021.076/0001-29</v>
      </c>
      <c r="F55" s="246">
        <v>47926.0</v>
      </c>
      <c r="G55" s="247">
        <v>280.0</v>
      </c>
      <c r="H55" s="225">
        <v>45034.0</v>
      </c>
      <c r="I55" s="134" t="s">
        <v>1714</v>
      </c>
      <c r="J55" s="220"/>
      <c r="K55" s="134" t="b">
        <v>1</v>
      </c>
      <c r="L55" s="247">
        <f t="shared" si="3"/>
        <v>254.1</v>
      </c>
      <c r="M55" s="248"/>
      <c r="N55" s="108" t="b">
        <f t="shared" si="4"/>
        <v>0</v>
      </c>
      <c r="O55" s="229">
        <f t="shared" si="5"/>
        <v>1</v>
      </c>
      <c r="P55" s="250">
        <v>254.1</v>
      </c>
      <c r="Q55" s="163" t="str">
        <f t="shared" ref="Q55:AW55" si="51">iferror(if(Q$9=FALSE,, if(if(search(Q$11,$B55,1)&gt;0,1,0)=1,$G55/$O55,)),"")</f>
        <v/>
      </c>
      <c r="R55" s="163" t="str">
        <f t="shared" si="51"/>
        <v/>
      </c>
      <c r="S55" s="163" t="str">
        <f t="shared" si="51"/>
        <v/>
      </c>
      <c r="T55" s="163" t="str">
        <f t="shared" si="51"/>
        <v/>
      </c>
      <c r="U55" s="163" t="str">
        <f t="shared" si="51"/>
        <v/>
      </c>
      <c r="V55" s="163" t="str">
        <f t="shared" si="51"/>
        <v/>
      </c>
      <c r="W55" s="163" t="str">
        <f t="shared" si="51"/>
        <v/>
      </c>
      <c r="X55" s="163" t="str">
        <f t="shared" si="51"/>
        <v/>
      </c>
      <c r="Y55" s="163" t="str">
        <f t="shared" si="51"/>
        <v/>
      </c>
      <c r="Z55" s="163" t="str">
        <f t="shared" si="51"/>
        <v/>
      </c>
      <c r="AA55" s="163" t="str">
        <f t="shared" si="51"/>
        <v/>
      </c>
      <c r="AB55" s="163" t="str">
        <f t="shared" si="51"/>
        <v/>
      </c>
      <c r="AC55" s="163" t="str">
        <f t="shared" si="51"/>
        <v/>
      </c>
      <c r="AD55" s="163" t="str">
        <f t="shared" si="51"/>
        <v/>
      </c>
      <c r="AE55" s="163" t="str">
        <f t="shared" si="51"/>
        <v/>
      </c>
      <c r="AF55" s="163" t="str">
        <f t="shared" si="51"/>
        <v/>
      </c>
      <c r="AG55" s="163" t="str">
        <f t="shared" si="51"/>
        <v/>
      </c>
      <c r="AH55" s="163" t="str">
        <f t="shared" si="51"/>
        <v/>
      </c>
      <c r="AI55" s="163" t="str">
        <f t="shared" si="51"/>
        <v/>
      </c>
      <c r="AJ55" s="163" t="str">
        <f t="shared" si="51"/>
        <v/>
      </c>
      <c r="AK55" s="163" t="str">
        <f t="shared" si="51"/>
        <v/>
      </c>
      <c r="AL55" s="163" t="str">
        <f t="shared" si="51"/>
        <v/>
      </c>
      <c r="AM55" s="163" t="str">
        <f t="shared" si="51"/>
        <v/>
      </c>
      <c r="AN55" s="163" t="str">
        <f t="shared" si="51"/>
        <v/>
      </c>
      <c r="AO55" s="163" t="str">
        <f t="shared" si="51"/>
        <v/>
      </c>
      <c r="AP55" s="163" t="str">
        <f t="shared" si="51"/>
        <v/>
      </c>
      <c r="AQ55" s="163" t="str">
        <f t="shared" si="51"/>
        <v/>
      </c>
      <c r="AR55" s="163" t="str">
        <f t="shared" si="51"/>
        <v/>
      </c>
      <c r="AS55" s="163" t="str">
        <f t="shared" si="51"/>
        <v/>
      </c>
      <c r="AT55" s="163" t="str">
        <f t="shared" si="51"/>
        <v/>
      </c>
      <c r="AU55" s="163" t="str">
        <f t="shared" si="51"/>
        <v/>
      </c>
      <c r="AV55" s="163" t="str">
        <f t="shared" si="51"/>
        <v/>
      </c>
      <c r="AW55" s="163" t="str">
        <f t="shared" si="51"/>
        <v/>
      </c>
    </row>
    <row r="56">
      <c r="A56" s="108"/>
      <c r="B56" s="144" t="s">
        <v>290</v>
      </c>
      <c r="C56" s="220"/>
      <c r="D56" s="134" t="s">
        <v>1650</v>
      </c>
      <c r="E56" s="134" t="str">
        <f>vlookup(D56,CNPJ!A45:B242,2,FAlse)</f>
        <v>20.618.029/0001-49</v>
      </c>
      <c r="F56" s="246">
        <v>69780.0</v>
      </c>
      <c r="G56" s="247">
        <v>170.42</v>
      </c>
      <c r="H56" s="225">
        <v>45034.0</v>
      </c>
      <c r="I56" s="134" t="s">
        <v>1715</v>
      </c>
      <c r="J56" s="220"/>
      <c r="K56" s="134" t="b">
        <v>1</v>
      </c>
      <c r="L56" s="247">
        <f t="shared" si="3"/>
        <v>107.69</v>
      </c>
      <c r="M56" s="248"/>
      <c r="N56" s="108" t="b">
        <f t="shared" si="4"/>
        <v>0</v>
      </c>
      <c r="O56" s="229">
        <f t="shared" si="5"/>
        <v>1</v>
      </c>
      <c r="P56" s="250">
        <v>107.69</v>
      </c>
      <c r="Q56" s="163" t="str">
        <f t="shared" ref="Q56:AW56" si="52">iferror(if(Q$9=FALSE,, if(if(search(Q$11,$B56,1)&gt;0,1,0)=1,$G56/$O56,)),"")</f>
        <v/>
      </c>
      <c r="R56" s="163" t="str">
        <f t="shared" si="52"/>
        <v/>
      </c>
      <c r="S56" s="163" t="str">
        <f t="shared" si="52"/>
        <v/>
      </c>
      <c r="T56" s="163" t="str">
        <f t="shared" si="52"/>
        <v/>
      </c>
      <c r="U56" s="163" t="str">
        <f t="shared" si="52"/>
        <v/>
      </c>
      <c r="V56" s="163" t="str">
        <f t="shared" si="52"/>
        <v/>
      </c>
      <c r="W56" s="163" t="str">
        <f t="shared" si="52"/>
        <v/>
      </c>
      <c r="X56" s="163" t="str">
        <f t="shared" si="52"/>
        <v/>
      </c>
      <c r="Y56" s="163" t="str">
        <f t="shared" si="52"/>
        <v/>
      </c>
      <c r="Z56" s="163" t="str">
        <f t="shared" si="52"/>
        <v/>
      </c>
      <c r="AA56" s="163" t="str">
        <f t="shared" si="52"/>
        <v/>
      </c>
      <c r="AB56" s="163" t="str">
        <f t="shared" si="52"/>
        <v/>
      </c>
      <c r="AC56" s="163" t="str">
        <f t="shared" si="52"/>
        <v/>
      </c>
      <c r="AD56" s="163" t="str">
        <f t="shared" si="52"/>
        <v/>
      </c>
      <c r="AE56" s="163" t="str">
        <f t="shared" si="52"/>
        <v/>
      </c>
      <c r="AF56" s="163" t="str">
        <f t="shared" si="52"/>
        <v/>
      </c>
      <c r="AG56" s="163" t="str">
        <f t="shared" si="52"/>
        <v/>
      </c>
      <c r="AH56" s="163" t="str">
        <f t="shared" si="52"/>
        <v/>
      </c>
      <c r="AI56" s="163" t="str">
        <f t="shared" si="52"/>
        <v/>
      </c>
      <c r="AJ56" s="163" t="str">
        <f t="shared" si="52"/>
        <v/>
      </c>
      <c r="AK56" s="163" t="str">
        <f t="shared" si="52"/>
        <v/>
      </c>
      <c r="AL56" s="163" t="str">
        <f t="shared" si="52"/>
        <v/>
      </c>
      <c r="AM56" s="163" t="str">
        <f t="shared" si="52"/>
        <v/>
      </c>
      <c r="AN56" s="163" t="str">
        <f t="shared" si="52"/>
        <v/>
      </c>
      <c r="AO56" s="163" t="str">
        <f t="shared" si="52"/>
        <v/>
      </c>
      <c r="AP56" s="163" t="str">
        <f t="shared" si="52"/>
        <v/>
      </c>
      <c r="AQ56" s="163" t="str">
        <f t="shared" si="52"/>
        <v/>
      </c>
      <c r="AR56" s="163" t="str">
        <f t="shared" si="52"/>
        <v/>
      </c>
      <c r="AS56" s="163" t="str">
        <f t="shared" si="52"/>
        <v/>
      </c>
      <c r="AT56" s="163" t="str">
        <f t="shared" si="52"/>
        <v/>
      </c>
      <c r="AU56" s="163" t="str">
        <f t="shared" si="52"/>
        <v/>
      </c>
      <c r="AV56" s="163" t="str">
        <f t="shared" si="52"/>
        <v/>
      </c>
      <c r="AW56" s="163" t="str">
        <f t="shared" si="52"/>
        <v/>
      </c>
    </row>
    <row r="57">
      <c r="A57" s="108"/>
      <c r="B57" s="144" t="s">
        <v>53</v>
      </c>
      <c r="C57" s="134"/>
      <c r="D57" s="134" t="s">
        <v>1667</v>
      </c>
      <c r="E57" s="134" t="str">
        <f>vlookup(D57,CNPJ!A46:B243,2,FAlse)</f>
        <v>08.183.359/0001-53</v>
      </c>
      <c r="F57" s="246" t="s">
        <v>1684</v>
      </c>
      <c r="G57" s="247">
        <v>314.64</v>
      </c>
      <c r="H57" s="225">
        <v>45049.0</v>
      </c>
      <c r="I57" s="134" t="s">
        <v>1716</v>
      </c>
      <c r="J57" s="220"/>
      <c r="K57" s="134" t="b">
        <v>1</v>
      </c>
      <c r="L57" s="247">
        <f t="shared" si="3"/>
        <v>314.64</v>
      </c>
      <c r="M57" s="248"/>
      <c r="N57" s="108" t="b">
        <f t="shared" si="4"/>
        <v>1</v>
      </c>
      <c r="O57" s="229">
        <f t="shared" si="5"/>
        <v>1</v>
      </c>
      <c r="P57" s="163" t="str">
        <f t="shared" ref="P57:AW57" si="53">iferror(if(P$9=FALSE,, if(if(search(P$11,$B57,1)&gt;0,1,0)=1,$G57/$O57,)),"")</f>
        <v/>
      </c>
      <c r="Q57" s="163" t="str">
        <f t="shared" si="53"/>
        <v/>
      </c>
      <c r="R57" s="163" t="str">
        <f t="shared" si="53"/>
        <v/>
      </c>
      <c r="S57" s="163" t="str">
        <f t="shared" si="53"/>
        <v/>
      </c>
      <c r="T57" s="163" t="str">
        <f t="shared" si="53"/>
        <v/>
      </c>
      <c r="U57" s="163" t="str">
        <f t="shared" si="53"/>
        <v/>
      </c>
      <c r="V57" s="163" t="str">
        <f t="shared" si="53"/>
        <v/>
      </c>
      <c r="W57" s="163">
        <f t="shared" si="53"/>
        <v>314.64</v>
      </c>
      <c r="X57" s="163" t="str">
        <f t="shared" si="53"/>
        <v/>
      </c>
      <c r="Y57" s="163" t="str">
        <f t="shared" si="53"/>
        <v/>
      </c>
      <c r="Z57" s="163" t="str">
        <f t="shared" si="53"/>
        <v/>
      </c>
      <c r="AA57" s="163" t="str">
        <f t="shared" si="53"/>
        <v/>
      </c>
      <c r="AB57" s="163" t="str">
        <f t="shared" si="53"/>
        <v/>
      </c>
      <c r="AC57" s="163" t="str">
        <f t="shared" si="53"/>
        <v/>
      </c>
      <c r="AD57" s="163" t="str">
        <f t="shared" si="53"/>
        <v/>
      </c>
      <c r="AE57" s="163" t="str">
        <f t="shared" si="53"/>
        <v/>
      </c>
      <c r="AF57" s="163" t="str">
        <f t="shared" si="53"/>
        <v/>
      </c>
      <c r="AG57" s="163" t="str">
        <f t="shared" si="53"/>
        <v/>
      </c>
      <c r="AH57" s="163" t="str">
        <f t="shared" si="53"/>
        <v/>
      </c>
      <c r="AI57" s="163" t="str">
        <f t="shared" si="53"/>
        <v/>
      </c>
      <c r="AJ57" s="163" t="str">
        <f t="shared" si="53"/>
        <v/>
      </c>
      <c r="AK57" s="163" t="str">
        <f t="shared" si="53"/>
        <v/>
      </c>
      <c r="AL57" s="163" t="str">
        <f t="shared" si="53"/>
        <v/>
      </c>
      <c r="AM57" s="163" t="str">
        <f t="shared" si="53"/>
        <v/>
      </c>
      <c r="AN57" s="163" t="str">
        <f t="shared" si="53"/>
        <v/>
      </c>
      <c r="AO57" s="163" t="str">
        <f t="shared" si="53"/>
        <v/>
      </c>
      <c r="AP57" s="163" t="str">
        <f t="shared" si="53"/>
        <v/>
      </c>
      <c r="AQ57" s="163" t="str">
        <f t="shared" si="53"/>
        <v/>
      </c>
      <c r="AR57" s="163" t="str">
        <f t="shared" si="53"/>
        <v/>
      </c>
      <c r="AS57" s="163" t="str">
        <f t="shared" si="53"/>
        <v/>
      </c>
      <c r="AT57" s="163" t="str">
        <f t="shared" si="53"/>
        <v/>
      </c>
      <c r="AU57" s="163" t="str">
        <f t="shared" si="53"/>
        <v/>
      </c>
      <c r="AV57" s="163" t="str">
        <f t="shared" si="53"/>
        <v/>
      </c>
      <c r="AW57" s="163" t="str">
        <f t="shared" si="53"/>
        <v/>
      </c>
    </row>
    <row r="58">
      <c r="A58" s="108"/>
      <c r="B58" s="144" t="s">
        <v>54</v>
      </c>
      <c r="C58" s="220"/>
      <c r="D58" s="134" t="s">
        <v>1650</v>
      </c>
      <c r="E58" s="134" t="str">
        <f>vlookup(D58,CNPJ!A47:B244,2,FAlse)</f>
        <v>20.618.029/0001-49</v>
      </c>
      <c r="F58" s="246">
        <v>70142.0</v>
      </c>
      <c r="G58" s="247">
        <v>151.89</v>
      </c>
      <c r="H58" s="225">
        <v>45049.0</v>
      </c>
      <c r="I58" s="134" t="s">
        <v>1717</v>
      </c>
      <c r="J58" s="220"/>
      <c r="K58" s="134" t="b">
        <v>1</v>
      </c>
      <c r="L58" s="247">
        <f t="shared" si="3"/>
        <v>44.55</v>
      </c>
      <c r="M58" s="248"/>
      <c r="N58" s="108" t="b">
        <f t="shared" si="4"/>
        <v>0</v>
      </c>
      <c r="O58" s="229">
        <f t="shared" si="5"/>
        <v>1</v>
      </c>
      <c r="P58" s="163" t="str">
        <f t="shared" ref="P58:X58" si="54">iferror(if(P$9=FALSE,, if(if(search(P$11,$B58,1)&gt;0,1,0)=1,$G58/$O58,)),"")</f>
        <v/>
      </c>
      <c r="Q58" s="163" t="str">
        <f t="shared" si="54"/>
        <v/>
      </c>
      <c r="R58" s="163" t="str">
        <f t="shared" si="54"/>
        <v/>
      </c>
      <c r="S58" s="163" t="str">
        <f t="shared" si="54"/>
        <v/>
      </c>
      <c r="T58" s="163" t="str">
        <f t="shared" si="54"/>
        <v/>
      </c>
      <c r="U58" s="163" t="str">
        <f t="shared" si="54"/>
        <v/>
      </c>
      <c r="V58" s="163" t="str">
        <f t="shared" si="54"/>
        <v/>
      </c>
      <c r="W58" s="163" t="str">
        <f t="shared" si="54"/>
        <v/>
      </c>
      <c r="X58" s="163" t="str">
        <f t="shared" si="54"/>
        <v/>
      </c>
      <c r="Y58" s="250">
        <v>44.55</v>
      </c>
      <c r="Z58" s="163" t="str">
        <f t="shared" ref="Z58:AW58" si="55">iferror(if(Z$9=FALSE,, if(if(search(Z$11,$B58,1)&gt;0,1,0)=1,$G58/$O58,)),"")</f>
        <v/>
      </c>
      <c r="AA58" s="163" t="str">
        <f t="shared" si="55"/>
        <v/>
      </c>
      <c r="AB58" s="163" t="str">
        <f t="shared" si="55"/>
        <v/>
      </c>
      <c r="AC58" s="163" t="str">
        <f t="shared" si="55"/>
        <v/>
      </c>
      <c r="AD58" s="163" t="str">
        <f t="shared" si="55"/>
        <v/>
      </c>
      <c r="AE58" s="163" t="str">
        <f t="shared" si="55"/>
        <v/>
      </c>
      <c r="AF58" s="163" t="str">
        <f t="shared" si="55"/>
        <v/>
      </c>
      <c r="AG58" s="163" t="str">
        <f t="shared" si="55"/>
        <v/>
      </c>
      <c r="AH58" s="163" t="str">
        <f t="shared" si="55"/>
        <v/>
      </c>
      <c r="AI58" s="163" t="str">
        <f t="shared" si="55"/>
        <v/>
      </c>
      <c r="AJ58" s="163" t="str">
        <f t="shared" si="55"/>
        <v/>
      </c>
      <c r="AK58" s="163" t="str">
        <f t="shared" si="55"/>
        <v/>
      </c>
      <c r="AL58" s="163" t="str">
        <f t="shared" si="55"/>
        <v/>
      </c>
      <c r="AM58" s="163" t="str">
        <f t="shared" si="55"/>
        <v/>
      </c>
      <c r="AN58" s="163" t="str">
        <f t="shared" si="55"/>
        <v/>
      </c>
      <c r="AO58" s="163" t="str">
        <f t="shared" si="55"/>
        <v/>
      </c>
      <c r="AP58" s="163" t="str">
        <f t="shared" si="55"/>
        <v/>
      </c>
      <c r="AQ58" s="163" t="str">
        <f t="shared" si="55"/>
        <v/>
      </c>
      <c r="AR58" s="163" t="str">
        <f t="shared" si="55"/>
        <v/>
      </c>
      <c r="AS58" s="163" t="str">
        <f t="shared" si="55"/>
        <v/>
      </c>
      <c r="AT58" s="163" t="str">
        <f t="shared" si="55"/>
        <v/>
      </c>
      <c r="AU58" s="163" t="str">
        <f t="shared" si="55"/>
        <v/>
      </c>
      <c r="AV58" s="163" t="str">
        <f t="shared" si="55"/>
        <v/>
      </c>
      <c r="AW58" s="163" t="str">
        <f t="shared" si="55"/>
        <v/>
      </c>
    </row>
    <row r="59">
      <c r="A59" s="108"/>
      <c r="B59" s="144" t="s">
        <v>290</v>
      </c>
      <c r="C59" s="220"/>
      <c r="D59" s="134" t="s">
        <v>1648</v>
      </c>
      <c r="E59" s="134" t="str">
        <f>vlookup(D59,CNPJ!A48:B245,2,FAlse)</f>
        <v>04.329.668/0001-38</v>
      </c>
      <c r="F59" s="246">
        <v>215431.0</v>
      </c>
      <c r="G59" s="247">
        <v>9745.8</v>
      </c>
      <c r="H59" s="225">
        <v>45036.0</v>
      </c>
      <c r="I59" s="134" t="s">
        <v>1718</v>
      </c>
      <c r="J59" s="220"/>
      <c r="K59" s="134" t="b">
        <v>1</v>
      </c>
      <c r="L59" s="247">
        <f t="shared" si="3"/>
        <v>9745.8</v>
      </c>
      <c r="M59" s="248"/>
      <c r="N59" s="108" t="b">
        <f t="shared" si="4"/>
        <v>1</v>
      </c>
      <c r="O59" s="229">
        <f t="shared" si="5"/>
        <v>1</v>
      </c>
      <c r="P59" s="163">
        <f t="shared" ref="P59:AW59" si="56">iferror(if(P$9=FALSE,, if(if(search(P$11,$B59,1)&gt;0,1,0)=1,$G59/$O59,)),"")</f>
        <v>9745.8</v>
      </c>
      <c r="Q59" s="163" t="str">
        <f t="shared" si="56"/>
        <v/>
      </c>
      <c r="R59" s="163" t="str">
        <f t="shared" si="56"/>
        <v/>
      </c>
      <c r="S59" s="163" t="str">
        <f t="shared" si="56"/>
        <v/>
      </c>
      <c r="T59" s="163" t="str">
        <f t="shared" si="56"/>
        <v/>
      </c>
      <c r="U59" s="163" t="str">
        <f t="shared" si="56"/>
        <v/>
      </c>
      <c r="V59" s="163" t="str">
        <f t="shared" si="56"/>
        <v/>
      </c>
      <c r="W59" s="163" t="str">
        <f t="shared" si="56"/>
        <v/>
      </c>
      <c r="X59" s="163" t="str">
        <f t="shared" si="56"/>
        <v/>
      </c>
      <c r="Y59" s="163" t="str">
        <f t="shared" si="56"/>
        <v/>
      </c>
      <c r="Z59" s="163" t="str">
        <f t="shared" si="56"/>
        <v/>
      </c>
      <c r="AA59" s="163" t="str">
        <f t="shared" si="56"/>
        <v/>
      </c>
      <c r="AB59" s="163" t="str">
        <f t="shared" si="56"/>
        <v/>
      </c>
      <c r="AC59" s="163" t="str">
        <f t="shared" si="56"/>
        <v/>
      </c>
      <c r="AD59" s="163" t="str">
        <f t="shared" si="56"/>
        <v/>
      </c>
      <c r="AE59" s="163" t="str">
        <f t="shared" si="56"/>
        <v/>
      </c>
      <c r="AF59" s="163" t="str">
        <f t="shared" si="56"/>
        <v/>
      </c>
      <c r="AG59" s="163" t="str">
        <f t="shared" si="56"/>
        <v/>
      </c>
      <c r="AH59" s="163" t="str">
        <f t="shared" si="56"/>
        <v/>
      </c>
      <c r="AI59" s="163" t="str">
        <f t="shared" si="56"/>
        <v/>
      </c>
      <c r="AJ59" s="163" t="str">
        <f t="shared" si="56"/>
        <v/>
      </c>
      <c r="AK59" s="163" t="str">
        <f t="shared" si="56"/>
        <v/>
      </c>
      <c r="AL59" s="163" t="str">
        <f t="shared" si="56"/>
        <v/>
      </c>
      <c r="AM59" s="163" t="str">
        <f t="shared" si="56"/>
        <v/>
      </c>
      <c r="AN59" s="163" t="str">
        <f t="shared" si="56"/>
        <v/>
      </c>
      <c r="AO59" s="163" t="str">
        <f t="shared" si="56"/>
        <v/>
      </c>
      <c r="AP59" s="163" t="str">
        <f t="shared" si="56"/>
        <v/>
      </c>
      <c r="AQ59" s="163" t="str">
        <f t="shared" si="56"/>
        <v/>
      </c>
      <c r="AR59" s="163" t="str">
        <f t="shared" si="56"/>
        <v/>
      </c>
      <c r="AS59" s="163" t="str">
        <f t="shared" si="56"/>
        <v/>
      </c>
      <c r="AT59" s="163" t="str">
        <f t="shared" si="56"/>
        <v/>
      </c>
      <c r="AU59" s="163" t="str">
        <f t="shared" si="56"/>
        <v/>
      </c>
      <c r="AV59" s="163" t="str">
        <f t="shared" si="56"/>
        <v/>
      </c>
      <c r="AW59" s="163" t="str">
        <f t="shared" si="56"/>
        <v/>
      </c>
    </row>
    <row r="60">
      <c r="A60" s="108"/>
      <c r="B60" s="144" t="s">
        <v>290</v>
      </c>
      <c r="C60" s="220"/>
      <c r="D60" s="134" t="s">
        <v>1648</v>
      </c>
      <c r="E60" s="134" t="str">
        <f>vlookup(D60,CNPJ!A49:B246,2,FAlse)</f>
        <v>04.329.668/0001-38</v>
      </c>
      <c r="F60" s="246">
        <v>216050.0</v>
      </c>
      <c r="G60" s="247">
        <v>4029.64</v>
      </c>
      <c r="H60" s="225">
        <v>45049.0</v>
      </c>
      <c r="I60" s="134" t="s">
        <v>1719</v>
      </c>
      <c r="J60" s="220"/>
      <c r="K60" s="134" t="b">
        <v>1</v>
      </c>
      <c r="L60" s="247">
        <f t="shared" si="3"/>
        <v>4029.64</v>
      </c>
      <c r="M60" s="248"/>
      <c r="N60" s="108" t="b">
        <f t="shared" si="4"/>
        <v>1</v>
      </c>
      <c r="O60" s="229">
        <f t="shared" si="5"/>
        <v>1</v>
      </c>
      <c r="P60" s="163">
        <f t="shared" ref="P60:AW60" si="57">iferror(if(P$9=FALSE,, if(if(search(P$11,$B60,1)&gt;0,1,0)=1,$G60/$O60,)),"")</f>
        <v>4029.64</v>
      </c>
      <c r="Q60" s="163" t="str">
        <f t="shared" si="57"/>
        <v/>
      </c>
      <c r="R60" s="163" t="str">
        <f t="shared" si="57"/>
        <v/>
      </c>
      <c r="S60" s="163" t="str">
        <f t="shared" si="57"/>
        <v/>
      </c>
      <c r="T60" s="163" t="str">
        <f t="shared" si="57"/>
        <v/>
      </c>
      <c r="U60" s="163" t="str">
        <f t="shared" si="57"/>
        <v/>
      </c>
      <c r="V60" s="163" t="str">
        <f t="shared" si="57"/>
        <v/>
      </c>
      <c r="W60" s="163" t="str">
        <f t="shared" si="57"/>
        <v/>
      </c>
      <c r="X60" s="163" t="str">
        <f t="shared" si="57"/>
        <v/>
      </c>
      <c r="Y60" s="163" t="str">
        <f t="shared" si="57"/>
        <v/>
      </c>
      <c r="Z60" s="163" t="str">
        <f t="shared" si="57"/>
        <v/>
      </c>
      <c r="AA60" s="163" t="str">
        <f t="shared" si="57"/>
        <v/>
      </c>
      <c r="AB60" s="163" t="str">
        <f t="shared" si="57"/>
        <v/>
      </c>
      <c r="AC60" s="163" t="str">
        <f t="shared" si="57"/>
        <v/>
      </c>
      <c r="AD60" s="163" t="str">
        <f t="shared" si="57"/>
        <v/>
      </c>
      <c r="AE60" s="163" t="str">
        <f t="shared" si="57"/>
        <v/>
      </c>
      <c r="AF60" s="163" t="str">
        <f t="shared" si="57"/>
        <v/>
      </c>
      <c r="AG60" s="163" t="str">
        <f t="shared" si="57"/>
        <v/>
      </c>
      <c r="AH60" s="163" t="str">
        <f t="shared" si="57"/>
        <v/>
      </c>
      <c r="AI60" s="163" t="str">
        <f t="shared" si="57"/>
        <v/>
      </c>
      <c r="AJ60" s="163" t="str">
        <f t="shared" si="57"/>
        <v/>
      </c>
      <c r="AK60" s="163" t="str">
        <f t="shared" si="57"/>
        <v/>
      </c>
      <c r="AL60" s="163" t="str">
        <f t="shared" si="57"/>
        <v/>
      </c>
      <c r="AM60" s="163" t="str">
        <f t="shared" si="57"/>
        <v/>
      </c>
      <c r="AN60" s="163" t="str">
        <f t="shared" si="57"/>
        <v/>
      </c>
      <c r="AO60" s="163" t="str">
        <f t="shared" si="57"/>
        <v/>
      </c>
      <c r="AP60" s="163" t="str">
        <f t="shared" si="57"/>
        <v/>
      </c>
      <c r="AQ60" s="163" t="str">
        <f t="shared" si="57"/>
        <v/>
      </c>
      <c r="AR60" s="163" t="str">
        <f t="shared" si="57"/>
        <v/>
      </c>
      <c r="AS60" s="163" t="str">
        <f t="shared" si="57"/>
        <v/>
      </c>
      <c r="AT60" s="163" t="str">
        <f t="shared" si="57"/>
        <v/>
      </c>
      <c r="AU60" s="163" t="str">
        <f t="shared" si="57"/>
        <v/>
      </c>
      <c r="AV60" s="163" t="str">
        <f t="shared" si="57"/>
        <v/>
      </c>
      <c r="AW60" s="163" t="str">
        <f t="shared" si="57"/>
        <v/>
      </c>
    </row>
    <row r="61">
      <c r="A61" s="108"/>
      <c r="B61" s="144" t="s">
        <v>66</v>
      </c>
      <c r="C61" s="134"/>
      <c r="D61" s="134" t="s">
        <v>1667</v>
      </c>
      <c r="E61" s="134" t="str">
        <f>vlookup(D61,CNPJ!A50:B247,2,FAlse)</f>
        <v>08.183.359/0003-15</v>
      </c>
      <c r="F61" s="246">
        <v>71112.0</v>
      </c>
      <c r="G61" s="247">
        <v>336.0</v>
      </c>
      <c r="H61" s="225">
        <v>45021.0</v>
      </c>
      <c r="I61" s="134" t="s">
        <v>1691</v>
      </c>
      <c r="J61" s="220"/>
      <c r="K61" s="134" t="b">
        <v>0</v>
      </c>
      <c r="L61" s="247">
        <f t="shared" si="3"/>
        <v>0</v>
      </c>
      <c r="M61" s="248"/>
      <c r="N61" s="108" t="b">
        <f t="shared" si="4"/>
        <v>0</v>
      </c>
      <c r="O61" s="229">
        <f t="shared" si="5"/>
        <v>0</v>
      </c>
      <c r="P61" s="163" t="str">
        <f t="shared" ref="P61:AW61" si="58">iferror(if(P$9=FALSE,, if(if(search(P$11,$B61,1)&gt;0,1,0)=1,$G61/$O61,)),"")</f>
        <v/>
      </c>
      <c r="Q61" s="163" t="str">
        <f t="shared" si="58"/>
        <v/>
      </c>
      <c r="R61" s="163" t="str">
        <f t="shared" si="58"/>
        <v/>
      </c>
      <c r="S61" s="163" t="str">
        <f t="shared" si="58"/>
        <v/>
      </c>
      <c r="T61" s="163" t="str">
        <f t="shared" si="58"/>
        <v/>
      </c>
      <c r="U61" s="163" t="str">
        <f t="shared" si="58"/>
        <v/>
      </c>
      <c r="V61" s="163" t="str">
        <f t="shared" si="58"/>
        <v/>
      </c>
      <c r="W61" s="163" t="str">
        <f t="shared" si="58"/>
        <v/>
      </c>
      <c r="X61" s="163" t="str">
        <f t="shared" si="58"/>
        <v/>
      </c>
      <c r="Y61" s="163" t="str">
        <f t="shared" si="58"/>
        <v/>
      </c>
      <c r="Z61" s="163" t="str">
        <f t="shared" si="58"/>
        <v/>
      </c>
      <c r="AA61" s="163" t="str">
        <f t="shared" si="58"/>
        <v/>
      </c>
      <c r="AB61" s="163" t="str">
        <f t="shared" si="58"/>
        <v/>
      </c>
      <c r="AC61" s="163" t="str">
        <f t="shared" si="58"/>
        <v/>
      </c>
      <c r="AD61" s="163" t="str">
        <f t="shared" si="58"/>
        <v/>
      </c>
      <c r="AE61" s="163" t="str">
        <f t="shared" si="58"/>
        <v/>
      </c>
      <c r="AF61" s="163" t="str">
        <f t="shared" si="58"/>
        <v/>
      </c>
      <c r="AG61" s="163" t="str">
        <f t="shared" si="58"/>
        <v/>
      </c>
      <c r="AH61" s="163" t="str">
        <f t="shared" si="58"/>
        <v/>
      </c>
      <c r="AI61" s="163" t="str">
        <f t="shared" si="58"/>
        <v/>
      </c>
      <c r="AJ61" s="163" t="str">
        <f t="shared" si="58"/>
        <v/>
      </c>
      <c r="AK61" s="163" t="str">
        <f t="shared" si="58"/>
        <v/>
      </c>
      <c r="AL61" s="163" t="str">
        <f t="shared" si="58"/>
        <v/>
      </c>
      <c r="AM61" s="163" t="str">
        <f t="shared" si="58"/>
        <v/>
      </c>
      <c r="AN61" s="163" t="str">
        <f t="shared" si="58"/>
        <v/>
      </c>
      <c r="AO61" s="163" t="str">
        <f t="shared" si="58"/>
        <v/>
      </c>
      <c r="AP61" s="163" t="str">
        <f t="shared" si="58"/>
        <v/>
      </c>
      <c r="AQ61" s="163" t="str">
        <f t="shared" si="58"/>
        <v/>
      </c>
      <c r="AR61" s="163" t="str">
        <f t="shared" si="58"/>
        <v/>
      </c>
      <c r="AS61" s="163" t="str">
        <f t="shared" si="58"/>
        <v/>
      </c>
      <c r="AT61" s="163" t="str">
        <f t="shared" si="58"/>
        <v/>
      </c>
      <c r="AU61" s="163" t="str">
        <f t="shared" si="58"/>
        <v/>
      </c>
      <c r="AV61" s="163" t="str">
        <f t="shared" si="58"/>
        <v/>
      </c>
      <c r="AW61" s="163" t="str">
        <f t="shared" si="58"/>
        <v/>
      </c>
    </row>
    <row r="62">
      <c r="A62" s="108"/>
      <c r="B62" s="144" t="s">
        <v>1720</v>
      </c>
      <c r="C62" s="134"/>
      <c r="D62" s="134" t="s">
        <v>1648</v>
      </c>
      <c r="E62" s="134" t="str">
        <f>vlookup(D62,CNPJ!A51:B248,2,FAlse)</f>
        <v>04.329.668/0001-38</v>
      </c>
      <c r="F62" s="246">
        <v>216113.0</v>
      </c>
      <c r="G62" s="247">
        <v>1634.26</v>
      </c>
      <c r="H62" s="225">
        <v>45049.0</v>
      </c>
      <c r="I62" s="134" t="s">
        <v>1721</v>
      </c>
      <c r="J62" s="220"/>
      <c r="K62" s="134" t="b">
        <v>1</v>
      </c>
      <c r="L62" s="247">
        <f t="shared" si="3"/>
        <v>1634.26</v>
      </c>
      <c r="M62" s="248"/>
      <c r="N62" s="108" t="b">
        <f t="shared" si="4"/>
        <v>1</v>
      </c>
      <c r="O62" s="229">
        <f t="shared" si="5"/>
        <v>2</v>
      </c>
      <c r="P62" s="163">
        <f t="shared" ref="P62:AW62" si="59">iferror(if(P$9=FALSE,, if(if(search(P$11,$B62,1)&gt;0,1,0)=1,$G62/$O62,)),"")</f>
        <v>817.13</v>
      </c>
      <c r="Q62" s="163" t="str">
        <f t="shared" si="59"/>
        <v/>
      </c>
      <c r="R62" s="163" t="str">
        <f t="shared" si="59"/>
        <v/>
      </c>
      <c r="S62" s="163" t="str">
        <f t="shared" si="59"/>
        <v/>
      </c>
      <c r="T62" s="163" t="str">
        <f t="shared" si="59"/>
        <v/>
      </c>
      <c r="U62" s="163" t="str">
        <f t="shared" si="59"/>
        <v/>
      </c>
      <c r="V62" s="163" t="str">
        <f t="shared" si="59"/>
        <v/>
      </c>
      <c r="W62" s="163" t="str">
        <f t="shared" si="59"/>
        <v/>
      </c>
      <c r="X62" s="163" t="str">
        <f t="shared" si="59"/>
        <v/>
      </c>
      <c r="Y62" s="163" t="str">
        <f t="shared" si="59"/>
        <v/>
      </c>
      <c r="Z62" s="163" t="str">
        <f t="shared" si="59"/>
        <v/>
      </c>
      <c r="AA62" s="163" t="str">
        <f t="shared" si="59"/>
        <v/>
      </c>
      <c r="AB62" s="163" t="str">
        <f t="shared" si="59"/>
        <v/>
      </c>
      <c r="AC62" s="163" t="str">
        <f t="shared" si="59"/>
        <v/>
      </c>
      <c r="AD62" s="163">
        <f t="shared" si="59"/>
        <v>817.13</v>
      </c>
      <c r="AE62" s="163" t="str">
        <f t="shared" si="59"/>
        <v/>
      </c>
      <c r="AF62" s="163" t="str">
        <f t="shared" si="59"/>
        <v/>
      </c>
      <c r="AG62" s="163" t="str">
        <f t="shared" si="59"/>
        <v/>
      </c>
      <c r="AH62" s="163" t="str">
        <f t="shared" si="59"/>
        <v/>
      </c>
      <c r="AI62" s="163" t="str">
        <f t="shared" si="59"/>
        <v/>
      </c>
      <c r="AJ62" s="163" t="str">
        <f t="shared" si="59"/>
        <v/>
      </c>
      <c r="AK62" s="163" t="str">
        <f t="shared" si="59"/>
        <v/>
      </c>
      <c r="AL62" s="163" t="str">
        <f t="shared" si="59"/>
        <v/>
      </c>
      <c r="AM62" s="163" t="str">
        <f t="shared" si="59"/>
        <v/>
      </c>
      <c r="AN62" s="163" t="str">
        <f t="shared" si="59"/>
        <v/>
      </c>
      <c r="AO62" s="163" t="str">
        <f t="shared" si="59"/>
        <v/>
      </c>
      <c r="AP62" s="163" t="str">
        <f t="shared" si="59"/>
        <v/>
      </c>
      <c r="AQ62" s="163" t="str">
        <f t="shared" si="59"/>
        <v/>
      </c>
      <c r="AR62" s="163" t="str">
        <f t="shared" si="59"/>
        <v/>
      </c>
      <c r="AS62" s="163" t="str">
        <f t="shared" si="59"/>
        <v/>
      </c>
      <c r="AT62" s="163" t="str">
        <f t="shared" si="59"/>
        <v/>
      </c>
      <c r="AU62" s="163" t="str">
        <f t="shared" si="59"/>
        <v/>
      </c>
      <c r="AV62" s="163" t="str">
        <f t="shared" si="59"/>
        <v/>
      </c>
      <c r="AW62" s="163" t="str">
        <f t="shared" si="59"/>
        <v/>
      </c>
    </row>
    <row r="63">
      <c r="A63" s="108"/>
      <c r="B63" s="144" t="s">
        <v>290</v>
      </c>
      <c r="C63" s="220"/>
      <c r="D63" s="134" t="s">
        <v>1722</v>
      </c>
      <c r="E63" s="134" t="str">
        <f>vlookup(D63,CNPJ!A52:B249,2,FAlse)</f>
        <v>20.320.503/0001-51</v>
      </c>
      <c r="F63" s="246">
        <v>2.02300000000865E14</v>
      </c>
      <c r="G63" s="247">
        <v>9600.0</v>
      </c>
      <c r="H63" s="225">
        <v>45058.0</v>
      </c>
      <c r="I63" s="134" t="s">
        <v>1723</v>
      </c>
      <c r="J63" s="220"/>
      <c r="K63" s="134" t="b">
        <v>1</v>
      </c>
      <c r="L63" s="247">
        <f t="shared" si="3"/>
        <v>9600</v>
      </c>
      <c r="M63" s="248"/>
      <c r="N63" s="108" t="b">
        <f t="shared" si="4"/>
        <v>1</v>
      </c>
      <c r="O63" s="229">
        <f t="shared" si="5"/>
        <v>1</v>
      </c>
      <c r="P63" s="163">
        <f t="shared" ref="P63:AW63" si="60">iferror(if(P$9=FALSE,, if(if(search(P$11,$B63,1)&gt;0,1,0)=1,$G63/$O63,)),"")</f>
        <v>9600</v>
      </c>
      <c r="Q63" s="163" t="str">
        <f t="shared" si="60"/>
        <v/>
      </c>
      <c r="R63" s="163" t="str">
        <f t="shared" si="60"/>
        <v/>
      </c>
      <c r="S63" s="163" t="str">
        <f t="shared" si="60"/>
        <v/>
      </c>
      <c r="T63" s="163" t="str">
        <f t="shared" si="60"/>
        <v/>
      </c>
      <c r="U63" s="163" t="str">
        <f t="shared" si="60"/>
        <v/>
      </c>
      <c r="V63" s="163" t="str">
        <f t="shared" si="60"/>
        <v/>
      </c>
      <c r="W63" s="163" t="str">
        <f t="shared" si="60"/>
        <v/>
      </c>
      <c r="X63" s="163" t="str">
        <f t="shared" si="60"/>
        <v/>
      </c>
      <c r="Y63" s="163" t="str">
        <f t="shared" si="60"/>
        <v/>
      </c>
      <c r="Z63" s="163" t="str">
        <f t="shared" si="60"/>
        <v/>
      </c>
      <c r="AA63" s="163" t="str">
        <f t="shared" si="60"/>
        <v/>
      </c>
      <c r="AB63" s="163" t="str">
        <f t="shared" si="60"/>
        <v/>
      </c>
      <c r="AC63" s="163" t="str">
        <f t="shared" si="60"/>
        <v/>
      </c>
      <c r="AD63" s="163" t="str">
        <f t="shared" si="60"/>
        <v/>
      </c>
      <c r="AE63" s="163" t="str">
        <f t="shared" si="60"/>
        <v/>
      </c>
      <c r="AF63" s="163" t="str">
        <f t="shared" si="60"/>
        <v/>
      </c>
      <c r="AG63" s="163" t="str">
        <f t="shared" si="60"/>
        <v/>
      </c>
      <c r="AH63" s="163" t="str">
        <f t="shared" si="60"/>
        <v/>
      </c>
      <c r="AI63" s="163" t="str">
        <f t="shared" si="60"/>
        <v/>
      </c>
      <c r="AJ63" s="163" t="str">
        <f t="shared" si="60"/>
        <v/>
      </c>
      <c r="AK63" s="163" t="str">
        <f t="shared" si="60"/>
        <v/>
      </c>
      <c r="AL63" s="163" t="str">
        <f t="shared" si="60"/>
        <v/>
      </c>
      <c r="AM63" s="163" t="str">
        <f t="shared" si="60"/>
        <v/>
      </c>
      <c r="AN63" s="163" t="str">
        <f t="shared" si="60"/>
        <v/>
      </c>
      <c r="AO63" s="163" t="str">
        <f t="shared" si="60"/>
        <v/>
      </c>
      <c r="AP63" s="163" t="str">
        <f t="shared" si="60"/>
        <v/>
      </c>
      <c r="AQ63" s="163" t="str">
        <f t="shared" si="60"/>
        <v/>
      </c>
      <c r="AR63" s="163" t="str">
        <f t="shared" si="60"/>
        <v/>
      </c>
      <c r="AS63" s="163" t="str">
        <f t="shared" si="60"/>
        <v/>
      </c>
      <c r="AT63" s="163" t="str">
        <f t="shared" si="60"/>
        <v/>
      </c>
      <c r="AU63" s="163" t="str">
        <f t="shared" si="60"/>
        <v/>
      </c>
      <c r="AV63" s="163" t="str">
        <f t="shared" si="60"/>
        <v/>
      </c>
      <c r="AW63" s="163" t="str">
        <f t="shared" si="60"/>
        <v/>
      </c>
    </row>
    <row r="64">
      <c r="A64" s="108"/>
      <c r="B64" s="144" t="s">
        <v>290</v>
      </c>
      <c r="C64" s="220"/>
      <c r="D64" s="134" t="s">
        <v>1678</v>
      </c>
      <c r="E64" s="134" t="str">
        <f>vlookup(D64,CNPJ!A53:B250,2,FAlse)</f>
        <v>50.276.237/0001-78</v>
      </c>
      <c r="F64" s="246">
        <v>144059.0</v>
      </c>
      <c r="G64" s="247">
        <v>918.0</v>
      </c>
      <c r="H64" s="225">
        <v>45058.0</v>
      </c>
      <c r="I64" s="134" t="s">
        <v>1724</v>
      </c>
      <c r="J64" s="220"/>
      <c r="K64" s="134" t="b">
        <v>1</v>
      </c>
      <c r="L64" s="247">
        <f t="shared" si="3"/>
        <v>918</v>
      </c>
      <c r="M64" s="248"/>
      <c r="N64" s="108" t="b">
        <f t="shared" si="4"/>
        <v>1</v>
      </c>
      <c r="O64" s="229">
        <f t="shared" si="5"/>
        <v>1</v>
      </c>
      <c r="P64" s="163">
        <f t="shared" ref="P64:AW64" si="61">iferror(if(P$9=FALSE,, if(if(search(P$11,$B64,1)&gt;0,1,0)=1,$G64/$O64,)),"")</f>
        <v>918</v>
      </c>
      <c r="Q64" s="163" t="str">
        <f t="shared" si="61"/>
        <v/>
      </c>
      <c r="R64" s="163" t="str">
        <f t="shared" si="61"/>
        <v/>
      </c>
      <c r="S64" s="163" t="str">
        <f t="shared" si="61"/>
        <v/>
      </c>
      <c r="T64" s="163" t="str">
        <f t="shared" si="61"/>
        <v/>
      </c>
      <c r="U64" s="163" t="str">
        <f t="shared" si="61"/>
        <v/>
      </c>
      <c r="V64" s="163" t="str">
        <f t="shared" si="61"/>
        <v/>
      </c>
      <c r="W64" s="163" t="str">
        <f t="shared" si="61"/>
        <v/>
      </c>
      <c r="X64" s="163" t="str">
        <f t="shared" si="61"/>
        <v/>
      </c>
      <c r="Y64" s="163" t="str">
        <f t="shared" si="61"/>
        <v/>
      </c>
      <c r="Z64" s="163" t="str">
        <f t="shared" si="61"/>
        <v/>
      </c>
      <c r="AA64" s="163" t="str">
        <f t="shared" si="61"/>
        <v/>
      </c>
      <c r="AB64" s="163" t="str">
        <f t="shared" si="61"/>
        <v/>
      </c>
      <c r="AC64" s="163" t="str">
        <f t="shared" si="61"/>
        <v/>
      </c>
      <c r="AD64" s="163" t="str">
        <f t="shared" si="61"/>
        <v/>
      </c>
      <c r="AE64" s="163" t="str">
        <f t="shared" si="61"/>
        <v/>
      </c>
      <c r="AF64" s="163" t="str">
        <f t="shared" si="61"/>
        <v/>
      </c>
      <c r="AG64" s="163" t="str">
        <f t="shared" si="61"/>
        <v/>
      </c>
      <c r="AH64" s="163" t="str">
        <f t="shared" si="61"/>
        <v/>
      </c>
      <c r="AI64" s="163" t="str">
        <f t="shared" si="61"/>
        <v/>
      </c>
      <c r="AJ64" s="163" t="str">
        <f t="shared" si="61"/>
        <v/>
      </c>
      <c r="AK64" s="163" t="str">
        <f t="shared" si="61"/>
        <v/>
      </c>
      <c r="AL64" s="163" t="str">
        <f t="shared" si="61"/>
        <v/>
      </c>
      <c r="AM64" s="163" t="str">
        <f t="shared" si="61"/>
        <v/>
      </c>
      <c r="AN64" s="163" t="str">
        <f t="shared" si="61"/>
        <v/>
      </c>
      <c r="AO64" s="163" t="str">
        <f t="shared" si="61"/>
        <v/>
      </c>
      <c r="AP64" s="163" t="str">
        <f t="shared" si="61"/>
        <v/>
      </c>
      <c r="AQ64" s="163" t="str">
        <f t="shared" si="61"/>
        <v/>
      </c>
      <c r="AR64" s="163" t="str">
        <f t="shared" si="61"/>
        <v/>
      </c>
      <c r="AS64" s="163" t="str">
        <f t="shared" si="61"/>
        <v/>
      </c>
      <c r="AT64" s="163" t="str">
        <f t="shared" si="61"/>
        <v/>
      </c>
      <c r="AU64" s="163" t="str">
        <f t="shared" si="61"/>
        <v/>
      </c>
      <c r="AV64" s="163" t="str">
        <f t="shared" si="61"/>
        <v/>
      </c>
      <c r="AW64" s="163" t="str">
        <f t="shared" si="61"/>
        <v/>
      </c>
    </row>
    <row r="65">
      <c r="A65" s="108"/>
      <c r="B65" s="144" t="s">
        <v>57</v>
      </c>
      <c r="C65" s="220"/>
      <c r="D65" s="134" t="s">
        <v>1667</v>
      </c>
      <c r="E65" s="134" t="str">
        <f>vlookup(D65,CNPJ!A54:B251,2,FAlse)</f>
        <v>08.183.359/0003-15</v>
      </c>
      <c r="F65" s="246">
        <v>72672.0</v>
      </c>
      <c r="G65" s="247">
        <v>185.0</v>
      </c>
      <c r="H65" s="225">
        <v>45058.0</v>
      </c>
      <c r="I65" s="134" t="s">
        <v>1725</v>
      </c>
      <c r="J65" s="220"/>
      <c r="K65" s="134" t="b">
        <v>0</v>
      </c>
      <c r="L65" s="247">
        <f t="shared" si="3"/>
        <v>0</v>
      </c>
      <c r="M65" s="248"/>
      <c r="N65" s="108" t="b">
        <f t="shared" si="4"/>
        <v>0</v>
      </c>
      <c r="O65" s="229">
        <f t="shared" si="5"/>
        <v>0</v>
      </c>
      <c r="P65" s="163" t="str">
        <f t="shared" ref="P65:AW65" si="62">iferror(if(P$9=FALSE,, if(if(search(P$11,$B65,1)&gt;0,1,0)=1,$G65/$O65,)),"")</f>
        <v/>
      </c>
      <c r="Q65" s="163" t="str">
        <f t="shared" si="62"/>
        <v/>
      </c>
      <c r="R65" s="163" t="str">
        <f t="shared" si="62"/>
        <v/>
      </c>
      <c r="S65" s="163" t="str">
        <f t="shared" si="62"/>
        <v/>
      </c>
      <c r="T65" s="163" t="str">
        <f t="shared" si="62"/>
        <v/>
      </c>
      <c r="U65" s="163" t="str">
        <f t="shared" si="62"/>
        <v/>
      </c>
      <c r="V65" s="163" t="str">
        <f t="shared" si="62"/>
        <v/>
      </c>
      <c r="W65" s="163" t="str">
        <f t="shared" si="62"/>
        <v/>
      </c>
      <c r="X65" s="163" t="str">
        <f t="shared" si="62"/>
        <v/>
      </c>
      <c r="Y65" s="163" t="str">
        <f t="shared" si="62"/>
        <v/>
      </c>
      <c r="Z65" s="163" t="str">
        <f t="shared" si="62"/>
        <v/>
      </c>
      <c r="AA65" s="163" t="str">
        <f t="shared" si="62"/>
        <v/>
      </c>
      <c r="AB65" s="163" t="str">
        <f t="shared" si="62"/>
        <v/>
      </c>
      <c r="AC65" s="163" t="str">
        <f t="shared" si="62"/>
        <v/>
      </c>
      <c r="AD65" s="163" t="str">
        <f t="shared" si="62"/>
        <v/>
      </c>
      <c r="AE65" s="163" t="str">
        <f t="shared" si="62"/>
        <v/>
      </c>
      <c r="AF65" s="163" t="str">
        <f t="shared" si="62"/>
        <v/>
      </c>
      <c r="AG65" s="163" t="str">
        <f t="shared" si="62"/>
        <v/>
      </c>
      <c r="AH65" s="163" t="str">
        <f t="shared" si="62"/>
        <v/>
      </c>
      <c r="AI65" s="163" t="str">
        <f t="shared" si="62"/>
        <v/>
      </c>
      <c r="AJ65" s="163" t="str">
        <f t="shared" si="62"/>
        <v/>
      </c>
      <c r="AK65" s="163" t="str">
        <f t="shared" si="62"/>
        <v/>
      </c>
      <c r="AL65" s="163" t="str">
        <f t="shared" si="62"/>
        <v/>
      </c>
      <c r="AM65" s="163" t="str">
        <f t="shared" si="62"/>
        <v/>
      </c>
      <c r="AN65" s="163" t="str">
        <f t="shared" si="62"/>
        <v/>
      </c>
      <c r="AO65" s="163" t="str">
        <f t="shared" si="62"/>
        <v/>
      </c>
      <c r="AP65" s="163" t="str">
        <f t="shared" si="62"/>
        <v/>
      </c>
      <c r="AQ65" s="163" t="str">
        <f t="shared" si="62"/>
        <v/>
      </c>
      <c r="AR65" s="163" t="str">
        <f t="shared" si="62"/>
        <v/>
      </c>
      <c r="AS65" s="163" t="str">
        <f t="shared" si="62"/>
        <v/>
      </c>
      <c r="AT65" s="163" t="str">
        <f t="shared" si="62"/>
        <v/>
      </c>
      <c r="AU65" s="163" t="str">
        <f t="shared" si="62"/>
        <v/>
      </c>
      <c r="AV65" s="163" t="str">
        <f t="shared" si="62"/>
        <v/>
      </c>
      <c r="AW65" s="163" t="str">
        <f t="shared" si="62"/>
        <v/>
      </c>
    </row>
    <row r="66">
      <c r="A66" s="108"/>
      <c r="B66" s="144" t="s">
        <v>61</v>
      </c>
      <c r="C66" s="220"/>
      <c r="D66" s="134" t="s">
        <v>1678</v>
      </c>
      <c r="E66" s="134" t="str">
        <f>vlookup(D66,CNPJ!A55:B252,2,FAlse)</f>
        <v>50.276.237/0001-78</v>
      </c>
      <c r="F66" s="246">
        <v>144129.0</v>
      </c>
      <c r="G66" s="247">
        <v>852.0</v>
      </c>
      <c r="H66" s="225">
        <v>45062.0</v>
      </c>
      <c r="I66" s="134" t="s">
        <v>1726</v>
      </c>
      <c r="J66" s="220"/>
      <c r="K66" s="134" t="b">
        <v>1</v>
      </c>
      <c r="L66" s="247">
        <f t="shared" si="3"/>
        <v>852</v>
      </c>
      <c r="M66" s="248"/>
      <c r="N66" s="108" t="b">
        <f t="shared" si="4"/>
        <v>1</v>
      </c>
      <c r="O66" s="229">
        <f t="shared" si="5"/>
        <v>1</v>
      </c>
      <c r="P66" s="163" t="str">
        <f t="shared" ref="P66:AW66" si="63">iferror(if(P$9=FALSE,, if(if(search(P$11,$B66,1)&gt;0,1,0)=1,$G66/$O66,)),"")</f>
        <v/>
      </c>
      <c r="Q66" s="163" t="str">
        <f t="shared" si="63"/>
        <v/>
      </c>
      <c r="R66" s="163" t="str">
        <f t="shared" si="63"/>
        <v/>
      </c>
      <c r="S66" s="163" t="str">
        <f t="shared" si="63"/>
        <v/>
      </c>
      <c r="T66" s="163" t="str">
        <f t="shared" si="63"/>
        <v/>
      </c>
      <c r="U66" s="163" t="str">
        <f t="shared" si="63"/>
        <v/>
      </c>
      <c r="V66" s="163" t="str">
        <f t="shared" si="63"/>
        <v/>
      </c>
      <c r="W66" s="163" t="str">
        <f t="shared" si="63"/>
        <v/>
      </c>
      <c r="X66" s="163" t="str">
        <f t="shared" si="63"/>
        <v/>
      </c>
      <c r="Y66" s="163" t="str">
        <f t="shared" si="63"/>
        <v/>
      </c>
      <c r="Z66" s="163" t="str">
        <f t="shared" si="63"/>
        <v/>
      </c>
      <c r="AA66" s="163" t="str">
        <f t="shared" si="63"/>
        <v/>
      </c>
      <c r="AB66" s="163" t="str">
        <f t="shared" si="63"/>
        <v/>
      </c>
      <c r="AC66" s="163" t="str">
        <f t="shared" si="63"/>
        <v/>
      </c>
      <c r="AD66" s="163" t="str">
        <f t="shared" si="63"/>
        <v/>
      </c>
      <c r="AE66" s="163" t="str">
        <f t="shared" si="63"/>
        <v/>
      </c>
      <c r="AF66" s="163" t="str">
        <f t="shared" si="63"/>
        <v/>
      </c>
      <c r="AG66" s="163" t="str">
        <f t="shared" si="63"/>
        <v/>
      </c>
      <c r="AH66" s="163" t="str">
        <f t="shared" si="63"/>
        <v/>
      </c>
      <c r="AI66" s="163" t="str">
        <f t="shared" si="63"/>
        <v/>
      </c>
      <c r="AJ66" s="163" t="str">
        <f t="shared" si="63"/>
        <v/>
      </c>
      <c r="AK66" s="163" t="str">
        <f t="shared" si="63"/>
        <v/>
      </c>
      <c r="AL66" s="163" t="str">
        <f t="shared" si="63"/>
        <v/>
      </c>
      <c r="AM66" s="163" t="str">
        <f t="shared" si="63"/>
        <v/>
      </c>
      <c r="AN66" s="163">
        <f t="shared" si="63"/>
        <v>852</v>
      </c>
      <c r="AO66" s="163" t="str">
        <f t="shared" si="63"/>
        <v/>
      </c>
      <c r="AP66" s="163" t="str">
        <f t="shared" si="63"/>
        <v/>
      </c>
      <c r="AQ66" s="163" t="str">
        <f t="shared" si="63"/>
        <v/>
      </c>
      <c r="AR66" s="163" t="str">
        <f t="shared" si="63"/>
        <v/>
      </c>
      <c r="AS66" s="163" t="str">
        <f t="shared" si="63"/>
        <v/>
      </c>
      <c r="AT66" s="163" t="str">
        <f t="shared" si="63"/>
        <v/>
      </c>
      <c r="AU66" s="163" t="str">
        <f t="shared" si="63"/>
        <v/>
      </c>
      <c r="AV66" s="163" t="str">
        <f t="shared" si="63"/>
        <v/>
      </c>
      <c r="AW66" s="163" t="str">
        <f t="shared" si="63"/>
        <v/>
      </c>
    </row>
    <row r="67">
      <c r="A67" s="108"/>
      <c r="B67" s="144" t="s">
        <v>1727</v>
      </c>
      <c r="C67" s="134"/>
      <c r="D67" s="134" t="s">
        <v>1648</v>
      </c>
      <c r="E67" s="134" t="str">
        <f>vlookup(D67,CNPJ!A56:B253,2,FAlse)</f>
        <v>04.329.668/0001-38</v>
      </c>
      <c r="F67" s="246">
        <v>216954.0</v>
      </c>
      <c r="G67" s="247">
        <v>10353.16</v>
      </c>
      <c r="H67" s="225">
        <v>45062.0</v>
      </c>
      <c r="I67" s="134" t="s">
        <v>1728</v>
      </c>
      <c r="J67" s="220"/>
      <c r="K67" s="134" t="b">
        <v>1</v>
      </c>
      <c r="L67" s="247">
        <f t="shared" si="3"/>
        <v>6398.36</v>
      </c>
      <c r="M67" s="248"/>
      <c r="N67" s="108" t="b">
        <f t="shared" si="4"/>
        <v>0</v>
      </c>
      <c r="O67" s="229">
        <f t="shared" si="5"/>
        <v>4</v>
      </c>
      <c r="P67" s="163">
        <v>1599.59</v>
      </c>
      <c r="Q67" s="163" t="str">
        <f t="shared" ref="Q67:S67" si="64">iferror(if(Q$9=FALSE,, if(if(search(Q$11,$B67,1)&gt;0,1,0)=1,$G67/$O67,)),"")</f>
        <v/>
      </c>
      <c r="R67" s="163" t="str">
        <f t="shared" si="64"/>
        <v/>
      </c>
      <c r="S67" s="163" t="str">
        <f t="shared" si="64"/>
        <v/>
      </c>
      <c r="T67" s="163">
        <v>1599.59</v>
      </c>
      <c r="U67" s="163" t="str">
        <f t="shared" ref="U67:V67" si="65">iferror(if(U$9=FALSE,, if(if(search(U$11,$B67,1)&gt;0,1,0)=1,$G67/$O67,)),"")</f>
        <v/>
      </c>
      <c r="V67" s="163" t="str">
        <f t="shared" si="65"/>
        <v/>
      </c>
      <c r="W67" s="163">
        <v>1599.59</v>
      </c>
      <c r="X67" s="163" t="str">
        <f>iferror(if(X$9=FALSE,, if(if(search(X$11,$B67,1)&gt;0,1,0)=1,$G67/$O67,)),"")</f>
        <v/>
      </c>
      <c r="Y67" s="163">
        <v>1599.59</v>
      </c>
      <c r="Z67" s="163" t="str">
        <f t="shared" ref="Z67:AW67" si="66">iferror(if(Z$9=FALSE,, if(if(search(Z$11,$B67,1)&gt;0,1,0)=1,$G67/$O67,)),"")</f>
        <v/>
      </c>
      <c r="AA67" s="163" t="str">
        <f t="shared" si="66"/>
        <v/>
      </c>
      <c r="AB67" s="163" t="str">
        <f t="shared" si="66"/>
        <v/>
      </c>
      <c r="AC67" s="163" t="str">
        <f t="shared" si="66"/>
        <v/>
      </c>
      <c r="AD67" s="163" t="str">
        <f t="shared" si="66"/>
        <v/>
      </c>
      <c r="AE67" s="163" t="str">
        <f t="shared" si="66"/>
        <v/>
      </c>
      <c r="AF67" s="163" t="str">
        <f t="shared" si="66"/>
        <v/>
      </c>
      <c r="AG67" s="163" t="str">
        <f t="shared" si="66"/>
        <v/>
      </c>
      <c r="AH67" s="163" t="str">
        <f t="shared" si="66"/>
        <v/>
      </c>
      <c r="AI67" s="163" t="str">
        <f t="shared" si="66"/>
        <v/>
      </c>
      <c r="AJ67" s="163" t="str">
        <f t="shared" si="66"/>
        <v/>
      </c>
      <c r="AK67" s="163" t="str">
        <f t="shared" si="66"/>
        <v/>
      </c>
      <c r="AL67" s="163" t="str">
        <f t="shared" si="66"/>
        <v/>
      </c>
      <c r="AM67" s="163" t="str">
        <f t="shared" si="66"/>
        <v/>
      </c>
      <c r="AN67" s="163" t="str">
        <f t="shared" si="66"/>
        <v/>
      </c>
      <c r="AO67" s="163" t="str">
        <f t="shared" si="66"/>
        <v/>
      </c>
      <c r="AP67" s="163" t="str">
        <f t="shared" si="66"/>
        <v/>
      </c>
      <c r="AQ67" s="163" t="str">
        <f t="shared" si="66"/>
        <v/>
      </c>
      <c r="AR67" s="163" t="str">
        <f t="shared" si="66"/>
        <v/>
      </c>
      <c r="AS67" s="163" t="str">
        <f t="shared" si="66"/>
        <v/>
      </c>
      <c r="AT67" s="163" t="str">
        <f t="shared" si="66"/>
        <v/>
      </c>
      <c r="AU67" s="163" t="str">
        <f t="shared" si="66"/>
        <v/>
      </c>
      <c r="AV67" s="163" t="str">
        <f t="shared" si="66"/>
        <v/>
      </c>
      <c r="AW67" s="163" t="str">
        <f t="shared" si="66"/>
        <v/>
      </c>
    </row>
    <row r="68">
      <c r="A68" s="108"/>
      <c r="B68" s="144" t="s">
        <v>58</v>
      </c>
      <c r="C68" s="134"/>
      <c r="D68" s="134" t="s">
        <v>1665</v>
      </c>
      <c r="E68" s="134" t="str">
        <f>vlookup(D68,CNPJ!A57:B254,2,FAlse)</f>
        <v>00.799.205/0001-89</v>
      </c>
      <c r="F68" s="246">
        <v>108117.0</v>
      </c>
      <c r="G68" s="247">
        <v>1476.0</v>
      </c>
      <c r="H68" s="225">
        <v>45050.0</v>
      </c>
      <c r="I68" s="134" t="s">
        <v>1666</v>
      </c>
      <c r="J68" s="220"/>
      <c r="K68" s="134" t="b">
        <v>1</v>
      </c>
      <c r="L68" s="247">
        <f t="shared" si="3"/>
        <v>1476</v>
      </c>
      <c r="M68" s="248"/>
      <c r="N68" s="108" t="b">
        <f t="shared" si="4"/>
        <v>1</v>
      </c>
      <c r="O68" s="229">
        <f t="shared" si="5"/>
        <v>1</v>
      </c>
      <c r="P68" s="163" t="str">
        <f t="shared" ref="P68:AW68" si="67">iferror(if(P$9=FALSE,, if(if(search(P$11,$B68,1)&gt;0,1,0)=1,$G68/$O68,)),"")</f>
        <v/>
      </c>
      <c r="Q68" s="163" t="str">
        <f t="shared" si="67"/>
        <v/>
      </c>
      <c r="R68" s="163" t="str">
        <f t="shared" si="67"/>
        <v/>
      </c>
      <c r="S68" s="163" t="str">
        <f t="shared" si="67"/>
        <v/>
      </c>
      <c r="T68" s="163" t="str">
        <f t="shared" si="67"/>
        <v/>
      </c>
      <c r="U68" s="163" t="str">
        <f t="shared" si="67"/>
        <v/>
      </c>
      <c r="V68" s="163" t="str">
        <f t="shared" si="67"/>
        <v/>
      </c>
      <c r="W68" s="163" t="str">
        <f t="shared" si="67"/>
        <v/>
      </c>
      <c r="X68" s="163" t="str">
        <f t="shared" si="67"/>
        <v/>
      </c>
      <c r="Y68" s="163" t="str">
        <f t="shared" si="67"/>
        <v/>
      </c>
      <c r="Z68" s="163" t="str">
        <f t="shared" si="67"/>
        <v/>
      </c>
      <c r="AA68" s="163" t="str">
        <f t="shared" si="67"/>
        <v/>
      </c>
      <c r="AB68" s="163" t="str">
        <f t="shared" si="67"/>
        <v/>
      </c>
      <c r="AC68" s="163" t="str">
        <f t="shared" si="67"/>
        <v/>
      </c>
      <c r="AD68" s="163" t="str">
        <f t="shared" si="67"/>
        <v/>
      </c>
      <c r="AE68" s="163" t="str">
        <f t="shared" si="67"/>
        <v/>
      </c>
      <c r="AF68" s="163">
        <f t="shared" si="67"/>
        <v>1476</v>
      </c>
      <c r="AG68" s="163" t="str">
        <f t="shared" si="67"/>
        <v/>
      </c>
      <c r="AH68" s="163" t="str">
        <f t="shared" si="67"/>
        <v/>
      </c>
      <c r="AI68" s="163" t="str">
        <f t="shared" si="67"/>
        <v/>
      </c>
      <c r="AJ68" s="163" t="str">
        <f t="shared" si="67"/>
        <v/>
      </c>
      <c r="AK68" s="163" t="str">
        <f t="shared" si="67"/>
        <v/>
      </c>
      <c r="AL68" s="163" t="str">
        <f t="shared" si="67"/>
        <v/>
      </c>
      <c r="AM68" s="163" t="str">
        <f t="shared" si="67"/>
        <v/>
      </c>
      <c r="AN68" s="163" t="str">
        <f t="shared" si="67"/>
        <v/>
      </c>
      <c r="AO68" s="163" t="str">
        <f t="shared" si="67"/>
        <v/>
      </c>
      <c r="AP68" s="163" t="str">
        <f t="shared" si="67"/>
        <v/>
      </c>
      <c r="AQ68" s="163" t="str">
        <f t="shared" si="67"/>
        <v/>
      </c>
      <c r="AR68" s="163" t="str">
        <f t="shared" si="67"/>
        <v/>
      </c>
      <c r="AS68" s="163" t="str">
        <f t="shared" si="67"/>
        <v/>
      </c>
      <c r="AT68" s="163" t="str">
        <f t="shared" si="67"/>
        <v/>
      </c>
      <c r="AU68" s="163" t="str">
        <f t="shared" si="67"/>
        <v/>
      </c>
      <c r="AV68" s="163" t="str">
        <f t="shared" si="67"/>
        <v/>
      </c>
      <c r="AW68" s="163" t="str">
        <f t="shared" si="67"/>
        <v/>
      </c>
    </row>
    <row r="69">
      <c r="A69" s="108"/>
      <c r="B69" s="144" t="s">
        <v>58</v>
      </c>
      <c r="C69" s="134"/>
      <c r="D69" s="134" t="s">
        <v>1665</v>
      </c>
      <c r="E69" s="134" t="str">
        <f>vlookup(D69,CNPJ!A58:B255,2,FAlse)</f>
        <v>00.799.205/0001-89</v>
      </c>
      <c r="F69" s="246">
        <v>109739.0</v>
      </c>
      <c r="G69" s="247">
        <v>1476.0</v>
      </c>
      <c r="H69" s="225">
        <v>45076.0</v>
      </c>
      <c r="I69" s="134" t="s">
        <v>1666</v>
      </c>
      <c r="J69" s="220"/>
      <c r="K69" s="134" t="b">
        <v>1</v>
      </c>
      <c r="L69" s="247">
        <f t="shared" si="3"/>
        <v>1476</v>
      </c>
      <c r="M69" s="248"/>
      <c r="N69" s="108" t="b">
        <f t="shared" si="4"/>
        <v>1</v>
      </c>
      <c r="O69" s="229">
        <f t="shared" si="5"/>
        <v>1</v>
      </c>
      <c r="P69" s="163" t="str">
        <f t="shared" ref="P69:AW69" si="68">iferror(if(P$9=FALSE,, if(if(search(P$11,$B69,1)&gt;0,1,0)=1,$G69/$O69,)),"")</f>
        <v/>
      </c>
      <c r="Q69" s="163" t="str">
        <f t="shared" si="68"/>
        <v/>
      </c>
      <c r="R69" s="163" t="str">
        <f t="shared" si="68"/>
        <v/>
      </c>
      <c r="S69" s="163" t="str">
        <f t="shared" si="68"/>
        <v/>
      </c>
      <c r="T69" s="163" t="str">
        <f t="shared" si="68"/>
        <v/>
      </c>
      <c r="U69" s="163" t="str">
        <f t="shared" si="68"/>
        <v/>
      </c>
      <c r="V69" s="163" t="str">
        <f t="shared" si="68"/>
        <v/>
      </c>
      <c r="W69" s="163" t="str">
        <f t="shared" si="68"/>
        <v/>
      </c>
      <c r="X69" s="163" t="str">
        <f t="shared" si="68"/>
        <v/>
      </c>
      <c r="Y69" s="163" t="str">
        <f t="shared" si="68"/>
        <v/>
      </c>
      <c r="Z69" s="163" t="str">
        <f t="shared" si="68"/>
        <v/>
      </c>
      <c r="AA69" s="163" t="str">
        <f t="shared" si="68"/>
        <v/>
      </c>
      <c r="AB69" s="163" t="str">
        <f t="shared" si="68"/>
        <v/>
      </c>
      <c r="AC69" s="163" t="str">
        <f t="shared" si="68"/>
        <v/>
      </c>
      <c r="AD69" s="163" t="str">
        <f t="shared" si="68"/>
        <v/>
      </c>
      <c r="AE69" s="163" t="str">
        <f t="shared" si="68"/>
        <v/>
      </c>
      <c r="AF69" s="163">
        <f t="shared" si="68"/>
        <v>1476</v>
      </c>
      <c r="AG69" s="163" t="str">
        <f t="shared" si="68"/>
        <v/>
      </c>
      <c r="AH69" s="163" t="str">
        <f t="shared" si="68"/>
        <v/>
      </c>
      <c r="AI69" s="163" t="str">
        <f t="shared" si="68"/>
        <v/>
      </c>
      <c r="AJ69" s="163" t="str">
        <f t="shared" si="68"/>
        <v/>
      </c>
      <c r="AK69" s="163" t="str">
        <f t="shared" si="68"/>
        <v/>
      </c>
      <c r="AL69" s="163" t="str">
        <f t="shared" si="68"/>
        <v/>
      </c>
      <c r="AM69" s="163" t="str">
        <f t="shared" si="68"/>
        <v/>
      </c>
      <c r="AN69" s="163" t="str">
        <f t="shared" si="68"/>
        <v/>
      </c>
      <c r="AO69" s="163" t="str">
        <f t="shared" si="68"/>
        <v/>
      </c>
      <c r="AP69" s="163" t="str">
        <f t="shared" si="68"/>
        <v/>
      </c>
      <c r="AQ69" s="163" t="str">
        <f t="shared" si="68"/>
        <v/>
      </c>
      <c r="AR69" s="163" t="str">
        <f t="shared" si="68"/>
        <v/>
      </c>
      <c r="AS69" s="163" t="str">
        <f t="shared" si="68"/>
        <v/>
      </c>
      <c r="AT69" s="163" t="str">
        <f t="shared" si="68"/>
        <v/>
      </c>
      <c r="AU69" s="163" t="str">
        <f t="shared" si="68"/>
        <v/>
      </c>
      <c r="AV69" s="163" t="str">
        <f t="shared" si="68"/>
        <v/>
      </c>
      <c r="AW69" s="163" t="str">
        <f t="shared" si="68"/>
        <v/>
      </c>
    </row>
    <row r="70">
      <c r="A70" s="108"/>
      <c r="B70" s="144" t="s">
        <v>59</v>
      </c>
      <c r="C70" s="220"/>
      <c r="D70" s="134" t="s">
        <v>1667</v>
      </c>
      <c r="E70" s="134" t="str">
        <f>vlookup(D70,CNPJ!A59:B256,2,FAlse)</f>
        <v>08.183.359/0003-15</v>
      </c>
      <c r="F70" s="246">
        <v>72713.0</v>
      </c>
      <c r="G70" s="247">
        <v>952.0</v>
      </c>
      <c r="H70" s="225">
        <v>45061.0</v>
      </c>
      <c r="I70" s="134" t="s">
        <v>1729</v>
      </c>
      <c r="J70" s="220"/>
      <c r="K70" s="134" t="b">
        <v>0</v>
      </c>
      <c r="L70" s="247">
        <f t="shared" si="3"/>
        <v>0</v>
      </c>
      <c r="M70" s="248"/>
      <c r="N70" s="108" t="b">
        <f t="shared" si="4"/>
        <v>0</v>
      </c>
      <c r="O70" s="229">
        <f t="shared" si="5"/>
        <v>0</v>
      </c>
      <c r="P70" s="163" t="str">
        <f t="shared" ref="P70:AW70" si="69">iferror(if(P$9=FALSE,, if(if(search(P$11,$B70,1)&gt;0,1,0)=1,$G70/$O70,)),"")</f>
        <v/>
      </c>
      <c r="Q70" s="163" t="str">
        <f t="shared" si="69"/>
        <v/>
      </c>
      <c r="R70" s="163" t="str">
        <f t="shared" si="69"/>
        <v/>
      </c>
      <c r="S70" s="163" t="str">
        <f t="shared" si="69"/>
        <v/>
      </c>
      <c r="T70" s="163" t="str">
        <f t="shared" si="69"/>
        <v/>
      </c>
      <c r="U70" s="163" t="str">
        <f t="shared" si="69"/>
        <v/>
      </c>
      <c r="V70" s="163" t="str">
        <f t="shared" si="69"/>
        <v/>
      </c>
      <c r="W70" s="163" t="str">
        <f t="shared" si="69"/>
        <v/>
      </c>
      <c r="X70" s="163" t="str">
        <f t="shared" si="69"/>
        <v/>
      </c>
      <c r="Y70" s="163" t="str">
        <f t="shared" si="69"/>
        <v/>
      </c>
      <c r="Z70" s="163" t="str">
        <f t="shared" si="69"/>
        <v/>
      </c>
      <c r="AA70" s="163" t="str">
        <f t="shared" si="69"/>
        <v/>
      </c>
      <c r="AB70" s="163" t="str">
        <f t="shared" si="69"/>
        <v/>
      </c>
      <c r="AC70" s="163" t="str">
        <f t="shared" si="69"/>
        <v/>
      </c>
      <c r="AD70" s="163" t="str">
        <f t="shared" si="69"/>
        <v/>
      </c>
      <c r="AE70" s="163" t="str">
        <f t="shared" si="69"/>
        <v/>
      </c>
      <c r="AF70" s="163" t="str">
        <f t="shared" si="69"/>
        <v/>
      </c>
      <c r="AG70" s="163" t="str">
        <f t="shared" si="69"/>
        <v/>
      </c>
      <c r="AH70" s="163" t="str">
        <f t="shared" si="69"/>
        <v/>
      </c>
      <c r="AI70" s="163" t="str">
        <f t="shared" si="69"/>
        <v/>
      </c>
      <c r="AJ70" s="163" t="str">
        <f t="shared" si="69"/>
        <v/>
      </c>
      <c r="AK70" s="163" t="str">
        <f t="shared" si="69"/>
        <v/>
      </c>
      <c r="AL70" s="163" t="str">
        <f t="shared" si="69"/>
        <v/>
      </c>
      <c r="AM70" s="163" t="str">
        <f t="shared" si="69"/>
        <v/>
      </c>
      <c r="AN70" s="163" t="str">
        <f t="shared" si="69"/>
        <v/>
      </c>
      <c r="AO70" s="163" t="str">
        <f t="shared" si="69"/>
        <v/>
      </c>
      <c r="AP70" s="163" t="str">
        <f t="shared" si="69"/>
        <v/>
      </c>
      <c r="AQ70" s="163" t="str">
        <f t="shared" si="69"/>
        <v/>
      </c>
      <c r="AR70" s="163" t="str">
        <f t="shared" si="69"/>
        <v/>
      </c>
      <c r="AS70" s="163" t="str">
        <f t="shared" si="69"/>
        <v/>
      </c>
      <c r="AT70" s="163" t="str">
        <f t="shared" si="69"/>
        <v/>
      </c>
      <c r="AU70" s="163" t="str">
        <f t="shared" si="69"/>
        <v/>
      </c>
      <c r="AV70" s="163" t="str">
        <f t="shared" si="69"/>
        <v/>
      </c>
      <c r="AW70" s="163" t="str">
        <f t="shared" si="69"/>
        <v/>
      </c>
    </row>
    <row r="71">
      <c r="A71" s="108"/>
      <c r="B71" s="144" t="s">
        <v>59</v>
      </c>
      <c r="C71" s="220"/>
      <c r="D71" s="134" t="s">
        <v>1667</v>
      </c>
      <c r="E71" s="134" t="str">
        <f>vlookup(D71,CNPJ!A60:B257,2,FAlse)</f>
        <v>08.183.359/0003-15</v>
      </c>
      <c r="F71" s="246">
        <v>71196.0</v>
      </c>
      <c r="G71" s="247">
        <v>196.0</v>
      </c>
      <c r="H71" s="225">
        <v>45026.0</v>
      </c>
      <c r="I71" s="134" t="s">
        <v>1730</v>
      </c>
      <c r="J71" s="220"/>
      <c r="K71" s="134" t="b">
        <v>0</v>
      </c>
      <c r="L71" s="247">
        <f t="shared" si="3"/>
        <v>0</v>
      </c>
      <c r="M71" s="248"/>
      <c r="N71" s="108" t="b">
        <f t="shared" si="4"/>
        <v>0</v>
      </c>
      <c r="O71" s="229">
        <f t="shared" si="5"/>
        <v>0</v>
      </c>
      <c r="P71" s="163" t="str">
        <f t="shared" ref="P71:AW71" si="70">iferror(if(P$9=FALSE,, if(if(search(P$11,$B71,1)&gt;0,1,0)=1,$G71/$O71,)),"")</f>
        <v/>
      </c>
      <c r="Q71" s="163" t="str">
        <f t="shared" si="70"/>
        <v/>
      </c>
      <c r="R71" s="163" t="str">
        <f t="shared" si="70"/>
        <v/>
      </c>
      <c r="S71" s="163" t="str">
        <f t="shared" si="70"/>
        <v/>
      </c>
      <c r="T71" s="163" t="str">
        <f t="shared" si="70"/>
        <v/>
      </c>
      <c r="U71" s="163" t="str">
        <f t="shared" si="70"/>
        <v/>
      </c>
      <c r="V71" s="163" t="str">
        <f t="shared" si="70"/>
        <v/>
      </c>
      <c r="W71" s="163" t="str">
        <f t="shared" si="70"/>
        <v/>
      </c>
      <c r="X71" s="163" t="str">
        <f t="shared" si="70"/>
        <v/>
      </c>
      <c r="Y71" s="163" t="str">
        <f t="shared" si="70"/>
        <v/>
      </c>
      <c r="Z71" s="163" t="str">
        <f t="shared" si="70"/>
        <v/>
      </c>
      <c r="AA71" s="163" t="str">
        <f t="shared" si="70"/>
        <v/>
      </c>
      <c r="AB71" s="163" t="str">
        <f t="shared" si="70"/>
        <v/>
      </c>
      <c r="AC71" s="163" t="str">
        <f t="shared" si="70"/>
        <v/>
      </c>
      <c r="AD71" s="163" t="str">
        <f t="shared" si="70"/>
        <v/>
      </c>
      <c r="AE71" s="163" t="str">
        <f t="shared" si="70"/>
        <v/>
      </c>
      <c r="AF71" s="163" t="str">
        <f t="shared" si="70"/>
        <v/>
      </c>
      <c r="AG71" s="163" t="str">
        <f t="shared" si="70"/>
        <v/>
      </c>
      <c r="AH71" s="163" t="str">
        <f t="shared" si="70"/>
        <v/>
      </c>
      <c r="AI71" s="163" t="str">
        <f t="shared" si="70"/>
        <v/>
      </c>
      <c r="AJ71" s="163" t="str">
        <f t="shared" si="70"/>
        <v/>
      </c>
      <c r="AK71" s="163" t="str">
        <f t="shared" si="70"/>
        <v/>
      </c>
      <c r="AL71" s="163" t="str">
        <f t="shared" si="70"/>
        <v/>
      </c>
      <c r="AM71" s="163" t="str">
        <f t="shared" si="70"/>
        <v/>
      </c>
      <c r="AN71" s="163" t="str">
        <f t="shared" si="70"/>
        <v/>
      </c>
      <c r="AO71" s="163" t="str">
        <f t="shared" si="70"/>
        <v/>
      </c>
      <c r="AP71" s="163" t="str">
        <f t="shared" si="70"/>
        <v/>
      </c>
      <c r="AQ71" s="163" t="str">
        <f t="shared" si="70"/>
        <v/>
      </c>
      <c r="AR71" s="163" t="str">
        <f t="shared" si="70"/>
        <v/>
      </c>
      <c r="AS71" s="163" t="str">
        <f t="shared" si="70"/>
        <v/>
      </c>
      <c r="AT71" s="163" t="str">
        <f t="shared" si="70"/>
        <v/>
      </c>
      <c r="AU71" s="163" t="str">
        <f t="shared" si="70"/>
        <v/>
      </c>
      <c r="AV71" s="163" t="str">
        <f t="shared" si="70"/>
        <v/>
      </c>
      <c r="AW71" s="163" t="str">
        <f t="shared" si="70"/>
        <v/>
      </c>
    </row>
    <row r="72">
      <c r="A72" s="108"/>
      <c r="B72" s="144" t="s">
        <v>59</v>
      </c>
      <c r="C72" s="220"/>
      <c r="D72" s="134" t="s">
        <v>1667</v>
      </c>
      <c r="E72" s="134" t="str">
        <f>vlookup(D72,CNPJ!A61:B258,2,FAlse)</f>
        <v>08.183.359/0003-15</v>
      </c>
      <c r="F72" s="246">
        <v>71795.0</v>
      </c>
      <c r="G72" s="247">
        <v>756.0</v>
      </c>
      <c r="H72" s="225">
        <v>45026.0</v>
      </c>
      <c r="I72" s="134" t="s">
        <v>1730</v>
      </c>
      <c r="J72" s="220"/>
      <c r="K72" s="134" t="b">
        <v>0</v>
      </c>
      <c r="L72" s="247">
        <f t="shared" si="3"/>
        <v>0</v>
      </c>
      <c r="M72" s="248"/>
      <c r="N72" s="108" t="b">
        <f t="shared" si="4"/>
        <v>0</v>
      </c>
      <c r="O72" s="229">
        <f t="shared" si="5"/>
        <v>0</v>
      </c>
      <c r="P72" s="163" t="str">
        <f t="shared" ref="P72:AW72" si="71">iferror(if(P$9=FALSE,, if(if(search(P$11,$B72,1)&gt;0,1,0)=1,$G72/$O72,)),"")</f>
        <v/>
      </c>
      <c r="Q72" s="163" t="str">
        <f t="shared" si="71"/>
        <v/>
      </c>
      <c r="R72" s="163" t="str">
        <f t="shared" si="71"/>
        <v/>
      </c>
      <c r="S72" s="163" t="str">
        <f t="shared" si="71"/>
        <v/>
      </c>
      <c r="T72" s="163" t="str">
        <f t="shared" si="71"/>
        <v/>
      </c>
      <c r="U72" s="163" t="str">
        <f t="shared" si="71"/>
        <v/>
      </c>
      <c r="V72" s="163" t="str">
        <f t="shared" si="71"/>
        <v/>
      </c>
      <c r="W72" s="163" t="str">
        <f t="shared" si="71"/>
        <v/>
      </c>
      <c r="X72" s="163" t="str">
        <f t="shared" si="71"/>
        <v/>
      </c>
      <c r="Y72" s="163" t="str">
        <f t="shared" si="71"/>
        <v/>
      </c>
      <c r="Z72" s="163" t="str">
        <f t="shared" si="71"/>
        <v/>
      </c>
      <c r="AA72" s="163" t="str">
        <f t="shared" si="71"/>
        <v/>
      </c>
      <c r="AB72" s="163" t="str">
        <f t="shared" si="71"/>
        <v/>
      </c>
      <c r="AC72" s="163" t="str">
        <f t="shared" si="71"/>
        <v/>
      </c>
      <c r="AD72" s="163" t="str">
        <f t="shared" si="71"/>
        <v/>
      </c>
      <c r="AE72" s="163" t="str">
        <f t="shared" si="71"/>
        <v/>
      </c>
      <c r="AF72" s="163" t="str">
        <f t="shared" si="71"/>
        <v/>
      </c>
      <c r="AG72" s="163" t="str">
        <f t="shared" si="71"/>
        <v/>
      </c>
      <c r="AH72" s="163" t="str">
        <f t="shared" si="71"/>
        <v/>
      </c>
      <c r="AI72" s="163" t="str">
        <f t="shared" si="71"/>
        <v/>
      </c>
      <c r="AJ72" s="163" t="str">
        <f t="shared" si="71"/>
        <v/>
      </c>
      <c r="AK72" s="163" t="str">
        <f t="shared" si="71"/>
        <v/>
      </c>
      <c r="AL72" s="163" t="str">
        <f t="shared" si="71"/>
        <v/>
      </c>
      <c r="AM72" s="163" t="str">
        <f t="shared" si="71"/>
        <v/>
      </c>
      <c r="AN72" s="163" t="str">
        <f t="shared" si="71"/>
        <v/>
      </c>
      <c r="AO72" s="163" t="str">
        <f t="shared" si="71"/>
        <v/>
      </c>
      <c r="AP72" s="163" t="str">
        <f t="shared" si="71"/>
        <v/>
      </c>
      <c r="AQ72" s="163" t="str">
        <f t="shared" si="71"/>
        <v/>
      </c>
      <c r="AR72" s="163" t="str">
        <f t="shared" si="71"/>
        <v/>
      </c>
      <c r="AS72" s="163" t="str">
        <f t="shared" si="71"/>
        <v/>
      </c>
      <c r="AT72" s="163" t="str">
        <f t="shared" si="71"/>
        <v/>
      </c>
      <c r="AU72" s="163" t="str">
        <f t="shared" si="71"/>
        <v/>
      </c>
      <c r="AV72" s="163" t="str">
        <f t="shared" si="71"/>
        <v/>
      </c>
      <c r="AW72" s="163" t="str">
        <f t="shared" si="71"/>
        <v/>
      </c>
    </row>
    <row r="73">
      <c r="A73" s="108"/>
      <c r="B73" s="144" t="s">
        <v>290</v>
      </c>
      <c r="C73" s="220"/>
      <c r="D73" s="134" t="s">
        <v>1731</v>
      </c>
      <c r="E73" s="134" t="str">
        <f>vlookup(D73,CNPJ!A62:B259,2,FAlse)</f>
        <v>#N/A</v>
      </c>
      <c r="F73" s="246" t="s">
        <v>1684</v>
      </c>
      <c r="G73" s="247">
        <v>2099.32</v>
      </c>
      <c r="H73" s="225">
        <v>45049.0</v>
      </c>
      <c r="I73" s="134" t="s">
        <v>1732</v>
      </c>
      <c r="J73" s="220"/>
      <c r="K73" s="134" t="b">
        <v>1</v>
      </c>
      <c r="L73" s="247">
        <f t="shared" si="3"/>
        <v>0</v>
      </c>
      <c r="M73" s="248" t="s">
        <v>1707</v>
      </c>
      <c r="N73" s="108" t="b">
        <f t="shared" si="4"/>
        <v>0</v>
      </c>
      <c r="O73" s="229">
        <f t="shared" si="5"/>
        <v>1</v>
      </c>
      <c r="P73" s="250">
        <v>0.0</v>
      </c>
      <c r="Q73" s="163" t="str">
        <f t="shared" ref="Q73:AW73" si="72">iferror(if(Q$9=FALSE,, if(if(search(Q$11,$B73,1)&gt;0,1,0)=1,$G73/$O73,)),"")</f>
        <v/>
      </c>
      <c r="R73" s="163" t="str">
        <f t="shared" si="72"/>
        <v/>
      </c>
      <c r="S73" s="163" t="str">
        <f t="shared" si="72"/>
        <v/>
      </c>
      <c r="T73" s="163" t="str">
        <f t="shared" si="72"/>
        <v/>
      </c>
      <c r="U73" s="163" t="str">
        <f t="shared" si="72"/>
        <v/>
      </c>
      <c r="V73" s="163" t="str">
        <f t="shared" si="72"/>
        <v/>
      </c>
      <c r="W73" s="163" t="str">
        <f t="shared" si="72"/>
        <v/>
      </c>
      <c r="X73" s="163" t="str">
        <f t="shared" si="72"/>
        <v/>
      </c>
      <c r="Y73" s="163" t="str">
        <f t="shared" si="72"/>
        <v/>
      </c>
      <c r="Z73" s="163" t="str">
        <f t="shared" si="72"/>
        <v/>
      </c>
      <c r="AA73" s="163" t="str">
        <f t="shared" si="72"/>
        <v/>
      </c>
      <c r="AB73" s="163" t="str">
        <f t="shared" si="72"/>
        <v/>
      </c>
      <c r="AC73" s="163" t="str">
        <f t="shared" si="72"/>
        <v/>
      </c>
      <c r="AD73" s="163" t="str">
        <f t="shared" si="72"/>
        <v/>
      </c>
      <c r="AE73" s="163" t="str">
        <f t="shared" si="72"/>
        <v/>
      </c>
      <c r="AF73" s="163" t="str">
        <f t="shared" si="72"/>
        <v/>
      </c>
      <c r="AG73" s="163" t="str">
        <f t="shared" si="72"/>
        <v/>
      </c>
      <c r="AH73" s="163" t="str">
        <f t="shared" si="72"/>
        <v/>
      </c>
      <c r="AI73" s="163" t="str">
        <f t="shared" si="72"/>
        <v/>
      </c>
      <c r="AJ73" s="163" t="str">
        <f t="shared" si="72"/>
        <v/>
      </c>
      <c r="AK73" s="163" t="str">
        <f t="shared" si="72"/>
        <v/>
      </c>
      <c r="AL73" s="163" t="str">
        <f t="shared" si="72"/>
        <v/>
      </c>
      <c r="AM73" s="163" t="str">
        <f t="shared" si="72"/>
        <v/>
      </c>
      <c r="AN73" s="163" t="str">
        <f t="shared" si="72"/>
        <v/>
      </c>
      <c r="AO73" s="163" t="str">
        <f t="shared" si="72"/>
        <v/>
      </c>
      <c r="AP73" s="163" t="str">
        <f t="shared" si="72"/>
        <v/>
      </c>
      <c r="AQ73" s="163" t="str">
        <f t="shared" si="72"/>
        <v/>
      </c>
      <c r="AR73" s="163" t="str">
        <f t="shared" si="72"/>
        <v/>
      </c>
      <c r="AS73" s="163" t="str">
        <f t="shared" si="72"/>
        <v/>
      </c>
      <c r="AT73" s="163" t="str">
        <f t="shared" si="72"/>
        <v/>
      </c>
      <c r="AU73" s="163" t="str">
        <f t="shared" si="72"/>
        <v/>
      </c>
      <c r="AV73" s="163" t="str">
        <f t="shared" si="72"/>
        <v/>
      </c>
      <c r="AW73" s="163" t="str">
        <f t="shared" si="72"/>
        <v/>
      </c>
    </row>
    <row r="74">
      <c r="A74" s="108"/>
      <c r="B74" s="144" t="s">
        <v>54</v>
      </c>
      <c r="C74" s="220"/>
      <c r="D74" s="134" t="s">
        <v>1678</v>
      </c>
      <c r="E74" s="134" t="str">
        <f>vlookup(D74,CNPJ!A63:B260,2,FAlse)</f>
        <v>50.276.237/0001-78</v>
      </c>
      <c r="F74" s="246">
        <v>144374.0</v>
      </c>
      <c r="G74" s="247">
        <v>1704.0</v>
      </c>
      <c r="H74" s="225">
        <v>45078.0</v>
      </c>
      <c r="I74" s="134" t="s">
        <v>1726</v>
      </c>
      <c r="J74" s="220"/>
      <c r="K74" s="134" t="b">
        <v>1</v>
      </c>
      <c r="L74" s="247">
        <f t="shared" si="3"/>
        <v>852</v>
      </c>
      <c r="M74" s="248"/>
      <c r="N74" s="108" t="b">
        <f t="shared" si="4"/>
        <v>0</v>
      </c>
      <c r="O74" s="229">
        <f t="shared" si="5"/>
        <v>1</v>
      </c>
      <c r="P74" s="163" t="str">
        <f t="shared" ref="P74:X74" si="73">iferror(if(P$9=FALSE,, if(if(search(P$11,$B74,1)&gt;0,1,0)=1,$G74/$O74,)),"")</f>
        <v/>
      </c>
      <c r="Q74" s="163" t="str">
        <f t="shared" si="73"/>
        <v/>
      </c>
      <c r="R74" s="163" t="str">
        <f t="shared" si="73"/>
        <v/>
      </c>
      <c r="S74" s="163" t="str">
        <f t="shared" si="73"/>
        <v/>
      </c>
      <c r="T74" s="163" t="str">
        <f t="shared" si="73"/>
        <v/>
      </c>
      <c r="U74" s="163" t="str">
        <f t="shared" si="73"/>
        <v/>
      </c>
      <c r="V74" s="163" t="str">
        <f t="shared" si="73"/>
        <v/>
      </c>
      <c r="W74" s="163" t="str">
        <f t="shared" si="73"/>
        <v/>
      </c>
      <c r="X74" s="163" t="str">
        <f t="shared" si="73"/>
        <v/>
      </c>
      <c r="Y74" s="250">
        <v>852.0</v>
      </c>
      <c r="Z74" s="163" t="str">
        <f t="shared" ref="Z74:AW74" si="74">iferror(if(Z$9=FALSE,, if(if(search(Z$11,$B74,1)&gt;0,1,0)=1,$G74/$O74,)),"")</f>
        <v/>
      </c>
      <c r="AA74" s="163" t="str">
        <f t="shared" si="74"/>
        <v/>
      </c>
      <c r="AB74" s="163" t="str">
        <f t="shared" si="74"/>
        <v/>
      </c>
      <c r="AC74" s="163" t="str">
        <f t="shared" si="74"/>
        <v/>
      </c>
      <c r="AD74" s="163" t="str">
        <f t="shared" si="74"/>
        <v/>
      </c>
      <c r="AE74" s="163" t="str">
        <f t="shared" si="74"/>
        <v/>
      </c>
      <c r="AF74" s="163" t="str">
        <f t="shared" si="74"/>
        <v/>
      </c>
      <c r="AG74" s="163" t="str">
        <f t="shared" si="74"/>
        <v/>
      </c>
      <c r="AH74" s="163" t="str">
        <f t="shared" si="74"/>
        <v/>
      </c>
      <c r="AI74" s="163" t="str">
        <f t="shared" si="74"/>
        <v/>
      </c>
      <c r="AJ74" s="163" t="str">
        <f t="shared" si="74"/>
        <v/>
      </c>
      <c r="AK74" s="163" t="str">
        <f t="shared" si="74"/>
        <v/>
      </c>
      <c r="AL74" s="163" t="str">
        <f t="shared" si="74"/>
        <v/>
      </c>
      <c r="AM74" s="163" t="str">
        <f t="shared" si="74"/>
        <v/>
      </c>
      <c r="AN74" s="163" t="str">
        <f t="shared" si="74"/>
        <v/>
      </c>
      <c r="AO74" s="163" t="str">
        <f t="shared" si="74"/>
        <v/>
      </c>
      <c r="AP74" s="163" t="str">
        <f t="shared" si="74"/>
        <v/>
      </c>
      <c r="AQ74" s="163" t="str">
        <f t="shared" si="74"/>
        <v/>
      </c>
      <c r="AR74" s="163" t="str">
        <f t="shared" si="74"/>
        <v/>
      </c>
      <c r="AS74" s="163" t="str">
        <f t="shared" si="74"/>
        <v/>
      </c>
      <c r="AT74" s="163" t="str">
        <f t="shared" si="74"/>
        <v/>
      </c>
      <c r="AU74" s="163" t="str">
        <f t="shared" si="74"/>
        <v/>
      </c>
      <c r="AV74" s="163" t="str">
        <f t="shared" si="74"/>
        <v/>
      </c>
      <c r="AW74" s="163" t="str">
        <f t="shared" si="74"/>
        <v/>
      </c>
    </row>
    <row r="75">
      <c r="A75" s="108"/>
      <c r="B75" s="144" t="s">
        <v>59</v>
      </c>
      <c r="C75" s="220"/>
      <c r="D75" s="134" t="s">
        <v>1733</v>
      </c>
      <c r="E75" s="134" t="str">
        <f>vlookup(D75,CNPJ!A64:B261,2,FAlse)</f>
        <v>02.908.901/0001-12</v>
      </c>
      <c r="F75" s="246">
        <v>6505.0</v>
      </c>
      <c r="G75" s="247">
        <v>745.45</v>
      </c>
      <c r="H75" s="225">
        <v>45070.0</v>
      </c>
      <c r="I75" s="134" t="s">
        <v>1734</v>
      </c>
      <c r="J75" s="220"/>
      <c r="K75" s="134" t="b">
        <v>0</v>
      </c>
      <c r="L75" s="247">
        <f t="shared" si="3"/>
        <v>0</v>
      </c>
      <c r="M75" s="248"/>
      <c r="N75" s="108" t="b">
        <f t="shared" si="4"/>
        <v>0</v>
      </c>
      <c r="O75" s="229">
        <f t="shared" si="5"/>
        <v>0</v>
      </c>
      <c r="P75" s="163" t="str">
        <f t="shared" ref="P75:AW75" si="75">iferror(if(P$9=FALSE,, if(if(search(P$11,$B75,1)&gt;0,1,0)=1,$G75/$O75,)),"")</f>
        <v/>
      </c>
      <c r="Q75" s="163" t="str">
        <f t="shared" si="75"/>
        <v/>
      </c>
      <c r="R75" s="163" t="str">
        <f t="shared" si="75"/>
        <v/>
      </c>
      <c r="S75" s="163" t="str">
        <f t="shared" si="75"/>
        <v/>
      </c>
      <c r="T75" s="163" t="str">
        <f t="shared" si="75"/>
        <v/>
      </c>
      <c r="U75" s="163" t="str">
        <f t="shared" si="75"/>
        <v/>
      </c>
      <c r="V75" s="163" t="str">
        <f t="shared" si="75"/>
        <v/>
      </c>
      <c r="W75" s="163" t="str">
        <f t="shared" si="75"/>
        <v/>
      </c>
      <c r="X75" s="163" t="str">
        <f t="shared" si="75"/>
        <v/>
      </c>
      <c r="Y75" s="163" t="str">
        <f t="shared" si="75"/>
        <v/>
      </c>
      <c r="Z75" s="163" t="str">
        <f t="shared" si="75"/>
        <v/>
      </c>
      <c r="AA75" s="163" t="str">
        <f t="shared" si="75"/>
        <v/>
      </c>
      <c r="AB75" s="163" t="str">
        <f t="shared" si="75"/>
        <v/>
      </c>
      <c r="AC75" s="163" t="str">
        <f t="shared" si="75"/>
        <v/>
      </c>
      <c r="AD75" s="163" t="str">
        <f t="shared" si="75"/>
        <v/>
      </c>
      <c r="AE75" s="163" t="str">
        <f t="shared" si="75"/>
        <v/>
      </c>
      <c r="AF75" s="163" t="str">
        <f t="shared" si="75"/>
        <v/>
      </c>
      <c r="AG75" s="163" t="str">
        <f t="shared" si="75"/>
        <v/>
      </c>
      <c r="AH75" s="163" t="str">
        <f t="shared" si="75"/>
        <v/>
      </c>
      <c r="AI75" s="163" t="str">
        <f t="shared" si="75"/>
        <v/>
      </c>
      <c r="AJ75" s="163" t="str">
        <f t="shared" si="75"/>
        <v/>
      </c>
      <c r="AK75" s="163" t="str">
        <f t="shared" si="75"/>
        <v/>
      </c>
      <c r="AL75" s="163" t="str">
        <f t="shared" si="75"/>
        <v/>
      </c>
      <c r="AM75" s="163" t="str">
        <f t="shared" si="75"/>
        <v/>
      </c>
      <c r="AN75" s="163" t="str">
        <f t="shared" si="75"/>
        <v/>
      </c>
      <c r="AO75" s="163" t="str">
        <f t="shared" si="75"/>
        <v/>
      </c>
      <c r="AP75" s="163" t="str">
        <f t="shared" si="75"/>
        <v/>
      </c>
      <c r="AQ75" s="163" t="str">
        <f t="shared" si="75"/>
        <v/>
      </c>
      <c r="AR75" s="163" t="str">
        <f t="shared" si="75"/>
        <v/>
      </c>
      <c r="AS75" s="163" t="str">
        <f t="shared" si="75"/>
        <v/>
      </c>
      <c r="AT75" s="163" t="str">
        <f t="shared" si="75"/>
        <v/>
      </c>
      <c r="AU75" s="163" t="str">
        <f t="shared" si="75"/>
        <v/>
      </c>
      <c r="AV75" s="163" t="str">
        <f t="shared" si="75"/>
        <v/>
      </c>
      <c r="AW75" s="163" t="str">
        <f t="shared" si="75"/>
        <v/>
      </c>
    </row>
    <row r="76">
      <c r="A76" s="108"/>
      <c r="B76" s="144" t="s">
        <v>290</v>
      </c>
      <c r="C76" s="220"/>
      <c r="D76" s="134" t="s">
        <v>1722</v>
      </c>
      <c r="E76" s="134" t="str">
        <f>vlookup(D76,CNPJ!A65:B262,2,FAlse)</f>
        <v>20.320.503/0001-51</v>
      </c>
      <c r="F76" s="246">
        <v>2.02300000001049E14</v>
      </c>
      <c r="G76" s="247">
        <v>9600.0</v>
      </c>
      <c r="H76" s="225">
        <v>45079.0</v>
      </c>
      <c r="I76" s="134" t="s">
        <v>1735</v>
      </c>
      <c r="J76" s="220"/>
      <c r="K76" s="134" t="b">
        <v>1</v>
      </c>
      <c r="L76" s="247">
        <f t="shared" si="3"/>
        <v>9600</v>
      </c>
      <c r="M76" s="248"/>
      <c r="N76" s="108" t="b">
        <f t="shared" si="4"/>
        <v>1</v>
      </c>
      <c r="O76" s="229">
        <f t="shared" si="5"/>
        <v>1</v>
      </c>
      <c r="P76" s="163">
        <f t="shared" ref="P76:AW76" si="76">iferror(if(P$9=FALSE,, if(if(search(P$11,$B76,1)&gt;0,1,0)=1,$G76/$O76,)),"")</f>
        <v>9600</v>
      </c>
      <c r="Q76" s="163" t="str">
        <f t="shared" si="76"/>
        <v/>
      </c>
      <c r="R76" s="163" t="str">
        <f t="shared" si="76"/>
        <v/>
      </c>
      <c r="S76" s="163" t="str">
        <f t="shared" si="76"/>
        <v/>
      </c>
      <c r="T76" s="163" t="str">
        <f t="shared" si="76"/>
        <v/>
      </c>
      <c r="U76" s="163" t="str">
        <f t="shared" si="76"/>
        <v/>
      </c>
      <c r="V76" s="163" t="str">
        <f t="shared" si="76"/>
        <v/>
      </c>
      <c r="W76" s="163" t="str">
        <f t="shared" si="76"/>
        <v/>
      </c>
      <c r="X76" s="163" t="str">
        <f t="shared" si="76"/>
        <v/>
      </c>
      <c r="Y76" s="163" t="str">
        <f t="shared" si="76"/>
        <v/>
      </c>
      <c r="Z76" s="163" t="str">
        <f t="shared" si="76"/>
        <v/>
      </c>
      <c r="AA76" s="163" t="str">
        <f t="shared" si="76"/>
        <v/>
      </c>
      <c r="AB76" s="163" t="str">
        <f t="shared" si="76"/>
        <v/>
      </c>
      <c r="AC76" s="163" t="str">
        <f t="shared" si="76"/>
        <v/>
      </c>
      <c r="AD76" s="163" t="str">
        <f t="shared" si="76"/>
        <v/>
      </c>
      <c r="AE76" s="163" t="str">
        <f t="shared" si="76"/>
        <v/>
      </c>
      <c r="AF76" s="163" t="str">
        <f t="shared" si="76"/>
        <v/>
      </c>
      <c r="AG76" s="163" t="str">
        <f t="shared" si="76"/>
        <v/>
      </c>
      <c r="AH76" s="163" t="str">
        <f t="shared" si="76"/>
        <v/>
      </c>
      <c r="AI76" s="163" t="str">
        <f t="shared" si="76"/>
        <v/>
      </c>
      <c r="AJ76" s="163" t="str">
        <f t="shared" si="76"/>
        <v/>
      </c>
      <c r="AK76" s="163" t="str">
        <f t="shared" si="76"/>
        <v/>
      </c>
      <c r="AL76" s="163" t="str">
        <f t="shared" si="76"/>
        <v/>
      </c>
      <c r="AM76" s="163" t="str">
        <f t="shared" si="76"/>
        <v/>
      </c>
      <c r="AN76" s="163" t="str">
        <f t="shared" si="76"/>
        <v/>
      </c>
      <c r="AO76" s="163" t="str">
        <f t="shared" si="76"/>
        <v/>
      </c>
      <c r="AP76" s="163" t="str">
        <f t="shared" si="76"/>
        <v/>
      </c>
      <c r="AQ76" s="163" t="str">
        <f t="shared" si="76"/>
        <v/>
      </c>
      <c r="AR76" s="163" t="str">
        <f t="shared" si="76"/>
        <v/>
      </c>
      <c r="AS76" s="163" t="str">
        <f t="shared" si="76"/>
        <v/>
      </c>
      <c r="AT76" s="163" t="str">
        <f t="shared" si="76"/>
        <v/>
      </c>
      <c r="AU76" s="163" t="str">
        <f t="shared" si="76"/>
        <v/>
      </c>
      <c r="AV76" s="163" t="str">
        <f t="shared" si="76"/>
        <v/>
      </c>
      <c r="AW76" s="163" t="str">
        <f t="shared" si="76"/>
        <v/>
      </c>
    </row>
    <row r="77">
      <c r="A77" s="108"/>
      <c r="B77" s="144" t="s">
        <v>54</v>
      </c>
      <c r="C77" s="220"/>
      <c r="D77" s="134" t="s">
        <v>1683</v>
      </c>
      <c r="E77" s="134" t="str">
        <f>vlookup(D77,CNPJ!A66:B263,2,FAlse)</f>
        <v>09.296.295/0001-60</v>
      </c>
      <c r="F77" s="246" t="s">
        <v>1684</v>
      </c>
      <c r="G77" s="247">
        <v>1910.31</v>
      </c>
      <c r="H77" s="225">
        <v>45082.0</v>
      </c>
      <c r="I77" s="134" t="s">
        <v>1736</v>
      </c>
      <c r="J77" s="220"/>
      <c r="K77" s="134" t="b">
        <v>1</v>
      </c>
      <c r="L77" s="247">
        <f t="shared" si="3"/>
        <v>0</v>
      </c>
      <c r="M77" s="248" t="s">
        <v>1707</v>
      </c>
      <c r="N77" s="108" t="b">
        <f t="shared" si="4"/>
        <v>0</v>
      </c>
      <c r="O77" s="229">
        <f t="shared" si="5"/>
        <v>1</v>
      </c>
      <c r="P77" s="163" t="str">
        <f t="shared" ref="P77:X77" si="77">iferror(if(P$9=FALSE,, if(if(search(P$11,$B77,1)&gt;0,1,0)=1,$G77/$O77,)),"")</f>
        <v/>
      </c>
      <c r="Q77" s="163" t="str">
        <f t="shared" si="77"/>
        <v/>
      </c>
      <c r="R77" s="163" t="str">
        <f t="shared" si="77"/>
        <v/>
      </c>
      <c r="S77" s="163" t="str">
        <f t="shared" si="77"/>
        <v/>
      </c>
      <c r="T77" s="163" t="str">
        <f t="shared" si="77"/>
        <v/>
      </c>
      <c r="U77" s="163" t="str">
        <f t="shared" si="77"/>
        <v/>
      </c>
      <c r="V77" s="163" t="str">
        <f t="shared" si="77"/>
        <v/>
      </c>
      <c r="W77" s="163" t="str">
        <f t="shared" si="77"/>
        <v/>
      </c>
      <c r="X77" s="163" t="str">
        <f t="shared" si="77"/>
        <v/>
      </c>
      <c r="Y77" s="250">
        <v>0.0</v>
      </c>
      <c r="Z77" s="163" t="str">
        <f t="shared" ref="Z77:AW77" si="78">iferror(if(Z$9=FALSE,, if(if(search(Z$11,$B77,1)&gt;0,1,0)=1,$G77/$O77,)),"")</f>
        <v/>
      </c>
      <c r="AA77" s="163" t="str">
        <f t="shared" si="78"/>
        <v/>
      </c>
      <c r="AB77" s="163" t="str">
        <f t="shared" si="78"/>
        <v/>
      </c>
      <c r="AC77" s="163" t="str">
        <f t="shared" si="78"/>
        <v/>
      </c>
      <c r="AD77" s="163" t="str">
        <f t="shared" si="78"/>
        <v/>
      </c>
      <c r="AE77" s="163" t="str">
        <f t="shared" si="78"/>
        <v/>
      </c>
      <c r="AF77" s="163" t="str">
        <f t="shared" si="78"/>
        <v/>
      </c>
      <c r="AG77" s="163" t="str">
        <f t="shared" si="78"/>
        <v/>
      </c>
      <c r="AH77" s="163" t="str">
        <f t="shared" si="78"/>
        <v/>
      </c>
      <c r="AI77" s="163" t="str">
        <f t="shared" si="78"/>
        <v/>
      </c>
      <c r="AJ77" s="163" t="str">
        <f t="shared" si="78"/>
        <v/>
      </c>
      <c r="AK77" s="163" t="str">
        <f t="shared" si="78"/>
        <v/>
      </c>
      <c r="AL77" s="163" t="str">
        <f t="shared" si="78"/>
        <v/>
      </c>
      <c r="AM77" s="163" t="str">
        <f t="shared" si="78"/>
        <v/>
      </c>
      <c r="AN77" s="163" t="str">
        <f t="shared" si="78"/>
        <v/>
      </c>
      <c r="AO77" s="163" t="str">
        <f t="shared" si="78"/>
        <v/>
      </c>
      <c r="AP77" s="163" t="str">
        <f t="shared" si="78"/>
        <v/>
      </c>
      <c r="AQ77" s="163" t="str">
        <f t="shared" si="78"/>
        <v/>
      </c>
      <c r="AR77" s="163" t="str">
        <f t="shared" si="78"/>
        <v/>
      </c>
      <c r="AS77" s="163" t="str">
        <f t="shared" si="78"/>
        <v/>
      </c>
      <c r="AT77" s="163" t="str">
        <f t="shared" si="78"/>
        <v/>
      </c>
      <c r="AU77" s="163" t="str">
        <f t="shared" si="78"/>
        <v/>
      </c>
      <c r="AV77" s="163" t="str">
        <f t="shared" si="78"/>
        <v/>
      </c>
      <c r="AW77" s="163" t="str">
        <f t="shared" si="78"/>
        <v/>
      </c>
    </row>
    <row r="78">
      <c r="A78" s="108"/>
      <c r="B78" s="144" t="s">
        <v>59</v>
      </c>
      <c r="C78" s="220"/>
      <c r="D78" s="134" t="s">
        <v>1667</v>
      </c>
      <c r="E78" s="134" t="str">
        <f>vlookup(D78,CNPJ!A67:B264,2,FAlse)</f>
        <v>08.183.359/0003-15</v>
      </c>
      <c r="F78" s="246">
        <v>73540.0</v>
      </c>
      <c r="G78" s="247">
        <v>112.0</v>
      </c>
      <c r="H78" s="225">
        <v>45083.0</v>
      </c>
      <c r="I78" s="134" t="s">
        <v>1668</v>
      </c>
      <c r="J78" s="220"/>
      <c r="K78" s="134" t="b">
        <v>0</v>
      </c>
      <c r="L78" s="247">
        <f t="shared" si="3"/>
        <v>0</v>
      </c>
      <c r="M78" s="248"/>
      <c r="N78" s="108" t="b">
        <f t="shared" si="4"/>
        <v>0</v>
      </c>
      <c r="O78" s="229">
        <f t="shared" si="5"/>
        <v>0</v>
      </c>
      <c r="P78" s="163" t="str">
        <f t="shared" ref="P78:AW78" si="79">iferror(if(P$9=FALSE,, if(if(search(P$11,$B78,1)&gt;0,1,0)=1,$G78/$O78,)),"")</f>
        <v/>
      </c>
      <c r="Q78" s="163" t="str">
        <f t="shared" si="79"/>
        <v/>
      </c>
      <c r="R78" s="163" t="str">
        <f t="shared" si="79"/>
        <v/>
      </c>
      <c r="S78" s="163" t="str">
        <f t="shared" si="79"/>
        <v/>
      </c>
      <c r="T78" s="163" t="str">
        <f t="shared" si="79"/>
        <v/>
      </c>
      <c r="U78" s="163" t="str">
        <f t="shared" si="79"/>
        <v/>
      </c>
      <c r="V78" s="163" t="str">
        <f t="shared" si="79"/>
        <v/>
      </c>
      <c r="W78" s="163" t="str">
        <f t="shared" si="79"/>
        <v/>
      </c>
      <c r="X78" s="163" t="str">
        <f t="shared" si="79"/>
        <v/>
      </c>
      <c r="Y78" s="163" t="str">
        <f t="shared" si="79"/>
        <v/>
      </c>
      <c r="Z78" s="163" t="str">
        <f t="shared" si="79"/>
        <v/>
      </c>
      <c r="AA78" s="163" t="str">
        <f t="shared" si="79"/>
        <v/>
      </c>
      <c r="AB78" s="163" t="str">
        <f t="shared" si="79"/>
        <v/>
      </c>
      <c r="AC78" s="163" t="str">
        <f t="shared" si="79"/>
        <v/>
      </c>
      <c r="AD78" s="163" t="str">
        <f t="shared" si="79"/>
        <v/>
      </c>
      <c r="AE78" s="163" t="str">
        <f t="shared" si="79"/>
        <v/>
      </c>
      <c r="AF78" s="163" t="str">
        <f t="shared" si="79"/>
        <v/>
      </c>
      <c r="AG78" s="163" t="str">
        <f t="shared" si="79"/>
        <v/>
      </c>
      <c r="AH78" s="163" t="str">
        <f t="shared" si="79"/>
        <v/>
      </c>
      <c r="AI78" s="163" t="str">
        <f t="shared" si="79"/>
        <v/>
      </c>
      <c r="AJ78" s="163" t="str">
        <f t="shared" si="79"/>
        <v/>
      </c>
      <c r="AK78" s="163" t="str">
        <f t="shared" si="79"/>
        <v/>
      </c>
      <c r="AL78" s="163" t="str">
        <f t="shared" si="79"/>
        <v/>
      </c>
      <c r="AM78" s="163" t="str">
        <f t="shared" si="79"/>
        <v/>
      </c>
      <c r="AN78" s="163" t="str">
        <f t="shared" si="79"/>
        <v/>
      </c>
      <c r="AO78" s="163" t="str">
        <f t="shared" si="79"/>
        <v/>
      </c>
      <c r="AP78" s="163" t="str">
        <f t="shared" si="79"/>
        <v/>
      </c>
      <c r="AQ78" s="163" t="str">
        <f t="shared" si="79"/>
        <v/>
      </c>
      <c r="AR78" s="163" t="str">
        <f t="shared" si="79"/>
        <v/>
      </c>
      <c r="AS78" s="163" t="str">
        <f t="shared" si="79"/>
        <v/>
      </c>
      <c r="AT78" s="163" t="str">
        <f t="shared" si="79"/>
        <v/>
      </c>
      <c r="AU78" s="163" t="str">
        <f t="shared" si="79"/>
        <v/>
      </c>
      <c r="AV78" s="163" t="str">
        <f t="shared" si="79"/>
        <v/>
      </c>
      <c r="AW78" s="163" t="str">
        <f t="shared" si="79"/>
        <v/>
      </c>
    </row>
    <row r="79">
      <c r="A79" s="108"/>
      <c r="B79" s="144" t="s">
        <v>61</v>
      </c>
      <c r="C79" s="220"/>
      <c r="D79" s="134" t="s">
        <v>1648</v>
      </c>
      <c r="E79" s="134" t="str">
        <f>vlookup(D79,CNPJ!A68:B265,2,FAlse)</f>
        <v>04.329.668/0001-38</v>
      </c>
      <c r="F79" s="246">
        <v>218402.0</v>
      </c>
      <c r="G79" s="247">
        <v>10664.98</v>
      </c>
      <c r="H79" s="225">
        <v>45082.0</v>
      </c>
      <c r="I79" s="134" t="s">
        <v>1737</v>
      </c>
      <c r="J79" s="220"/>
      <c r="K79" s="134" t="b">
        <v>1</v>
      </c>
      <c r="L79" s="247">
        <f t="shared" si="3"/>
        <v>10664.98</v>
      </c>
      <c r="M79" s="248"/>
      <c r="N79" s="108" t="b">
        <f t="shared" si="4"/>
        <v>1</v>
      </c>
      <c r="O79" s="229">
        <f t="shared" si="5"/>
        <v>1</v>
      </c>
      <c r="P79" s="163" t="str">
        <f t="shared" ref="P79:AW79" si="80">iferror(if(P$9=FALSE,, if(if(search(P$11,$B79,1)&gt;0,1,0)=1,$G79/$O79,)),"")</f>
        <v/>
      </c>
      <c r="Q79" s="163" t="str">
        <f t="shared" si="80"/>
        <v/>
      </c>
      <c r="R79" s="163" t="str">
        <f t="shared" si="80"/>
        <v/>
      </c>
      <c r="S79" s="163" t="str">
        <f t="shared" si="80"/>
        <v/>
      </c>
      <c r="T79" s="163" t="str">
        <f t="shared" si="80"/>
        <v/>
      </c>
      <c r="U79" s="163" t="str">
        <f t="shared" si="80"/>
        <v/>
      </c>
      <c r="V79" s="163" t="str">
        <f t="shared" si="80"/>
        <v/>
      </c>
      <c r="W79" s="163" t="str">
        <f t="shared" si="80"/>
        <v/>
      </c>
      <c r="X79" s="163" t="str">
        <f t="shared" si="80"/>
        <v/>
      </c>
      <c r="Y79" s="163" t="str">
        <f t="shared" si="80"/>
        <v/>
      </c>
      <c r="Z79" s="163" t="str">
        <f t="shared" si="80"/>
        <v/>
      </c>
      <c r="AA79" s="163" t="str">
        <f t="shared" si="80"/>
        <v/>
      </c>
      <c r="AB79" s="163" t="str">
        <f t="shared" si="80"/>
        <v/>
      </c>
      <c r="AC79" s="163" t="str">
        <f t="shared" si="80"/>
        <v/>
      </c>
      <c r="AD79" s="163" t="str">
        <f t="shared" si="80"/>
        <v/>
      </c>
      <c r="AE79" s="163" t="str">
        <f t="shared" si="80"/>
        <v/>
      </c>
      <c r="AF79" s="163" t="str">
        <f t="shared" si="80"/>
        <v/>
      </c>
      <c r="AG79" s="163" t="str">
        <f t="shared" si="80"/>
        <v/>
      </c>
      <c r="AH79" s="163" t="str">
        <f t="shared" si="80"/>
        <v/>
      </c>
      <c r="AI79" s="163" t="str">
        <f t="shared" si="80"/>
        <v/>
      </c>
      <c r="AJ79" s="163" t="str">
        <f t="shared" si="80"/>
        <v/>
      </c>
      <c r="AK79" s="163" t="str">
        <f t="shared" si="80"/>
        <v/>
      </c>
      <c r="AL79" s="163" t="str">
        <f t="shared" si="80"/>
        <v/>
      </c>
      <c r="AM79" s="163" t="str">
        <f t="shared" si="80"/>
        <v/>
      </c>
      <c r="AN79" s="163">
        <f t="shared" si="80"/>
        <v>10664.98</v>
      </c>
      <c r="AO79" s="163" t="str">
        <f t="shared" si="80"/>
        <v/>
      </c>
      <c r="AP79" s="163" t="str">
        <f t="shared" si="80"/>
        <v/>
      </c>
      <c r="AQ79" s="163" t="str">
        <f t="shared" si="80"/>
        <v/>
      </c>
      <c r="AR79" s="163" t="str">
        <f t="shared" si="80"/>
        <v/>
      </c>
      <c r="AS79" s="163" t="str">
        <f t="shared" si="80"/>
        <v/>
      </c>
      <c r="AT79" s="163" t="str">
        <f t="shared" si="80"/>
        <v/>
      </c>
      <c r="AU79" s="163" t="str">
        <f t="shared" si="80"/>
        <v/>
      </c>
      <c r="AV79" s="163" t="str">
        <f t="shared" si="80"/>
        <v/>
      </c>
      <c r="AW79" s="163" t="str">
        <f t="shared" si="80"/>
        <v/>
      </c>
    </row>
    <row r="80">
      <c r="A80" s="108"/>
      <c r="B80" s="144" t="s">
        <v>54</v>
      </c>
      <c r="C80" s="220"/>
      <c r="D80" s="134" t="s">
        <v>1648</v>
      </c>
      <c r="E80" s="134" t="str">
        <f>vlookup(D80,CNPJ!A69:B266,2,FAlse)</f>
        <v>04.329.668/0001-38</v>
      </c>
      <c r="F80" s="249">
        <v>218964.0</v>
      </c>
      <c r="G80" s="247">
        <v>29104.5</v>
      </c>
      <c r="H80" s="225">
        <v>45090.0</v>
      </c>
      <c r="I80" s="134" t="s">
        <v>1737</v>
      </c>
      <c r="J80" s="220"/>
      <c r="K80" s="134" t="b">
        <v>1</v>
      </c>
      <c r="L80" s="247">
        <f t="shared" si="3"/>
        <v>29104.5</v>
      </c>
      <c r="M80" s="248"/>
      <c r="N80" s="108" t="b">
        <f t="shared" si="4"/>
        <v>1</v>
      </c>
      <c r="O80" s="229">
        <f t="shared" si="5"/>
        <v>1</v>
      </c>
      <c r="P80" s="163" t="str">
        <f t="shared" ref="P80:AW80" si="81">iferror(if(P$9=FALSE,, if(if(search(P$11,$B80,1)&gt;0,1,0)=1,$G80/$O80,)),"")</f>
        <v/>
      </c>
      <c r="Q80" s="163" t="str">
        <f t="shared" si="81"/>
        <v/>
      </c>
      <c r="R80" s="163" t="str">
        <f t="shared" si="81"/>
        <v/>
      </c>
      <c r="S80" s="163" t="str">
        <f t="shared" si="81"/>
        <v/>
      </c>
      <c r="T80" s="163" t="str">
        <f t="shared" si="81"/>
        <v/>
      </c>
      <c r="U80" s="163" t="str">
        <f t="shared" si="81"/>
        <v/>
      </c>
      <c r="V80" s="163" t="str">
        <f t="shared" si="81"/>
        <v/>
      </c>
      <c r="W80" s="163" t="str">
        <f t="shared" si="81"/>
        <v/>
      </c>
      <c r="X80" s="163" t="str">
        <f t="shared" si="81"/>
        <v/>
      </c>
      <c r="Y80" s="163">
        <f t="shared" si="81"/>
        <v>29104.5</v>
      </c>
      <c r="Z80" s="163" t="str">
        <f t="shared" si="81"/>
        <v/>
      </c>
      <c r="AA80" s="163" t="str">
        <f t="shared" si="81"/>
        <v/>
      </c>
      <c r="AB80" s="163" t="str">
        <f t="shared" si="81"/>
        <v/>
      </c>
      <c r="AC80" s="163" t="str">
        <f t="shared" si="81"/>
        <v/>
      </c>
      <c r="AD80" s="163" t="str">
        <f t="shared" si="81"/>
        <v/>
      </c>
      <c r="AE80" s="163" t="str">
        <f t="shared" si="81"/>
        <v/>
      </c>
      <c r="AF80" s="163" t="str">
        <f t="shared" si="81"/>
        <v/>
      </c>
      <c r="AG80" s="163" t="str">
        <f t="shared" si="81"/>
        <v/>
      </c>
      <c r="AH80" s="163" t="str">
        <f t="shared" si="81"/>
        <v/>
      </c>
      <c r="AI80" s="163" t="str">
        <f t="shared" si="81"/>
        <v/>
      </c>
      <c r="AJ80" s="163" t="str">
        <f t="shared" si="81"/>
        <v/>
      </c>
      <c r="AK80" s="163" t="str">
        <f t="shared" si="81"/>
        <v/>
      </c>
      <c r="AL80" s="163" t="str">
        <f t="shared" si="81"/>
        <v/>
      </c>
      <c r="AM80" s="163" t="str">
        <f t="shared" si="81"/>
        <v/>
      </c>
      <c r="AN80" s="163" t="str">
        <f t="shared" si="81"/>
        <v/>
      </c>
      <c r="AO80" s="163" t="str">
        <f t="shared" si="81"/>
        <v/>
      </c>
      <c r="AP80" s="163" t="str">
        <f t="shared" si="81"/>
        <v/>
      </c>
      <c r="AQ80" s="163" t="str">
        <f t="shared" si="81"/>
        <v/>
      </c>
      <c r="AR80" s="163" t="str">
        <f t="shared" si="81"/>
        <v/>
      </c>
      <c r="AS80" s="163" t="str">
        <f t="shared" si="81"/>
        <v/>
      </c>
      <c r="AT80" s="163" t="str">
        <f t="shared" si="81"/>
        <v/>
      </c>
      <c r="AU80" s="163" t="str">
        <f t="shared" si="81"/>
        <v/>
      </c>
      <c r="AV80" s="163" t="str">
        <f t="shared" si="81"/>
        <v/>
      </c>
      <c r="AW80" s="163" t="str">
        <f t="shared" si="81"/>
        <v/>
      </c>
    </row>
    <row r="81">
      <c r="A81" s="108"/>
      <c r="B81" s="144" t="s">
        <v>433</v>
      </c>
      <c r="C81" s="220"/>
      <c r="D81" s="134" t="s">
        <v>1650</v>
      </c>
      <c r="E81" s="134" t="str">
        <f>vlookup(D81,CNPJ!A70:B267,2,FAlse)</f>
        <v>20.618.029/0001-49</v>
      </c>
      <c r="F81" s="246">
        <v>71198.0</v>
      </c>
      <c r="G81" s="247">
        <v>139.51</v>
      </c>
      <c r="H81" s="225">
        <v>45096.0</v>
      </c>
      <c r="I81" s="134" t="s">
        <v>1717</v>
      </c>
      <c r="J81" s="220"/>
      <c r="K81" s="134" t="b">
        <v>1</v>
      </c>
      <c r="L81" s="247">
        <f t="shared" si="3"/>
        <v>0</v>
      </c>
      <c r="M81" s="248"/>
      <c r="N81" s="108" t="b">
        <f t="shared" si="4"/>
        <v>0</v>
      </c>
      <c r="O81" s="229">
        <f t="shared" si="5"/>
        <v>1</v>
      </c>
      <c r="P81" s="163" t="str">
        <f t="shared" ref="P81:AW81" si="82">iferror(if(P$9=FALSE,, if(if(search(P$11,$B81,1)&gt;0,1,0)=1,$G81/$O81,)),"")</f>
        <v/>
      </c>
      <c r="Q81" s="163" t="str">
        <f t="shared" si="82"/>
        <v/>
      </c>
      <c r="R81" s="163" t="str">
        <f t="shared" si="82"/>
        <v/>
      </c>
      <c r="S81" s="163" t="str">
        <f t="shared" si="82"/>
        <v/>
      </c>
      <c r="T81" s="163" t="str">
        <f t="shared" si="82"/>
        <v/>
      </c>
      <c r="U81" s="163" t="str">
        <f t="shared" si="82"/>
        <v/>
      </c>
      <c r="V81" s="163" t="str">
        <f t="shared" si="82"/>
        <v/>
      </c>
      <c r="W81" s="163" t="str">
        <f t="shared" si="82"/>
        <v/>
      </c>
      <c r="X81" s="163" t="str">
        <f t="shared" si="82"/>
        <v/>
      </c>
      <c r="Y81" s="163" t="str">
        <f t="shared" si="82"/>
        <v/>
      </c>
      <c r="Z81" s="163" t="str">
        <f t="shared" si="82"/>
        <v/>
      </c>
      <c r="AA81" s="163" t="str">
        <f t="shared" si="82"/>
        <v/>
      </c>
      <c r="AB81" s="163" t="str">
        <f t="shared" si="82"/>
        <v/>
      </c>
      <c r="AC81" s="163" t="str">
        <f t="shared" si="82"/>
        <v/>
      </c>
      <c r="AD81" s="163" t="str">
        <f t="shared" si="82"/>
        <v/>
      </c>
      <c r="AE81" s="163" t="str">
        <f t="shared" si="82"/>
        <v/>
      </c>
      <c r="AF81" s="163" t="str">
        <f t="shared" si="82"/>
        <v/>
      </c>
      <c r="AG81" s="163" t="str">
        <f t="shared" si="82"/>
        <v/>
      </c>
      <c r="AH81" s="163" t="str">
        <f t="shared" si="82"/>
        <v/>
      </c>
      <c r="AI81" s="163" t="str">
        <f t="shared" si="82"/>
        <v/>
      </c>
      <c r="AJ81" s="163" t="str">
        <f t="shared" si="82"/>
        <v/>
      </c>
      <c r="AK81" s="163" t="str">
        <f t="shared" si="82"/>
        <v/>
      </c>
      <c r="AL81" s="163" t="str">
        <f t="shared" si="82"/>
        <v/>
      </c>
      <c r="AM81" s="163" t="str">
        <f t="shared" si="82"/>
        <v/>
      </c>
      <c r="AN81" s="163" t="str">
        <f t="shared" si="82"/>
        <v/>
      </c>
      <c r="AO81" s="163" t="str">
        <f t="shared" si="82"/>
        <v/>
      </c>
      <c r="AP81" s="163" t="str">
        <f t="shared" si="82"/>
        <v/>
      </c>
      <c r="AQ81" s="163" t="str">
        <f t="shared" si="82"/>
        <v/>
      </c>
      <c r="AR81" s="163" t="str">
        <f t="shared" si="82"/>
        <v/>
      </c>
      <c r="AS81" s="163" t="str">
        <f t="shared" si="82"/>
        <v/>
      </c>
      <c r="AT81" s="163" t="str">
        <f t="shared" si="82"/>
        <v/>
      </c>
      <c r="AU81" s="163" t="str">
        <f t="shared" si="82"/>
        <v/>
      </c>
      <c r="AV81" s="163" t="str">
        <f t="shared" si="82"/>
        <v/>
      </c>
      <c r="AW81" s="163" t="str">
        <f t="shared" si="82"/>
        <v/>
      </c>
    </row>
    <row r="82">
      <c r="A82" s="108"/>
      <c r="B82" s="144" t="s">
        <v>58</v>
      </c>
      <c r="C82" s="134"/>
      <c r="D82" s="134" t="s">
        <v>1665</v>
      </c>
      <c r="E82" s="134" t="str">
        <f>vlookup(D82,CNPJ!A71:B268,2,FAlse)</f>
        <v>00.799.205/0001-89</v>
      </c>
      <c r="F82" s="246">
        <v>111704.0</v>
      </c>
      <c r="G82" s="247">
        <v>1476.0</v>
      </c>
      <c r="H82" s="225">
        <v>45076.0</v>
      </c>
      <c r="I82" s="134" t="s">
        <v>1666</v>
      </c>
      <c r="J82" s="220"/>
      <c r="K82" s="134" t="b">
        <v>1</v>
      </c>
      <c r="L82" s="247">
        <f t="shared" si="3"/>
        <v>1476</v>
      </c>
      <c r="M82" s="248"/>
      <c r="N82" s="108" t="b">
        <f t="shared" si="4"/>
        <v>1</v>
      </c>
      <c r="O82" s="229">
        <f t="shared" si="5"/>
        <v>1</v>
      </c>
      <c r="P82" s="163" t="str">
        <f t="shared" ref="P82:AW82" si="83">iferror(if(P$9=FALSE,, if(if(search(P$11,$B82,1)&gt;0,1,0)=1,$G82/$O82,)),"")</f>
        <v/>
      </c>
      <c r="Q82" s="163" t="str">
        <f t="shared" si="83"/>
        <v/>
      </c>
      <c r="R82" s="163" t="str">
        <f t="shared" si="83"/>
        <v/>
      </c>
      <c r="S82" s="163" t="str">
        <f t="shared" si="83"/>
        <v/>
      </c>
      <c r="T82" s="163" t="str">
        <f t="shared" si="83"/>
        <v/>
      </c>
      <c r="U82" s="163" t="str">
        <f t="shared" si="83"/>
        <v/>
      </c>
      <c r="V82" s="163" t="str">
        <f t="shared" si="83"/>
        <v/>
      </c>
      <c r="W82" s="163" t="str">
        <f t="shared" si="83"/>
        <v/>
      </c>
      <c r="X82" s="163" t="str">
        <f t="shared" si="83"/>
        <v/>
      </c>
      <c r="Y82" s="163" t="str">
        <f t="shared" si="83"/>
        <v/>
      </c>
      <c r="Z82" s="163" t="str">
        <f t="shared" si="83"/>
        <v/>
      </c>
      <c r="AA82" s="163" t="str">
        <f t="shared" si="83"/>
        <v/>
      </c>
      <c r="AB82" s="163" t="str">
        <f t="shared" si="83"/>
        <v/>
      </c>
      <c r="AC82" s="163" t="str">
        <f t="shared" si="83"/>
        <v/>
      </c>
      <c r="AD82" s="163" t="str">
        <f t="shared" si="83"/>
        <v/>
      </c>
      <c r="AE82" s="163" t="str">
        <f t="shared" si="83"/>
        <v/>
      </c>
      <c r="AF82" s="163">
        <f t="shared" si="83"/>
        <v>1476</v>
      </c>
      <c r="AG82" s="163" t="str">
        <f t="shared" si="83"/>
        <v/>
      </c>
      <c r="AH82" s="163" t="str">
        <f t="shared" si="83"/>
        <v/>
      </c>
      <c r="AI82" s="163" t="str">
        <f t="shared" si="83"/>
        <v/>
      </c>
      <c r="AJ82" s="163" t="str">
        <f t="shared" si="83"/>
        <v/>
      </c>
      <c r="AK82" s="163" t="str">
        <f t="shared" si="83"/>
        <v/>
      </c>
      <c r="AL82" s="163" t="str">
        <f t="shared" si="83"/>
        <v/>
      </c>
      <c r="AM82" s="163" t="str">
        <f t="shared" si="83"/>
        <v/>
      </c>
      <c r="AN82" s="163" t="str">
        <f t="shared" si="83"/>
        <v/>
      </c>
      <c r="AO82" s="163" t="str">
        <f t="shared" si="83"/>
        <v/>
      </c>
      <c r="AP82" s="163" t="str">
        <f t="shared" si="83"/>
        <v/>
      </c>
      <c r="AQ82" s="163" t="str">
        <f t="shared" si="83"/>
        <v/>
      </c>
      <c r="AR82" s="163" t="str">
        <f t="shared" si="83"/>
        <v/>
      </c>
      <c r="AS82" s="163" t="str">
        <f t="shared" si="83"/>
        <v/>
      </c>
      <c r="AT82" s="163" t="str">
        <f t="shared" si="83"/>
        <v/>
      </c>
      <c r="AU82" s="163" t="str">
        <f t="shared" si="83"/>
        <v/>
      </c>
      <c r="AV82" s="163" t="str">
        <f t="shared" si="83"/>
        <v/>
      </c>
      <c r="AW82" s="163" t="str">
        <f t="shared" si="83"/>
        <v/>
      </c>
    </row>
    <row r="83">
      <c r="A83" s="108"/>
      <c r="B83" s="144" t="s">
        <v>59</v>
      </c>
      <c r="C83" s="220"/>
      <c r="D83" s="134" t="s">
        <v>1667</v>
      </c>
      <c r="E83" s="134" t="str">
        <f>vlookup(D83,CNPJ!A72:B269,2,FAlse)</f>
        <v>08.183.359/0003-15</v>
      </c>
      <c r="F83" s="246">
        <v>74249.0</v>
      </c>
      <c r="G83" s="247">
        <v>348.0</v>
      </c>
      <c r="H83" s="225">
        <v>45104.0</v>
      </c>
      <c r="I83" s="134" t="s">
        <v>1668</v>
      </c>
      <c r="J83" s="220"/>
      <c r="K83" s="134" t="b">
        <v>0</v>
      </c>
      <c r="L83" s="247">
        <f t="shared" si="3"/>
        <v>0</v>
      </c>
      <c r="M83" s="248"/>
      <c r="N83" s="108" t="b">
        <f t="shared" si="4"/>
        <v>0</v>
      </c>
      <c r="O83" s="229">
        <f t="shared" si="5"/>
        <v>0</v>
      </c>
      <c r="P83" s="163" t="str">
        <f t="shared" ref="P83:AW83" si="84">iferror(if(P$9=FALSE,, if(if(search(P$11,$B83,1)&gt;0,1,0)=1,$G83/$O83,)),"")</f>
        <v/>
      </c>
      <c r="Q83" s="163" t="str">
        <f t="shared" si="84"/>
        <v/>
      </c>
      <c r="R83" s="163" t="str">
        <f t="shared" si="84"/>
        <v/>
      </c>
      <c r="S83" s="163" t="str">
        <f t="shared" si="84"/>
        <v/>
      </c>
      <c r="T83" s="163" t="str">
        <f t="shared" si="84"/>
        <v/>
      </c>
      <c r="U83" s="163" t="str">
        <f t="shared" si="84"/>
        <v/>
      </c>
      <c r="V83" s="163" t="str">
        <f t="shared" si="84"/>
        <v/>
      </c>
      <c r="W83" s="163" t="str">
        <f t="shared" si="84"/>
        <v/>
      </c>
      <c r="X83" s="163" t="str">
        <f t="shared" si="84"/>
        <v/>
      </c>
      <c r="Y83" s="163" t="str">
        <f t="shared" si="84"/>
        <v/>
      </c>
      <c r="Z83" s="163" t="str">
        <f t="shared" si="84"/>
        <v/>
      </c>
      <c r="AA83" s="163" t="str">
        <f t="shared" si="84"/>
        <v/>
      </c>
      <c r="AB83" s="163" t="str">
        <f t="shared" si="84"/>
        <v/>
      </c>
      <c r="AC83" s="163" t="str">
        <f t="shared" si="84"/>
        <v/>
      </c>
      <c r="AD83" s="163" t="str">
        <f t="shared" si="84"/>
        <v/>
      </c>
      <c r="AE83" s="163" t="str">
        <f t="shared" si="84"/>
        <v/>
      </c>
      <c r="AF83" s="163" t="str">
        <f t="shared" si="84"/>
        <v/>
      </c>
      <c r="AG83" s="163" t="str">
        <f t="shared" si="84"/>
        <v/>
      </c>
      <c r="AH83" s="163" t="str">
        <f t="shared" si="84"/>
        <v/>
      </c>
      <c r="AI83" s="163" t="str">
        <f t="shared" si="84"/>
        <v/>
      </c>
      <c r="AJ83" s="163" t="str">
        <f t="shared" si="84"/>
        <v/>
      </c>
      <c r="AK83" s="163" t="str">
        <f t="shared" si="84"/>
        <v/>
      </c>
      <c r="AL83" s="163" t="str">
        <f t="shared" si="84"/>
        <v/>
      </c>
      <c r="AM83" s="163" t="str">
        <f t="shared" si="84"/>
        <v/>
      </c>
      <c r="AN83" s="163" t="str">
        <f t="shared" si="84"/>
        <v/>
      </c>
      <c r="AO83" s="163" t="str">
        <f t="shared" si="84"/>
        <v/>
      </c>
      <c r="AP83" s="163" t="str">
        <f t="shared" si="84"/>
        <v/>
      </c>
      <c r="AQ83" s="163" t="str">
        <f t="shared" si="84"/>
        <v/>
      </c>
      <c r="AR83" s="163" t="str">
        <f t="shared" si="84"/>
        <v/>
      </c>
      <c r="AS83" s="163" t="str">
        <f t="shared" si="84"/>
        <v/>
      </c>
      <c r="AT83" s="163" t="str">
        <f t="shared" si="84"/>
        <v/>
      </c>
      <c r="AU83" s="163" t="str">
        <f t="shared" si="84"/>
        <v/>
      </c>
      <c r="AV83" s="163" t="str">
        <f t="shared" si="84"/>
        <v/>
      </c>
      <c r="AW83" s="163" t="str">
        <f t="shared" si="84"/>
        <v/>
      </c>
    </row>
    <row r="84">
      <c r="A84" s="108"/>
      <c r="B84" s="144" t="s">
        <v>1738</v>
      </c>
      <c r="C84" s="134"/>
      <c r="D84" s="134" t="s">
        <v>1648</v>
      </c>
      <c r="E84" s="134" t="str">
        <f>vlookup(D84,CNPJ!A73:B270,2,FAlse)</f>
        <v>04.329.668/0001-38</v>
      </c>
      <c r="F84" s="246">
        <v>220123.0</v>
      </c>
      <c r="G84" s="247">
        <v>9542.22</v>
      </c>
      <c r="H84" s="225">
        <v>45108.0</v>
      </c>
      <c r="I84" s="134" t="s">
        <v>1739</v>
      </c>
      <c r="J84" s="220"/>
      <c r="K84" s="134" t="b">
        <v>1</v>
      </c>
      <c r="L84" s="247">
        <f t="shared" si="3"/>
        <v>4771.11</v>
      </c>
      <c r="M84" s="248"/>
      <c r="N84" s="108" t="b">
        <f t="shared" si="4"/>
        <v>0</v>
      </c>
      <c r="O84" s="229">
        <f t="shared" si="5"/>
        <v>2</v>
      </c>
      <c r="P84" s="163" t="str">
        <f t="shared" ref="P84:AW84" si="85">iferror(if(P$9=FALSE,, if(if(search(P$11,$B84,1)&gt;0,1,0)=1,$G84/$O84,0)),"")</f>
        <v/>
      </c>
      <c r="Q84" s="163" t="str">
        <f t="shared" si="85"/>
        <v/>
      </c>
      <c r="R84" s="163" t="str">
        <f t="shared" si="85"/>
        <v/>
      </c>
      <c r="S84" s="163" t="str">
        <f t="shared" si="85"/>
        <v/>
      </c>
      <c r="T84" s="163">
        <f t="shared" si="85"/>
        <v>4771.11</v>
      </c>
      <c r="U84" s="163" t="str">
        <f t="shared" si="85"/>
        <v/>
      </c>
      <c r="V84" s="163" t="str">
        <f t="shared" si="85"/>
        <v/>
      </c>
      <c r="W84" s="163" t="str">
        <f t="shared" si="85"/>
        <v/>
      </c>
      <c r="X84" s="163" t="str">
        <f t="shared" si="85"/>
        <v/>
      </c>
      <c r="Y84" s="163" t="str">
        <f t="shared" si="85"/>
        <v/>
      </c>
      <c r="Z84" s="163" t="str">
        <f t="shared" si="85"/>
        <v/>
      </c>
      <c r="AA84" s="163" t="str">
        <f t="shared" si="85"/>
        <v/>
      </c>
      <c r="AB84" s="163" t="str">
        <f t="shared" si="85"/>
        <v/>
      </c>
      <c r="AC84" s="163" t="str">
        <f t="shared" si="85"/>
        <v/>
      </c>
      <c r="AD84" s="163" t="str">
        <f t="shared" si="85"/>
        <v/>
      </c>
      <c r="AE84" s="163" t="str">
        <f t="shared" si="85"/>
        <v/>
      </c>
      <c r="AF84" s="163" t="str">
        <f t="shared" si="85"/>
        <v/>
      </c>
      <c r="AG84" s="163" t="str">
        <f t="shared" si="85"/>
        <v/>
      </c>
      <c r="AH84" s="163" t="str">
        <f t="shared" si="85"/>
        <v/>
      </c>
      <c r="AI84" s="163" t="str">
        <f t="shared" si="85"/>
        <v/>
      </c>
      <c r="AJ84" s="163" t="str">
        <f t="shared" si="85"/>
        <v/>
      </c>
      <c r="AK84" s="163" t="str">
        <f t="shared" si="85"/>
        <v/>
      </c>
      <c r="AL84" s="163" t="str">
        <f t="shared" si="85"/>
        <v/>
      </c>
      <c r="AM84" s="163" t="str">
        <f t="shared" si="85"/>
        <v/>
      </c>
      <c r="AN84" s="163" t="str">
        <f t="shared" si="85"/>
        <v/>
      </c>
      <c r="AO84" s="163" t="str">
        <f t="shared" si="85"/>
        <v/>
      </c>
      <c r="AP84" s="163" t="str">
        <f t="shared" si="85"/>
        <v/>
      </c>
      <c r="AQ84" s="163" t="str">
        <f t="shared" si="85"/>
        <v/>
      </c>
      <c r="AR84" s="163" t="str">
        <f t="shared" si="85"/>
        <v/>
      </c>
      <c r="AS84" s="163" t="str">
        <f t="shared" si="85"/>
        <v/>
      </c>
      <c r="AT84" s="163" t="str">
        <f t="shared" si="85"/>
        <v/>
      </c>
      <c r="AU84" s="163" t="str">
        <f t="shared" si="85"/>
        <v/>
      </c>
      <c r="AV84" s="163" t="str">
        <f t="shared" si="85"/>
        <v/>
      </c>
      <c r="AW84" s="163" t="str">
        <f t="shared" si="85"/>
        <v/>
      </c>
    </row>
    <row r="85">
      <c r="A85" s="108"/>
      <c r="B85" s="144" t="s">
        <v>290</v>
      </c>
      <c r="C85" s="220"/>
      <c r="D85" s="134" t="s">
        <v>1650</v>
      </c>
      <c r="E85" s="134" t="str">
        <f>vlookup(D85,CNPJ!A74:B271,2,FAlse)</f>
        <v>20.618.029/0001-49</v>
      </c>
      <c r="F85" s="246">
        <v>71507.0</v>
      </c>
      <c r="G85" s="247">
        <v>63.89</v>
      </c>
      <c r="H85" s="225">
        <v>45111.0</v>
      </c>
      <c r="I85" s="134" t="s">
        <v>1651</v>
      </c>
      <c r="J85" s="220"/>
      <c r="K85" s="134" t="b">
        <v>1</v>
      </c>
      <c r="L85" s="247">
        <f t="shared" si="3"/>
        <v>63.89</v>
      </c>
      <c r="M85" s="248"/>
      <c r="N85" s="108" t="b">
        <f t="shared" si="4"/>
        <v>1</v>
      </c>
      <c r="O85" s="229">
        <f t="shared" si="5"/>
        <v>1</v>
      </c>
      <c r="P85" s="163">
        <f t="shared" ref="P85:AW85" si="86">iferror(if(P$9=FALSE,, if(if(search(P$11,$B85,1)&gt;0,1,0)=1,$G85/$O85,0)),"")</f>
        <v>63.89</v>
      </c>
      <c r="Q85" s="163" t="str">
        <f t="shared" si="86"/>
        <v/>
      </c>
      <c r="R85" s="163" t="str">
        <f t="shared" si="86"/>
        <v/>
      </c>
      <c r="S85" s="163" t="str">
        <f t="shared" si="86"/>
        <v/>
      </c>
      <c r="T85" s="163" t="str">
        <f t="shared" si="86"/>
        <v/>
      </c>
      <c r="U85" s="163" t="str">
        <f t="shared" si="86"/>
        <v/>
      </c>
      <c r="V85" s="163" t="str">
        <f t="shared" si="86"/>
        <v/>
      </c>
      <c r="W85" s="163" t="str">
        <f t="shared" si="86"/>
        <v/>
      </c>
      <c r="X85" s="163" t="str">
        <f t="shared" si="86"/>
        <v/>
      </c>
      <c r="Y85" s="163" t="str">
        <f t="shared" si="86"/>
        <v/>
      </c>
      <c r="Z85" s="163" t="str">
        <f t="shared" si="86"/>
        <v/>
      </c>
      <c r="AA85" s="163" t="str">
        <f t="shared" si="86"/>
        <v/>
      </c>
      <c r="AB85" s="163" t="str">
        <f t="shared" si="86"/>
        <v/>
      </c>
      <c r="AC85" s="163" t="str">
        <f t="shared" si="86"/>
        <v/>
      </c>
      <c r="AD85" s="163" t="str">
        <f t="shared" si="86"/>
        <v/>
      </c>
      <c r="AE85" s="163" t="str">
        <f t="shared" si="86"/>
        <v/>
      </c>
      <c r="AF85" s="163" t="str">
        <f t="shared" si="86"/>
        <v/>
      </c>
      <c r="AG85" s="163" t="str">
        <f t="shared" si="86"/>
        <v/>
      </c>
      <c r="AH85" s="163" t="str">
        <f t="shared" si="86"/>
        <v/>
      </c>
      <c r="AI85" s="163" t="str">
        <f t="shared" si="86"/>
        <v/>
      </c>
      <c r="AJ85" s="163" t="str">
        <f t="shared" si="86"/>
        <v/>
      </c>
      <c r="AK85" s="163" t="str">
        <f t="shared" si="86"/>
        <v/>
      </c>
      <c r="AL85" s="163" t="str">
        <f t="shared" si="86"/>
        <v/>
      </c>
      <c r="AM85" s="163" t="str">
        <f t="shared" si="86"/>
        <v/>
      </c>
      <c r="AN85" s="163" t="str">
        <f t="shared" si="86"/>
        <v/>
      </c>
      <c r="AO85" s="163" t="str">
        <f t="shared" si="86"/>
        <v/>
      </c>
      <c r="AP85" s="163" t="str">
        <f t="shared" si="86"/>
        <v/>
      </c>
      <c r="AQ85" s="163" t="str">
        <f t="shared" si="86"/>
        <v/>
      </c>
      <c r="AR85" s="163" t="str">
        <f t="shared" si="86"/>
        <v/>
      </c>
      <c r="AS85" s="163" t="str">
        <f t="shared" si="86"/>
        <v/>
      </c>
      <c r="AT85" s="163" t="str">
        <f t="shared" si="86"/>
        <v/>
      </c>
      <c r="AU85" s="163" t="str">
        <f t="shared" si="86"/>
        <v/>
      </c>
      <c r="AV85" s="163" t="str">
        <f t="shared" si="86"/>
        <v/>
      </c>
      <c r="AW85" s="163" t="str">
        <f t="shared" si="86"/>
        <v/>
      </c>
    </row>
    <row r="86">
      <c r="A86" s="108"/>
      <c r="B86" s="134" t="s">
        <v>54</v>
      </c>
      <c r="C86" s="220"/>
      <c r="D86" s="134" t="s">
        <v>1648</v>
      </c>
      <c r="E86" s="134" t="str">
        <f>vlookup(D86,CNPJ!A75:B272,2,FAlse)</f>
        <v>04.329.668/0001-38</v>
      </c>
      <c r="F86" s="246">
        <v>220725.0</v>
      </c>
      <c r="G86" s="247">
        <v>3939.77</v>
      </c>
      <c r="H86" s="225">
        <v>45113.0</v>
      </c>
      <c r="I86" s="134" t="s">
        <v>1740</v>
      </c>
      <c r="J86" s="220"/>
      <c r="K86" s="134" t="b">
        <v>1</v>
      </c>
      <c r="L86" s="247">
        <f t="shared" si="3"/>
        <v>3939.77</v>
      </c>
      <c r="M86" s="248"/>
      <c r="N86" s="108" t="b">
        <f t="shared" si="4"/>
        <v>1</v>
      </c>
      <c r="O86" s="229">
        <f t="shared" si="5"/>
        <v>1</v>
      </c>
      <c r="P86" s="163" t="str">
        <f t="shared" ref="P86:AW86" si="87">iferror(if(P$9=FALSE,, if(if(search(P$11,$B86,1)&gt;0,1,0)=1,$G86/$O86,0)),"")</f>
        <v/>
      </c>
      <c r="Q86" s="163" t="str">
        <f t="shared" si="87"/>
        <v/>
      </c>
      <c r="R86" s="163" t="str">
        <f t="shared" si="87"/>
        <v/>
      </c>
      <c r="S86" s="163" t="str">
        <f t="shared" si="87"/>
        <v/>
      </c>
      <c r="T86" s="163" t="str">
        <f t="shared" si="87"/>
        <v/>
      </c>
      <c r="U86" s="163" t="str">
        <f t="shared" si="87"/>
        <v/>
      </c>
      <c r="V86" s="163" t="str">
        <f t="shared" si="87"/>
        <v/>
      </c>
      <c r="W86" s="163" t="str">
        <f t="shared" si="87"/>
        <v/>
      </c>
      <c r="X86" s="163" t="str">
        <f t="shared" si="87"/>
        <v/>
      </c>
      <c r="Y86" s="163">
        <f t="shared" si="87"/>
        <v>3939.77</v>
      </c>
      <c r="Z86" s="163" t="str">
        <f t="shared" si="87"/>
        <v/>
      </c>
      <c r="AA86" s="163" t="str">
        <f t="shared" si="87"/>
        <v/>
      </c>
      <c r="AB86" s="163" t="str">
        <f t="shared" si="87"/>
        <v/>
      </c>
      <c r="AC86" s="163" t="str">
        <f t="shared" si="87"/>
        <v/>
      </c>
      <c r="AD86" s="163" t="str">
        <f t="shared" si="87"/>
        <v/>
      </c>
      <c r="AE86" s="163" t="str">
        <f t="shared" si="87"/>
        <v/>
      </c>
      <c r="AF86" s="163" t="str">
        <f t="shared" si="87"/>
        <v/>
      </c>
      <c r="AG86" s="163" t="str">
        <f t="shared" si="87"/>
        <v/>
      </c>
      <c r="AH86" s="163" t="str">
        <f t="shared" si="87"/>
        <v/>
      </c>
      <c r="AI86" s="163" t="str">
        <f t="shared" si="87"/>
        <v/>
      </c>
      <c r="AJ86" s="163" t="str">
        <f t="shared" si="87"/>
        <v/>
      </c>
      <c r="AK86" s="163" t="str">
        <f t="shared" si="87"/>
        <v/>
      </c>
      <c r="AL86" s="163" t="str">
        <f t="shared" si="87"/>
        <v/>
      </c>
      <c r="AM86" s="163" t="str">
        <f t="shared" si="87"/>
        <v/>
      </c>
      <c r="AN86" s="163" t="str">
        <f t="shared" si="87"/>
        <v/>
      </c>
      <c r="AO86" s="163" t="str">
        <f t="shared" si="87"/>
        <v/>
      </c>
      <c r="AP86" s="163" t="str">
        <f t="shared" si="87"/>
        <v/>
      </c>
      <c r="AQ86" s="163" t="str">
        <f t="shared" si="87"/>
        <v/>
      </c>
      <c r="AR86" s="163" t="str">
        <f t="shared" si="87"/>
        <v/>
      </c>
      <c r="AS86" s="163" t="str">
        <f t="shared" si="87"/>
        <v/>
      </c>
      <c r="AT86" s="163" t="str">
        <f t="shared" si="87"/>
        <v/>
      </c>
      <c r="AU86" s="163" t="str">
        <f t="shared" si="87"/>
        <v/>
      </c>
      <c r="AV86" s="163" t="str">
        <f t="shared" si="87"/>
        <v/>
      </c>
      <c r="AW86" s="163" t="str">
        <f t="shared" si="87"/>
        <v/>
      </c>
    </row>
    <row r="87">
      <c r="A87" s="108"/>
      <c r="B87" s="134" t="s">
        <v>433</v>
      </c>
      <c r="C87" s="220"/>
      <c r="D87" s="134" t="s">
        <v>1678</v>
      </c>
      <c r="E87" s="134" t="str">
        <f>vlookup(D87,CNPJ!A76:B273,2,FAlse)</f>
        <v>50.276.237/0001-78</v>
      </c>
      <c r="F87" s="246">
        <v>145463.0</v>
      </c>
      <c r="G87" s="247">
        <v>852.0</v>
      </c>
      <c r="H87" s="225">
        <v>45118.0</v>
      </c>
      <c r="I87" s="134" t="s">
        <v>1724</v>
      </c>
      <c r="J87" s="220"/>
      <c r="K87" s="134" t="b">
        <v>1</v>
      </c>
      <c r="L87" s="247">
        <f t="shared" si="3"/>
        <v>0</v>
      </c>
      <c r="M87" s="248"/>
      <c r="N87" s="108" t="b">
        <f t="shared" si="4"/>
        <v>0</v>
      </c>
      <c r="O87" s="229">
        <f t="shared" si="5"/>
        <v>1</v>
      </c>
      <c r="P87" s="163" t="str">
        <f t="shared" ref="P87:AW87" si="88">iferror(if(P$9=FALSE,, if(if(search(P$11,$B87,1)&gt;0,1,0)=1,$G87/$O87,0)),"")</f>
        <v/>
      </c>
      <c r="Q87" s="163" t="str">
        <f t="shared" si="88"/>
        <v/>
      </c>
      <c r="R87" s="163" t="str">
        <f t="shared" si="88"/>
        <v/>
      </c>
      <c r="S87" s="163" t="str">
        <f t="shared" si="88"/>
        <v/>
      </c>
      <c r="T87" s="163" t="str">
        <f t="shared" si="88"/>
        <v/>
      </c>
      <c r="U87" s="163" t="str">
        <f t="shared" si="88"/>
        <v/>
      </c>
      <c r="V87" s="163" t="str">
        <f t="shared" si="88"/>
        <v/>
      </c>
      <c r="W87" s="163" t="str">
        <f t="shared" si="88"/>
        <v/>
      </c>
      <c r="X87" s="163" t="str">
        <f t="shared" si="88"/>
        <v/>
      </c>
      <c r="Y87" s="163" t="str">
        <f t="shared" si="88"/>
        <v/>
      </c>
      <c r="Z87" s="163" t="str">
        <f t="shared" si="88"/>
        <v/>
      </c>
      <c r="AA87" s="163" t="str">
        <f t="shared" si="88"/>
        <v/>
      </c>
      <c r="AB87" s="163" t="str">
        <f t="shared" si="88"/>
        <v/>
      </c>
      <c r="AC87" s="163" t="str">
        <f t="shared" si="88"/>
        <v/>
      </c>
      <c r="AD87" s="163" t="str">
        <f t="shared" si="88"/>
        <v/>
      </c>
      <c r="AE87" s="163" t="str">
        <f t="shared" si="88"/>
        <v/>
      </c>
      <c r="AF87" s="163" t="str">
        <f t="shared" si="88"/>
        <v/>
      </c>
      <c r="AG87" s="163" t="str">
        <f t="shared" si="88"/>
        <v/>
      </c>
      <c r="AH87" s="163" t="str">
        <f t="shared" si="88"/>
        <v/>
      </c>
      <c r="AI87" s="163" t="str">
        <f t="shared" si="88"/>
        <v/>
      </c>
      <c r="AJ87" s="163" t="str">
        <f t="shared" si="88"/>
        <v/>
      </c>
      <c r="AK87" s="163" t="str">
        <f t="shared" si="88"/>
        <v/>
      </c>
      <c r="AL87" s="163" t="str">
        <f t="shared" si="88"/>
        <v/>
      </c>
      <c r="AM87" s="163" t="str">
        <f t="shared" si="88"/>
        <v/>
      </c>
      <c r="AN87" s="163" t="str">
        <f t="shared" si="88"/>
        <v/>
      </c>
      <c r="AO87" s="163" t="str">
        <f t="shared" si="88"/>
        <v/>
      </c>
      <c r="AP87" s="163" t="str">
        <f t="shared" si="88"/>
        <v/>
      </c>
      <c r="AQ87" s="163" t="str">
        <f t="shared" si="88"/>
        <v/>
      </c>
      <c r="AR87" s="163" t="str">
        <f t="shared" si="88"/>
        <v/>
      </c>
      <c r="AS87" s="163" t="str">
        <f t="shared" si="88"/>
        <v/>
      </c>
      <c r="AT87" s="163" t="str">
        <f t="shared" si="88"/>
        <v/>
      </c>
      <c r="AU87" s="163" t="str">
        <f t="shared" si="88"/>
        <v/>
      </c>
      <c r="AV87" s="163" t="str">
        <f t="shared" si="88"/>
        <v/>
      </c>
      <c r="AW87" s="163" t="str">
        <f t="shared" si="88"/>
        <v/>
      </c>
    </row>
    <row r="88">
      <c r="A88" s="108"/>
      <c r="B88" s="134" t="s">
        <v>1741</v>
      </c>
      <c r="C88" s="220"/>
      <c r="D88" s="134" t="s">
        <v>1650</v>
      </c>
      <c r="E88" s="134" t="str">
        <f>vlookup(D88,CNPJ!A77:B274,2,FAlse)</f>
        <v>20.618.029/0001-49</v>
      </c>
      <c r="F88" s="246">
        <v>71814.0</v>
      </c>
      <c r="G88" s="247">
        <v>111.37</v>
      </c>
      <c r="H88" s="225">
        <v>45125.0</v>
      </c>
      <c r="I88" s="134" t="s">
        <v>1651</v>
      </c>
      <c r="J88" s="220"/>
      <c r="K88" s="134" t="b">
        <v>1</v>
      </c>
      <c r="L88" s="247">
        <f t="shared" si="3"/>
        <v>55.685</v>
      </c>
      <c r="M88" s="248"/>
      <c r="N88" s="108" t="b">
        <f t="shared" si="4"/>
        <v>0</v>
      </c>
      <c r="O88" s="229">
        <f t="shared" si="5"/>
        <v>2</v>
      </c>
      <c r="P88" s="163" t="str">
        <f t="shared" ref="P88:AW88" si="89">iferror(if(P$9=FALSE,, if(if(search(P$11,$B88,1)&gt;0,1,0)=1,$G88/$O88,0)),"")</f>
        <v/>
      </c>
      <c r="Q88" s="163" t="str">
        <f t="shared" si="89"/>
        <v/>
      </c>
      <c r="R88" s="163" t="str">
        <f t="shared" si="89"/>
        <v/>
      </c>
      <c r="S88" s="163" t="str">
        <f t="shared" si="89"/>
        <v/>
      </c>
      <c r="T88" s="163" t="str">
        <f t="shared" si="89"/>
        <v/>
      </c>
      <c r="U88" s="163" t="str">
        <f t="shared" si="89"/>
        <v/>
      </c>
      <c r="V88" s="163" t="str">
        <f t="shared" si="89"/>
        <v/>
      </c>
      <c r="W88" s="163" t="str">
        <f t="shared" si="89"/>
        <v/>
      </c>
      <c r="X88" s="163" t="str">
        <f t="shared" si="89"/>
        <v/>
      </c>
      <c r="Y88" s="163">
        <f t="shared" si="89"/>
        <v>55.685</v>
      </c>
      <c r="Z88" s="163" t="str">
        <f t="shared" si="89"/>
        <v/>
      </c>
      <c r="AA88" s="163" t="str">
        <f t="shared" si="89"/>
        <v/>
      </c>
      <c r="AB88" s="163" t="str">
        <f t="shared" si="89"/>
        <v/>
      </c>
      <c r="AC88" s="163" t="str">
        <f t="shared" si="89"/>
        <v/>
      </c>
      <c r="AD88" s="163" t="str">
        <f t="shared" si="89"/>
        <v/>
      </c>
      <c r="AE88" s="163" t="str">
        <f t="shared" si="89"/>
        <v/>
      </c>
      <c r="AF88" s="163" t="str">
        <f t="shared" si="89"/>
        <v/>
      </c>
      <c r="AG88" s="163" t="str">
        <f t="shared" si="89"/>
        <v/>
      </c>
      <c r="AH88" s="163" t="str">
        <f t="shared" si="89"/>
        <v/>
      </c>
      <c r="AI88" s="163" t="str">
        <f t="shared" si="89"/>
        <v/>
      </c>
      <c r="AJ88" s="163" t="str">
        <f t="shared" si="89"/>
        <v/>
      </c>
      <c r="AK88" s="163" t="str">
        <f t="shared" si="89"/>
        <v/>
      </c>
      <c r="AL88" s="163" t="str">
        <f t="shared" si="89"/>
        <v/>
      </c>
      <c r="AM88" s="163" t="str">
        <f t="shared" si="89"/>
        <v/>
      </c>
      <c r="AN88" s="163" t="str">
        <f t="shared" si="89"/>
        <v/>
      </c>
      <c r="AO88" s="163" t="str">
        <f t="shared" si="89"/>
        <v/>
      </c>
      <c r="AP88" s="163" t="str">
        <f t="shared" si="89"/>
        <v/>
      </c>
      <c r="AQ88" s="163" t="str">
        <f t="shared" si="89"/>
        <v/>
      </c>
      <c r="AR88" s="163" t="str">
        <f t="shared" si="89"/>
        <v/>
      </c>
      <c r="AS88" s="163" t="str">
        <f t="shared" si="89"/>
        <v/>
      </c>
      <c r="AT88" s="163" t="str">
        <f t="shared" si="89"/>
        <v/>
      </c>
      <c r="AU88" s="163" t="str">
        <f t="shared" si="89"/>
        <v/>
      </c>
      <c r="AV88" s="163" t="str">
        <f t="shared" si="89"/>
        <v/>
      </c>
      <c r="AW88" s="163" t="str">
        <f t="shared" si="89"/>
        <v/>
      </c>
    </row>
    <row r="89">
      <c r="A89" s="108"/>
      <c r="B89" s="144" t="s">
        <v>290</v>
      </c>
      <c r="C89" s="220"/>
      <c r="D89" s="134" t="s">
        <v>1742</v>
      </c>
      <c r="E89" s="134" t="str">
        <f>vlookup(D89,CNPJ!A78:B275,2,FAlse)</f>
        <v>#N/A</v>
      </c>
      <c r="F89" s="246" t="s">
        <v>1684</v>
      </c>
      <c r="G89" s="247">
        <v>533.82</v>
      </c>
      <c r="H89" s="225">
        <v>45132.0</v>
      </c>
      <c r="I89" s="134" t="s">
        <v>1743</v>
      </c>
      <c r="J89" s="220"/>
      <c r="K89" s="134" t="b">
        <v>0</v>
      </c>
      <c r="L89" s="247">
        <f t="shared" si="3"/>
        <v>0</v>
      </c>
      <c r="M89" s="248" t="s">
        <v>1744</v>
      </c>
      <c r="N89" s="108" t="b">
        <f t="shared" si="4"/>
        <v>0</v>
      </c>
      <c r="O89" s="229">
        <f t="shared" si="5"/>
        <v>0</v>
      </c>
      <c r="P89" s="163" t="str">
        <f t="shared" ref="P89:AW89" si="90">iferror(if(P$9=FALSE,, if(if(search(P$11,$B89,1)&gt;0,1,0)=1,$G89/$O89,0)),"")</f>
        <v/>
      </c>
      <c r="Q89" s="163" t="str">
        <f t="shared" si="90"/>
        <v/>
      </c>
      <c r="R89" s="163" t="str">
        <f t="shared" si="90"/>
        <v/>
      </c>
      <c r="S89" s="163" t="str">
        <f t="shared" si="90"/>
        <v/>
      </c>
      <c r="T89" s="163" t="str">
        <f t="shared" si="90"/>
        <v/>
      </c>
      <c r="U89" s="163" t="str">
        <f t="shared" si="90"/>
        <v/>
      </c>
      <c r="V89" s="163" t="str">
        <f t="shared" si="90"/>
        <v/>
      </c>
      <c r="W89" s="163" t="str">
        <f t="shared" si="90"/>
        <v/>
      </c>
      <c r="X89" s="163" t="str">
        <f t="shared" si="90"/>
        <v/>
      </c>
      <c r="Y89" s="163" t="str">
        <f t="shared" si="90"/>
        <v/>
      </c>
      <c r="Z89" s="163" t="str">
        <f t="shared" si="90"/>
        <v/>
      </c>
      <c r="AA89" s="163" t="str">
        <f t="shared" si="90"/>
        <v/>
      </c>
      <c r="AB89" s="163" t="str">
        <f t="shared" si="90"/>
        <v/>
      </c>
      <c r="AC89" s="163" t="str">
        <f t="shared" si="90"/>
        <v/>
      </c>
      <c r="AD89" s="163" t="str">
        <f t="shared" si="90"/>
        <v/>
      </c>
      <c r="AE89" s="163" t="str">
        <f t="shared" si="90"/>
        <v/>
      </c>
      <c r="AF89" s="163" t="str">
        <f t="shared" si="90"/>
        <v/>
      </c>
      <c r="AG89" s="163" t="str">
        <f t="shared" si="90"/>
        <v/>
      </c>
      <c r="AH89" s="163" t="str">
        <f t="shared" si="90"/>
        <v/>
      </c>
      <c r="AI89" s="163" t="str">
        <f t="shared" si="90"/>
        <v/>
      </c>
      <c r="AJ89" s="163" t="str">
        <f t="shared" si="90"/>
        <v/>
      </c>
      <c r="AK89" s="163" t="str">
        <f t="shared" si="90"/>
        <v/>
      </c>
      <c r="AL89" s="163" t="str">
        <f t="shared" si="90"/>
        <v/>
      </c>
      <c r="AM89" s="163" t="str">
        <f t="shared" si="90"/>
        <v/>
      </c>
      <c r="AN89" s="163" t="str">
        <f t="shared" si="90"/>
        <v/>
      </c>
      <c r="AO89" s="163" t="str">
        <f t="shared" si="90"/>
        <v/>
      </c>
      <c r="AP89" s="163" t="str">
        <f t="shared" si="90"/>
        <v/>
      </c>
      <c r="AQ89" s="163" t="str">
        <f t="shared" si="90"/>
        <v/>
      </c>
      <c r="AR89" s="163" t="str">
        <f t="shared" si="90"/>
        <v/>
      </c>
      <c r="AS89" s="163" t="str">
        <f t="shared" si="90"/>
        <v/>
      </c>
      <c r="AT89" s="163" t="str">
        <f t="shared" si="90"/>
        <v/>
      </c>
      <c r="AU89" s="163" t="str">
        <f t="shared" si="90"/>
        <v/>
      </c>
      <c r="AV89" s="163" t="str">
        <f t="shared" si="90"/>
        <v/>
      </c>
      <c r="AW89" s="163" t="str">
        <f t="shared" si="90"/>
        <v/>
      </c>
    </row>
    <row r="90">
      <c r="A90" s="108"/>
      <c r="B90" s="144" t="s">
        <v>290</v>
      </c>
      <c r="C90" s="220"/>
      <c r="D90" s="134" t="s">
        <v>1648</v>
      </c>
      <c r="E90" s="134" t="str">
        <f>vlookup(D90,CNPJ!A79:B276,2,FAlse)</f>
        <v>04.329.668/0001-38</v>
      </c>
      <c r="F90" s="246">
        <v>222181.0</v>
      </c>
      <c r="G90" s="247">
        <v>5156.64</v>
      </c>
      <c r="H90" s="221">
        <v>45135.0</v>
      </c>
      <c r="I90" s="134" t="s">
        <v>1745</v>
      </c>
      <c r="J90" s="220"/>
      <c r="K90" s="134" t="b">
        <v>1</v>
      </c>
      <c r="L90" s="247">
        <f t="shared" si="3"/>
        <v>5156.64</v>
      </c>
      <c r="M90" s="248"/>
      <c r="N90" s="108" t="b">
        <f t="shared" si="4"/>
        <v>1</v>
      </c>
      <c r="O90" s="229">
        <f t="shared" si="5"/>
        <v>1</v>
      </c>
      <c r="P90" s="163">
        <f t="shared" ref="P90:AW90" si="91">iferror(if(P$9=FALSE,, if(if(search(P$11,$B90,1)&gt;0,1,0)=1,$G90/$O90,0)),"")</f>
        <v>5156.64</v>
      </c>
      <c r="Q90" s="163" t="str">
        <f t="shared" si="91"/>
        <v/>
      </c>
      <c r="R90" s="163" t="str">
        <f t="shared" si="91"/>
        <v/>
      </c>
      <c r="S90" s="163" t="str">
        <f t="shared" si="91"/>
        <v/>
      </c>
      <c r="T90" s="163" t="str">
        <f t="shared" si="91"/>
        <v/>
      </c>
      <c r="U90" s="163" t="str">
        <f t="shared" si="91"/>
        <v/>
      </c>
      <c r="V90" s="163" t="str">
        <f t="shared" si="91"/>
        <v/>
      </c>
      <c r="W90" s="163" t="str">
        <f t="shared" si="91"/>
        <v/>
      </c>
      <c r="X90" s="163" t="str">
        <f t="shared" si="91"/>
        <v/>
      </c>
      <c r="Y90" s="163" t="str">
        <f t="shared" si="91"/>
        <v/>
      </c>
      <c r="Z90" s="163" t="str">
        <f t="shared" si="91"/>
        <v/>
      </c>
      <c r="AA90" s="163" t="str">
        <f t="shared" si="91"/>
        <v/>
      </c>
      <c r="AB90" s="163" t="str">
        <f t="shared" si="91"/>
        <v/>
      </c>
      <c r="AC90" s="163" t="str">
        <f t="shared" si="91"/>
        <v/>
      </c>
      <c r="AD90" s="163" t="str">
        <f t="shared" si="91"/>
        <v/>
      </c>
      <c r="AE90" s="163" t="str">
        <f t="shared" si="91"/>
        <v/>
      </c>
      <c r="AF90" s="163" t="str">
        <f t="shared" si="91"/>
        <v/>
      </c>
      <c r="AG90" s="163" t="str">
        <f t="shared" si="91"/>
        <v/>
      </c>
      <c r="AH90" s="163" t="str">
        <f t="shared" si="91"/>
        <v/>
      </c>
      <c r="AI90" s="163" t="str">
        <f t="shared" si="91"/>
        <v/>
      </c>
      <c r="AJ90" s="163" t="str">
        <f t="shared" si="91"/>
        <v/>
      </c>
      <c r="AK90" s="163" t="str">
        <f t="shared" si="91"/>
        <v/>
      </c>
      <c r="AL90" s="163" t="str">
        <f t="shared" si="91"/>
        <v/>
      </c>
      <c r="AM90" s="163" t="str">
        <f t="shared" si="91"/>
        <v/>
      </c>
      <c r="AN90" s="163" t="str">
        <f t="shared" si="91"/>
        <v/>
      </c>
      <c r="AO90" s="163" t="str">
        <f t="shared" si="91"/>
        <v/>
      </c>
      <c r="AP90" s="163" t="str">
        <f t="shared" si="91"/>
        <v/>
      </c>
      <c r="AQ90" s="163" t="str">
        <f t="shared" si="91"/>
        <v/>
      </c>
      <c r="AR90" s="163" t="str">
        <f t="shared" si="91"/>
        <v/>
      </c>
      <c r="AS90" s="163" t="str">
        <f t="shared" si="91"/>
        <v/>
      </c>
      <c r="AT90" s="163" t="str">
        <f t="shared" si="91"/>
        <v/>
      </c>
      <c r="AU90" s="163" t="str">
        <f t="shared" si="91"/>
        <v/>
      </c>
      <c r="AV90" s="163" t="str">
        <f t="shared" si="91"/>
        <v/>
      </c>
      <c r="AW90" s="163" t="str">
        <f t="shared" si="91"/>
        <v/>
      </c>
    </row>
    <row r="91">
      <c r="A91" s="108"/>
      <c r="B91" s="134" t="s">
        <v>54</v>
      </c>
      <c r="C91" s="220"/>
      <c r="D91" s="134" t="s">
        <v>1746</v>
      </c>
      <c r="E91" s="134" t="str">
        <f>vlookup(D91,CNPJ!A80:B277,2,FAlse)</f>
        <v>#N/A</v>
      </c>
      <c r="F91" s="246">
        <v>128664.0</v>
      </c>
      <c r="G91" s="247">
        <v>1594.57</v>
      </c>
      <c r="H91" s="221">
        <v>45134.0</v>
      </c>
      <c r="I91" s="134" t="s">
        <v>1747</v>
      </c>
      <c r="J91" s="220"/>
      <c r="K91" s="134" t="b">
        <v>1</v>
      </c>
      <c r="L91" s="247">
        <f t="shared" si="3"/>
        <v>1594.57</v>
      </c>
      <c r="M91" s="248"/>
      <c r="N91" s="108" t="b">
        <f t="shared" si="4"/>
        <v>1</v>
      </c>
      <c r="O91" s="229">
        <f t="shared" si="5"/>
        <v>1</v>
      </c>
      <c r="P91" s="163" t="str">
        <f t="shared" ref="P91:AW91" si="92">iferror(if(P$9=FALSE,, if(if(search(P$11,$B91,1)&gt;0,1,0)=1,$G91/$O91,0)),"")</f>
        <v/>
      </c>
      <c r="Q91" s="163" t="str">
        <f t="shared" si="92"/>
        <v/>
      </c>
      <c r="R91" s="163" t="str">
        <f t="shared" si="92"/>
        <v/>
      </c>
      <c r="S91" s="163" t="str">
        <f t="shared" si="92"/>
        <v/>
      </c>
      <c r="T91" s="163" t="str">
        <f t="shared" si="92"/>
        <v/>
      </c>
      <c r="U91" s="163" t="str">
        <f t="shared" si="92"/>
        <v/>
      </c>
      <c r="V91" s="163" t="str">
        <f t="shared" si="92"/>
        <v/>
      </c>
      <c r="W91" s="163" t="str">
        <f t="shared" si="92"/>
        <v/>
      </c>
      <c r="X91" s="163" t="str">
        <f t="shared" si="92"/>
        <v/>
      </c>
      <c r="Y91" s="163">
        <f t="shared" si="92"/>
        <v>1594.57</v>
      </c>
      <c r="Z91" s="163" t="str">
        <f t="shared" si="92"/>
        <v/>
      </c>
      <c r="AA91" s="163" t="str">
        <f t="shared" si="92"/>
        <v/>
      </c>
      <c r="AB91" s="163" t="str">
        <f t="shared" si="92"/>
        <v/>
      </c>
      <c r="AC91" s="163" t="str">
        <f t="shared" si="92"/>
        <v/>
      </c>
      <c r="AD91" s="163" t="str">
        <f t="shared" si="92"/>
        <v/>
      </c>
      <c r="AE91" s="163" t="str">
        <f t="shared" si="92"/>
        <v/>
      </c>
      <c r="AF91" s="163" t="str">
        <f t="shared" si="92"/>
        <v/>
      </c>
      <c r="AG91" s="163" t="str">
        <f t="shared" si="92"/>
        <v/>
      </c>
      <c r="AH91" s="163" t="str">
        <f t="shared" si="92"/>
        <v/>
      </c>
      <c r="AI91" s="163" t="str">
        <f t="shared" si="92"/>
        <v/>
      </c>
      <c r="AJ91" s="163" t="str">
        <f t="shared" si="92"/>
        <v/>
      </c>
      <c r="AK91" s="163" t="str">
        <f t="shared" si="92"/>
        <v/>
      </c>
      <c r="AL91" s="163" t="str">
        <f t="shared" si="92"/>
        <v/>
      </c>
      <c r="AM91" s="163" t="str">
        <f t="shared" si="92"/>
        <v/>
      </c>
      <c r="AN91" s="163" t="str">
        <f t="shared" si="92"/>
        <v/>
      </c>
      <c r="AO91" s="163" t="str">
        <f t="shared" si="92"/>
        <v/>
      </c>
      <c r="AP91" s="163" t="str">
        <f t="shared" si="92"/>
        <v/>
      </c>
      <c r="AQ91" s="163" t="str">
        <f t="shared" si="92"/>
        <v/>
      </c>
      <c r="AR91" s="163" t="str">
        <f t="shared" si="92"/>
        <v/>
      </c>
      <c r="AS91" s="163" t="str">
        <f t="shared" si="92"/>
        <v/>
      </c>
      <c r="AT91" s="163" t="str">
        <f t="shared" si="92"/>
        <v/>
      </c>
      <c r="AU91" s="163" t="str">
        <f t="shared" si="92"/>
        <v/>
      </c>
      <c r="AV91" s="163" t="str">
        <f t="shared" si="92"/>
        <v/>
      </c>
      <c r="AW91" s="163" t="str">
        <f t="shared" si="92"/>
        <v/>
      </c>
    </row>
    <row r="92" hidden="1">
      <c r="A92" s="108"/>
      <c r="B92" s="223" t="s">
        <v>441</v>
      </c>
      <c r="C92" s="259"/>
      <c r="D92" s="223" t="s">
        <v>1748</v>
      </c>
      <c r="E92" s="134" t="str">
        <f>vlookup(D92,CNPJ!A81:B278,2,FAlse)</f>
        <v>#N/A</v>
      </c>
      <c r="F92" s="260" t="s">
        <v>1749</v>
      </c>
      <c r="G92" s="261">
        <v>24820.0</v>
      </c>
      <c r="H92" s="262">
        <v>45134.0</v>
      </c>
      <c r="I92" s="223" t="s">
        <v>1750</v>
      </c>
      <c r="J92" s="259"/>
      <c r="K92" s="223" t="b">
        <v>0</v>
      </c>
      <c r="L92" s="261">
        <f t="shared" si="3"/>
        <v>0</v>
      </c>
      <c r="M92" s="263" t="s">
        <v>1751</v>
      </c>
      <c r="N92" s="108" t="b">
        <f t="shared" si="4"/>
        <v>0</v>
      </c>
      <c r="O92" s="229">
        <f t="shared" si="5"/>
        <v>0</v>
      </c>
      <c r="P92" s="163" t="str">
        <f t="shared" ref="P92:AW92" si="93">iferror(if(P$9=FALSE,, if(if(search(P$11,$B92,1)&gt;0,1,0)=1,$G92/$O92,0)),"")</f>
        <v/>
      </c>
      <c r="Q92" s="163" t="str">
        <f t="shared" si="93"/>
        <v/>
      </c>
      <c r="R92" s="163" t="str">
        <f t="shared" si="93"/>
        <v/>
      </c>
      <c r="S92" s="163" t="str">
        <f t="shared" si="93"/>
        <v/>
      </c>
      <c r="T92" s="163" t="str">
        <f t="shared" si="93"/>
        <v/>
      </c>
      <c r="U92" s="163" t="str">
        <f t="shared" si="93"/>
        <v/>
      </c>
      <c r="V92" s="163" t="str">
        <f t="shared" si="93"/>
        <v/>
      </c>
      <c r="W92" s="163" t="str">
        <f t="shared" si="93"/>
        <v/>
      </c>
      <c r="X92" s="163" t="str">
        <f t="shared" si="93"/>
        <v/>
      </c>
      <c r="Y92" s="163" t="str">
        <f t="shared" si="93"/>
        <v/>
      </c>
      <c r="Z92" s="163" t="str">
        <f t="shared" si="93"/>
        <v/>
      </c>
      <c r="AA92" s="163" t="str">
        <f t="shared" si="93"/>
        <v/>
      </c>
      <c r="AB92" s="163" t="str">
        <f t="shared" si="93"/>
        <v/>
      </c>
      <c r="AC92" s="163" t="str">
        <f t="shared" si="93"/>
        <v/>
      </c>
      <c r="AD92" s="163" t="str">
        <f t="shared" si="93"/>
        <v/>
      </c>
      <c r="AE92" s="163" t="str">
        <f t="shared" si="93"/>
        <v/>
      </c>
      <c r="AF92" s="163" t="str">
        <f t="shared" si="93"/>
        <v/>
      </c>
      <c r="AG92" s="163" t="str">
        <f t="shared" si="93"/>
        <v/>
      </c>
      <c r="AH92" s="163" t="str">
        <f t="shared" si="93"/>
        <v/>
      </c>
      <c r="AI92" s="163" t="str">
        <f t="shared" si="93"/>
        <v/>
      </c>
      <c r="AJ92" s="163" t="str">
        <f t="shared" si="93"/>
        <v/>
      </c>
      <c r="AK92" s="163" t="str">
        <f t="shared" si="93"/>
        <v/>
      </c>
      <c r="AL92" s="163" t="str">
        <f t="shared" si="93"/>
        <v/>
      </c>
      <c r="AM92" s="163" t="str">
        <f t="shared" si="93"/>
        <v/>
      </c>
      <c r="AN92" s="163" t="str">
        <f t="shared" si="93"/>
        <v/>
      </c>
      <c r="AO92" s="163" t="str">
        <f t="shared" si="93"/>
        <v/>
      </c>
      <c r="AP92" s="163" t="str">
        <f t="shared" si="93"/>
        <v/>
      </c>
      <c r="AQ92" s="163" t="str">
        <f t="shared" si="93"/>
        <v/>
      </c>
      <c r="AR92" s="163" t="str">
        <f t="shared" si="93"/>
        <v/>
      </c>
      <c r="AS92" s="163" t="str">
        <f t="shared" si="93"/>
        <v/>
      </c>
      <c r="AT92" s="163" t="str">
        <f t="shared" si="93"/>
        <v/>
      </c>
      <c r="AU92" s="163" t="str">
        <f t="shared" si="93"/>
        <v/>
      </c>
      <c r="AV92" s="163" t="str">
        <f t="shared" si="93"/>
        <v/>
      </c>
      <c r="AW92" s="163" t="str">
        <f t="shared" si="93"/>
        <v/>
      </c>
    </row>
    <row r="93">
      <c r="A93" s="108"/>
      <c r="B93" s="134" t="s">
        <v>1741</v>
      </c>
      <c r="C93" s="220"/>
      <c r="D93" s="134" t="s">
        <v>1678</v>
      </c>
      <c r="E93" s="134" t="str">
        <f>vlookup(D93,CNPJ!A82:B279,2,FAlse)</f>
        <v>50.276.237/0001-78</v>
      </c>
      <c r="F93" s="246">
        <v>146010.0</v>
      </c>
      <c r="G93" s="247">
        <v>1704.0</v>
      </c>
      <c r="H93" s="225">
        <v>45142.0</v>
      </c>
      <c r="I93" s="134" t="s">
        <v>1724</v>
      </c>
      <c r="J93" s="220"/>
      <c r="K93" s="134" t="b">
        <v>1</v>
      </c>
      <c r="L93" s="247">
        <f t="shared" si="3"/>
        <v>852</v>
      </c>
      <c r="M93" s="248"/>
      <c r="N93" s="108" t="b">
        <f t="shared" si="4"/>
        <v>0</v>
      </c>
      <c r="O93" s="229">
        <f t="shared" si="5"/>
        <v>2</v>
      </c>
      <c r="P93" s="163" t="str">
        <f t="shared" ref="P93:AW93" si="94">iferror(if(P$9=FALSE,, if(if(search(P$11,$B93,1)&gt;0,1,0)=1,$G93/$O93,0)),"")</f>
        <v/>
      </c>
      <c r="Q93" s="163" t="str">
        <f t="shared" si="94"/>
        <v/>
      </c>
      <c r="R93" s="163" t="str">
        <f t="shared" si="94"/>
        <v/>
      </c>
      <c r="S93" s="163" t="str">
        <f t="shared" si="94"/>
        <v/>
      </c>
      <c r="T93" s="163" t="str">
        <f t="shared" si="94"/>
        <v/>
      </c>
      <c r="U93" s="163" t="str">
        <f t="shared" si="94"/>
        <v/>
      </c>
      <c r="V93" s="163" t="str">
        <f t="shared" si="94"/>
        <v/>
      </c>
      <c r="W93" s="163" t="str">
        <f t="shared" si="94"/>
        <v/>
      </c>
      <c r="X93" s="163" t="str">
        <f t="shared" si="94"/>
        <v/>
      </c>
      <c r="Y93" s="163">
        <f t="shared" si="94"/>
        <v>852</v>
      </c>
      <c r="Z93" s="163" t="str">
        <f t="shared" si="94"/>
        <v/>
      </c>
      <c r="AA93" s="163" t="str">
        <f t="shared" si="94"/>
        <v/>
      </c>
      <c r="AB93" s="163" t="str">
        <f t="shared" si="94"/>
        <v/>
      </c>
      <c r="AC93" s="163" t="str">
        <f t="shared" si="94"/>
        <v/>
      </c>
      <c r="AD93" s="163" t="str">
        <f t="shared" si="94"/>
        <v/>
      </c>
      <c r="AE93" s="163" t="str">
        <f t="shared" si="94"/>
        <v/>
      </c>
      <c r="AF93" s="163" t="str">
        <f t="shared" si="94"/>
        <v/>
      </c>
      <c r="AG93" s="163" t="str">
        <f t="shared" si="94"/>
        <v/>
      </c>
      <c r="AH93" s="163" t="str">
        <f t="shared" si="94"/>
        <v/>
      </c>
      <c r="AI93" s="163" t="str">
        <f t="shared" si="94"/>
        <v/>
      </c>
      <c r="AJ93" s="163" t="str">
        <f t="shared" si="94"/>
        <v/>
      </c>
      <c r="AK93" s="163" t="str">
        <f t="shared" si="94"/>
        <v/>
      </c>
      <c r="AL93" s="163" t="str">
        <f t="shared" si="94"/>
        <v/>
      </c>
      <c r="AM93" s="163" t="str">
        <f t="shared" si="94"/>
        <v/>
      </c>
      <c r="AN93" s="163" t="str">
        <f t="shared" si="94"/>
        <v/>
      </c>
      <c r="AO93" s="163" t="str">
        <f t="shared" si="94"/>
        <v/>
      </c>
      <c r="AP93" s="163" t="str">
        <f t="shared" si="94"/>
        <v/>
      </c>
      <c r="AQ93" s="163" t="str">
        <f t="shared" si="94"/>
        <v/>
      </c>
      <c r="AR93" s="163" t="str">
        <f t="shared" si="94"/>
        <v/>
      </c>
      <c r="AS93" s="163" t="str">
        <f t="shared" si="94"/>
        <v/>
      </c>
      <c r="AT93" s="163" t="str">
        <f t="shared" si="94"/>
        <v/>
      </c>
      <c r="AU93" s="163" t="str">
        <f t="shared" si="94"/>
        <v/>
      </c>
      <c r="AV93" s="163" t="str">
        <f t="shared" si="94"/>
        <v/>
      </c>
      <c r="AW93" s="163" t="str">
        <f t="shared" si="94"/>
        <v/>
      </c>
    </row>
    <row r="94">
      <c r="A94" s="108"/>
      <c r="B94" s="134" t="s">
        <v>290</v>
      </c>
      <c r="C94" s="220"/>
      <c r="D94" s="134" t="s">
        <v>1678</v>
      </c>
      <c r="E94" s="134" t="str">
        <f>vlookup(D94,CNPJ!A83:B280,2,FAlse)</f>
        <v>50.276.237/0001-78</v>
      </c>
      <c r="F94" s="246">
        <v>1.0146009E7</v>
      </c>
      <c r="G94" s="247">
        <v>2556.0</v>
      </c>
      <c r="H94" s="225">
        <v>45142.0</v>
      </c>
      <c r="I94" s="134" t="s">
        <v>1724</v>
      </c>
      <c r="J94" s="220"/>
      <c r="K94" s="134" t="b">
        <v>1</v>
      </c>
      <c r="L94" s="247">
        <f t="shared" si="3"/>
        <v>2556</v>
      </c>
      <c r="M94" s="248"/>
      <c r="N94" s="108" t="b">
        <f t="shared" si="4"/>
        <v>1</v>
      </c>
      <c r="O94" s="229">
        <f t="shared" si="5"/>
        <v>1</v>
      </c>
      <c r="P94" s="163">
        <f t="shared" ref="P94:AW94" si="95">iferror(if(P$9=FALSE,, if(if(search(P$11,$B94,1)&gt;0,1,0)=1,$G94/$O94,0)),"")</f>
        <v>2556</v>
      </c>
      <c r="Q94" s="163" t="str">
        <f t="shared" si="95"/>
        <v/>
      </c>
      <c r="R94" s="163" t="str">
        <f t="shared" si="95"/>
        <v/>
      </c>
      <c r="S94" s="163" t="str">
        <f t="shared" si="95"/>
        <v/>
      </c>
      <c r="T94" s="163" t="str">
        <f t="shared" si="95"/>
        <v/>
      </c>
      <c r="U94" s="163" t="str">
        <f t="shared" si="95"/>
        <v/>
      </c>
      <c r="V94" s="163" t="str">
        <f t="shared" si="95"/>
        <v/>
      </c>
      <c r="W94" s="163" t="str">
        <f t="shared" si="95"/>
        <v/>
      </c>
      <c r="X94" s="163" t="str">
        <f t="shared" si="95"/>
        <v/>
      </c>
      <c r="Y94" s="163" t="str">
        <f t="shared" si="95"/>
        <v/>
      </c>
      <c r="Z94" s="163" t="str">
        <f t="shared" si="95"/>
        <v/>
      </c>
      <c r="AA94" s="163" t="str">
        <f t="shared" si="95"/>
        <v/>
      </c>
      <c r="AB94" s="163" t="str">
        <f t="shared" si="95"/>
        <v/>
      </c>
      <c r="AC94" s="163" t="str">
        <f t="shared" si="95"/>
        <v/>
      </c>
      <c r="AD94" s="163" t="str">
        <f t="shared" si="95"/>
        <v/>
      </c>
      <c r="AE94" s="163" t="str">
        <f t="shared" si="95"/>
        <v/>
      </c>
      <c r="AF94" s="163" t="str">
        <f t="shared" si="95"/>
        <v/>
      </c>
      <c r="AG94" s="163" t="str">
        <f t="shared" si="95"/>
        <v/>
      </c>
      <c r="AH94" s="163" t="str">
        <f t="shared" si="95"/>
        <v/>
      </c>
      <c r="AI94" s="163" t="str">
        <f t="shared" si="95"/>
        <v/>
      </c>
      <c r="AJ94" s="163" t="str">
        <f t="shared" si="95"/>
        <v/>
      </c>
      <c r="AK94" s="163" t="str">
        <f t="shared" si="95"/>
        <v/>
      </c>
      <c r="AL94" s="163" t="str">
        <f t="shared" si="95"/>
        <v/>
      </c>
      <c r="AM94" s="163" t="str">
        <f t="shared" si="95"/>
        <v/>
      </c>
      <c r="AN94" s="163" t="str">
        <f t="shared" si="95"/>
        <v/>
      </c>
      <c r="AO94" s="163" t="str">
        <f t="shared" si="95"/>
        <v/>
      </c>
      <c r="AP94" s="163" t="str">
        <f t="shared" si="95"/>
        <v/>
      </c>
      <c r="AQ94" s="163" t="str">
        <f t="shared" si="95"/>
        <v/>
      </c>
      <c r="AR94" s="163" t="str">
        <f t="shared" si="95"/>
        <v/>
      </c>
      <c r="AS94" s="163" t="str">
        <f t="shared" si="95"/>
        <v/>
      </c>
      <c r="AT94" s="163" t="str">
        <f t="shared" si="95"/>
        <v/>
      </c>
      <c r="AU94" s="163" t="str">
        <f t="shared" si="95"/>
        <v/>
      </c>
      <c r="AV94" s="163" t="str">
        <f t="shared" si="95"/>
        <v/>
      </c>
      <c r="AW94" s="163" t="str">
        <f t="shared" si="95"/>
        <v/>
      </c>
    </row>
    <row r="95">
      <c r="A95" s="108"/>
      <c r="B95" s="134" t="s">
        <v>290</v>
      </c>
      <c r="C95" s="134"/>
      <c r="D95" s="134" t="s">
        <v>1648</v>
      </c>
      <c r="E95" s="134" t="str">
        <f>vlookup(D95,CNPJ!A84:B281,2,FAlse)</f>
        <v>04.329.668/0001-38</v>
      </c>
      <c r="F95" s="246">
        <v>223120.0</v>
      </c>
      <c r="G95" s="247">
        <v>42767.13</v>
      </c>
      <c r="H95" s="221">
        <v>45148.0</v>
      </c>
      <c r="I95" s="134" t="s">
        <v>1752</v>
      </c>
      <c r="J95" s="220"/>
      <c r="K95" s="134" t="b">
        <v>1</v>
      </c>
      <c r="L95" s="247">
        <f t="shared" si="3"/>
        <v>38811.17</v>
      </c>
      <c r="M95" s="248"/>
      <c r="N95" s="108" t="b">
        <f t="shared" si="4"/>
        <v>0</v>
      </c>
      <c r="O95" s="229">
        <f t="shared" si="5"/>
        <v>1</v>
      </c>
      <c r="P95" s="250">
        <v>38811.17</v>
      </c>
      <c r="Q95" s="163" t="str">
        <f t="shared" ref="Q95:AW95" si="96">iferror(if(Q$9=FALSE,, if(if(search(Q$11,$B95,1)&gt;0,1,0)=1,$G95/$O95,0)),"")</f>
        <v/>
      </c>
      <c r="R95" s="163" t="str">
        <f t="shared" si="96"/>
        <v/>
      </c>
      <c r="S95" s="163" t="str">
        <f t="shared" si="96"/>
        <v/>
      </c>
      <c r="T95" s="163" t="str">
        <f t="shared" si="96"/>
        <v/>
      </c>
      <c r="U95" s="163" t="str">
        <f t="shared" si="96"/>
        <v/>
      </c>
      <c r="V95" s="163" t="str">
        <f t="shared" si="96"/>
        <v/>
      </c>
      <c r="W95" s="163" t="str">
        <f t="shared" si="96"/>
        <v/>
      </c>
      <c r="X95" s="163" t="str">
        <f t="shared" si="96"/>
        <v/>
      </c>
      <c r="Y95" s="163" t="str">
        <f t="shared" si="96"/>
        <v/>
      </c>
      <c r="Z95" s="163" t="str">
        <f t="shared" si="96"/>
        <v/>
      </c>
      <c r="AA95" s="163" t="str">
        <f t="shared" si="96"/>
        <v/>
      </c>
      <c r="AB95" s="163" t="str">
        <f t="shared" si="96"/>
        <v/>
      </c>
      <c r="AC95" s="163" t="str">
        <f t="shared" si="96"/>
        <v/>
      </c>
      <c r="AD95" s="163" t="str">
        <f t="shared" si="96"/>
        <v/>
      </c>
      <c r="AE95" s="163" t="str">
        <f t="shared" si="96"/>
        <v/>
      </c>
      <c r="AF95" s="163" t="str">
        <f t="shared" si="96"/>
        <v/>
      </c>
      <c r="AG95" s="163" t="str">
        <f t="shared" si="96"/>
        <v/>
      </c>
      <c r="AH95" s="163" t="str">
        <f t="shared" si="96"/>
        <v/>
      </c>
      <c r="AI95" s="163" t="str">
        <f t="shared" si="96"/>
        <v/>
      </c>
      <c r="AJ95" s="163" t="str">
        <f t="shared" si="96"/>
        <v/>
      </c>
      <c r="AK95" s="163" t="str">
        <f t="shared" si="96"/>
        <v/>
      </c>
      <c r="AL95" s="163" t="str">
        <f t="shared" si="96"/>
        <v/>
      </c>
      <c r="AM95" s="163" t="str">
        <f t="shared" si="96"/>
        <v/>
      </c>
      <c r="AN95" s="163" t="str">
        <f t="shared" si="96"/>
        <v/>
      </c>
      <c r="AO95" s="163" t="str">
        <f t="shared" si="96"/>
        <v/>
      </c>
      <c r="AP95" s="163" t="str">
        <f t="shared" si="96"/>
        <v/>
      </c>
      <c r="AQ95" s="163" t="str">
        <f t="shared" si="96"/>
        <v/>
      </c>
      <c r="AR95" s="163" t="str">
        <f t="shared" si="96"/>
        <v/>
      </c>
      <c r="AS95" s="163" t="str">
        <f t="shared" si="96"/>
        <v/>
      </c>
      <c r="AT95" s="163" t="str">
        <f t="shared" si="96"/>
        <v/>
      </c>
      <c r="AU95" s="163" t="str">
        <f t="shared" si="96"/>
        <v/>
      </c>
      <c r="AV95" s="163" t="str">
        <f t="shared" si="96"/>
        <v/>
      </c>
      <c r="AW95" s="163" t="str">
        <f t="shared" si="96"/>
        <v/>
      </c>
    </row>
    <row r="96">
      <c r="A96" s="108"/>
      <c r="B96" s="134" t="s">
        <v>54</v>
      </c>
      <c r="C96" s="134"/>
      <c r="D96" s="134" t="s">
        <v>1746</v>
      </c>
      <c r="E96" s="134" t="str">
        <f>vlookup(D96,CNPJ!A85:B282,2,FAlse)</f>
        <v>#N/A</v>
      </c>
      <c r="F96" s="246">
        <v>128847.0</v>
      </c>
      <c r="G96" s="247">
        <v>10602.79</v>
      </c>
      <c r="H96" s="221">
        <v>45146.0</v>
      </c>
      <c r="I96" s="134" t="s">
        <v>1753</v>
      </c>
      <c r="J96" s="220"/>
      <c r="K96" s="134" t="b">
        <v>1</v>
      </c>
      <c r="L96" s="247">
        <f t="shared" si="3"/>
        <v>9622.03</v>
      </c>
      <c r="M96" s="248"/>
      <c r="N96" s="108" t="b">
        <f t="shared" si="4"/>
        <v>0</v>
      </c>
      <c r="O96" s="229">
        <f t="shared" si="5"/>
        <v>1</v>
      </c>
      <c r="P96" s="163" t="str">
        <f t="shared" ref="P96:X96" si="97">iferror(if(P$9=FALSE,, if(if(search(P$11,$B96,1)&gt;0,1,0)=1,$G96/$O96,0)),"")</f>
        <v/>
      </c>
      <c r="Q96" s="163" t="str">
        <f t="shared" si="97"/>
        <v/>
      </c>
      <c r="R96" s="163" t="str">
        <f t="shared" si="97"/>
        <v/>
      </c>
      <c r="S96" s="163" t="str">
        <f t="shared" si="97"/>
        <v/>
      </c>
      <c r="T96" s="163" t="str">
        <f t="shared" si="97"/>
        <v/>
      </c>
      <c r="U96" s="163" t="str">
        <f t="shared" si="97"/>
        <v/>
      </c>
      <c r="V96" s="163" t="str">
        <f t="shared" si="97"/>
        <v/>
      </c>
      <c r="W96" s="163" t="str">
        <f t="shared" si="97"/>
        <v/>
      </c>
      <c r="X96" s="163" t="str">
        <f t="shared" si="97"/>
        <v/>
      </c>
      <c r="Y96" s="250">
        <v>9622.03</v>
      </c>
      <c r="Z96" s="163" t="str">
        <f t="shared" ref="Z96:AW96" si="98">iferror(if(Z$9=FALSE,, if(if(search(Z$11,$B96,1)&gt;0,1,0)=1,$G96/$O96,0)),"")</f>
        <v/>
      </c>
      <c r="AA96" s="163" t="str">
        <f t="shared" si="98"/>
        <v/>
      </c>
      <c r="AB96" s="163" t="str">
        <f t="shared" si="98"/>
        <v/>
      </c>
      <c r="AC96" s="163" t="str">
        <f t="shared" si="98"/>
        <v/>
      </c>
      <c r="AD96" s="163" t="str">
        <f t="shared" si="98"/>
        <v/>
      </c>
      <c r="AE96" s="163" t="str">
        <f t="shared" si="98"/>
        <v/>
      </c>
      <c r="AF96" s="163" t="str">
        <f t="shared" si="98"/>
        <v/>
      </c>
      <c r="AG96" s="163" t="str">
        <f t="shared" si="98"/>
        <v/>
      </c>
      <c r="AH96" s="163" t="str">
        <f t="shared" si="98"/>
        <v/>
      </c>
      <c r="AI96" s="163" t="str">
        <f t="shared" si="98"/>
        <v/>
      </c>
      <c r="AJ96" s="163" t="str">
        <f t="shared" si="98"/>
        <v/>
      </c>
      <c r="AK96" s="163" t="str">
        <f t="shared" si="98"/>
        <v/>
      </c>
      <c r="AL96" s="163" t="str">
        <f t="shared" si="98"/>
        <v/>
      </c>
      <c r="AM96" s="163" t="str">
        <f t="shared" si="98"/>
        <v/>
      </c>
      <c r="AN96" s="163" t="str">
        <f t="shared" si="98"/>
        <v/>
      </c>
      <c r="AO96" s="163" t="str">
        <f t="shared" si="98"/>
        <v/>
      </c>
      <c r="AP96" s="163" t="str">
        <f t="shared" si="98"/>
        <v/>
      </c>
      <c r="AQ96" s="163" t="str">
        <f t="shared" si="98"/>
        <v/>
      </c>
      <c r="AR96" s="163" t="str">
        <f t="shared" si="98"/>
        <v/>
      </c>
      <c r="AS96" s="163" t="str">
        <f t="shared" si="98"/>
        <v/>
      </c>
      <c r="AT96" s="163" t="str">
        <f t="shared" si="98"/>
        <v/>
      </c>
      <c r="AU96" s="163" t="str">
        <f t="shared" si="98"/>
        <v/>
      </c>
      <c r="AV96" s="163" t="str">
        <f t="shared" si="98"/>
        <v/>
      </c>
      <c r="AW96" s="163" t="str">
        <f t="shared" si="98"/>
        <v/>
      </c>
    </row>
    <row r="97">
      <c r="A97" s="108"/>
      <c r="B97" s="134" t="s">
        <v>1754</v>
      </c>
      <c r="C97" s="134"/>
      <c r="D97" s="134" t="s">
        <v>1755</v>
      </c>
      <c r="E97" s="134" t="s">
        <v>1756</v>
      </c>
      <c r="F97" s="246">
        <v>504.0</v>
      </c>
      <c r="G97" s="247">
        <v>3196.59</v>
      </c>
      <c r="H97" s="221">
        <v>45118.0</v>
      </c>
      <c r="I97" s="134" t="s">
        <v>1757</v>
      </c>
      <c r="J97" s="220"/>
      <c r="K97" s="134" t="b">
        <v>1</v>
      </c>
      <c r="L97" s="247">
        <f t="shared" si="3"/>
        <v>3196.59</v>
      </c>
      <c r="M97" s="248"/>
      <c r="N97" s="108" t="b">
        <f t="shared" si="4"/>
        <v>1</v>
      </c>
      <c r="O97" s="229">
        <f t="shared" si="5"/>
        <v>2</v>
      </c>
      <c r="P97" s="163" t="str">
        <f t="shared" ref="P97:AW97" si="99">iferror(if(P$9=FALSE,, if(if(search(P$11,$B97,1)&gt;0,1,0)=1,$G97/$O97,0)),"")</f>
        <v/>
      </c>
      <c r="Q97" s="163" t="str">
        <f t="shared" si="99"/>
        <v/>
      </c>
      <c r="R97" s="163" t="str">
        <f t="shared" si="99"/>
        <v/>
      </c>
      <c r="S97" s="163" t="str">
        <f t="shared" si="99"/>
        <v/>
      </c>
      <c r="T97" s="163">
        <f t="shared" si="99"/>
        <v>1598.295</v>
      </c>
      <c r="U97" s="163" t="str">
        <f t="shared" si="99"/>
        <v/>
      </c>
      <c r="V97" s="163" t="str">
        <f t="shared" si="99"/>
        <v/>
      </c>
      <c r="W97" s="163" t="str">
        <f t="shared" si="99"/>
        <v/>
      </c>
      <c r="X97" s="163" t="str">
        <f t="shared" si="99"/>
        <v/>
      </c>
      <c r="Y97" s="163" t="str">
        <f t="shared" si="99"/>
        <v/>
      </c>
      <c r="Z97" s="163" t="str">
        <f t="shared" si="99"/>
        <v/>
      </c>
      <c r="AA97" s="163" t="str">
        <f t="shared" si="99"/>
        <v/>
      </c>
      <c r="AB97" s="163" t="str">
        <f t="shared" si="99"/>
        <v/>
      </c>
      <c r="AC97" s="163" t="str">
        <f t="shared" si="99"/>
        <v/>
      </c>
      <c r="AD97" s="163" t="str">
        <f t="shared" si="99"/>
        <v/>
      </c>
      <c r="AE97" s="163" t="str">
        <f t="shared" si="99"/>
        <v/>
      </c>
      <c r="AF97" s="163" t="str">
        <f t="shared" si="99"/>
        <v/>
      </c>
      <c r="AG97" s="163" t="str">
        <f t="shared" si="99"/>
        <v/>
      </c>
      <c r="AH97" s="163" t="str">
        <f t="shared" si="99"/>
        <v/>
      </c>
      <c r="AI97" s="163" t="str">
        <f t="shared" si="99"/>
        <v/>
      </c>
      <c r="AJ97" s="163" t="str">
        <f t="shared" si="99"/>
        <v/>
      </c>
      <c r="AK97" s="163" t="str">
        <f t="shared" si="99"/>
        <v/>
      </c>
      <c r="AL97" s="163" t="str">
        <f t="shared" si="99"/>
        <v/>
      </c>
      <c r="AM97" s="163" t="str">
        <f t="shared" si="99"/>
        <v/>
      </c>
      <c r="AN97" s="163">
        <f t="shared" si="99"/>
        <v>1598.295</v>
      </c>
      <c r="AO97" s="163" t="str">
        <f t="shared" si="99"/>
        <v/>
      </c>
      <c r="AP97" s="163" t="str">
        <f t="shared" si="99"/>
        <v/>
      </c>
      <c r="AQ97" s="163" t="str">
        <f t="shared" si="99"/>
        <v/>
      </c>
      <c r="AR97" s="163" t="str">
        <f t="shared" si="99"/>
        <v/>
      </c>
      <c r="AS97" s="163" t="str">
        <f t="shared" si="99"/>
        <v/>
      </c>
      <c r="AT97" s="163" t="str">
        <f t="shared" si="99"/>
        <v/>
      </c>
      <c r="AU97" s="163" t="str">
        <f t="shared" si="99"/>
        <v/>
      </c>
      <c r="AV97" s="163" t="str">
        <f t="shared" si="99"/>
        <v/>
      </c>
      <c r="AW97" s="163" t="str">
        <f t="shared" si="99"/>
        <v/>
      </c>
    </row>
    <row r="98">
      <c r="A98" s="108"/>
      <c r="B98" s="134" t="s">
        <v>59</v>
      </c>
      <c r="C98" s="134"/>
      <c r="D98" s="134" t="s">
        <v>1758</v>
      </c>
      <c r="E98" s="134" t="str">
        <f>vlookup(D98,CNPJ!A87:B284,2,FAlse)</f>
        <v>42.567.032/0001-13</v>
      </c>
      <c r="F98" s="246" t="s">
        <v>1684</v>
      </c>
      <c r="G98" s="247">
        <v>790.0</v>
      </c>
      <c r="H98" s="221">
        <v>45117.0</v>
      </c>
      <c r="I98" s="134" t="s">
        <v>1759</v>
      </c>
      <c r="J98" s="220"/>
      <c r="K98" s="134" t="b">
        <v>0</v>
      </c>
      <c r="L98" s="247">
        <f t="shared" si="3"/>
        <v>0</v>
      </c>
      <c r="M98" s="248"/>
      <c r="N98" s="108" t="b">
        <f t="shared" si="4"/>
        <v>0</v>
      </c>
      <c r="O98" s="229">
        <f t="shared" si="5"/>
        <v>0</v>
      </c>
      <c r="P98" s="163" t="str">
        <f t="shared" ref="P98:AW98" si="100">iferror(if(P$9=FALSE,, if(if(search(P$11,$B98,1)&gt;0,1,0)=1,$G98/$O98,0)),"")</f>
        <v/>
      </c>
      <c r="Q98" s="163" t="str">
        <f t="shared" si="100"/>
        <v/>
      </c>
      <c r="R98" s="163" t="str">
        <f t="shared" si="100"/>
        <v/>
      </c>
      <c r="S98" s="163" t="str">
        <f t="shared" si="100"/>
        <v/>
      </c>
      <c r="T98" s="163" t="str">
        <f t="shared" si="100"/>
        <v/>
      </c>
      <c r="U98" s="163" t="str">
        <f t="shared" si="100"/>
        <v/>
      </c>
      <c r="V98" s="163" t="str">
        <f t="shared" si="100"/>
        <v/>
      </c>
      <c r="W98" s="163" t="str">
        <f t="shared" si="100"/>
        <v/>
      </c>
      <c r="X98" s="163" t="str">
        <f t="shared" si="100"/>
        <v/>
      </c>
      <c r="Y98" s="163" t="str">
        <f t="shared" si="100"/>
        <v/>
      </c>
      <c r="Z98" s="163" t="str">
        <f t="shared" si="100"/>
        <v/>
      </c>
      <c r="AA98" s="163" t="str">
        <f t="shared" si="100"/>
        <v/>
      </c>
      <c r="AB98" s="163" t="str">
        <f t="shared" si="100"/>
        <v/>
      </c>
      <c r="AC98" s="163" t="str">
        <f t="shared" si="100"/>
        <v/>
      </c>
      <c r="AD98" s="163" t="str">
        <f t="shared" si="100"/>
        <v/>
      </c>
      <c r="AE98" s="163" t="str">
        <f t="shared" si="100"/>
        <v/>
      </c>
      <c r="AF98" s="163" t="str">
        <f t="shared" si="100"/>
        <v/>
      </c>
      <c r="AG98" s="163" t="str">
        <f t="shared" si="100"/>
        <v/>
      </c>
      <c r="AH98" s="163" t="str">
        <f t="shared" si="100"/>
        <v/>
      </c>
      <c r="AI98" s="163" t="str">
        <f t="shared" si="100"/>
        <v/>
      </c>
      <c r="AJ98" s="163" t="str">
        <f t="shared" si="100"/>
        <v/>
      </c>
      <c r="AK98" s="163" t="str">
        <f t="shared" si="100"/>
        <v/>
      </c>
      <c r="AL98" s="163" t="str">
        <f t="shared" si="100"/>
        <v/>
      </c>
      <c r="AM98" s="163" t="str">
        <f t="shared" si="100"/>
        <v/>
      </c>
      <c r="AN98" s="163" t="str">
        <f t="shared" si="100"/>
        <v/>
      </c>
      <c r="AO98" s="163" t="str">
        <f t="shared" si="100"/>
        <v/>
      </c>
      <c r="AP98" s="163" t="str">
        <f t="shared" si="100"/>
        <v/>
      </c>
      <c r="AQ98" s="163" t="str">
        <f t="shared" si="100"/>
        <v/>
      </c>
      <c r="AR98" s="163" t="str">
        <f t="shared" si="100"/>
        <v/>
      </c>
      <c r="AS98" s="163" t="str">
        <f t="shared" si="100"/>
        <v/>
      </c>
      <c r="AT98" s="163" t="str">
        <f t="shared" si="100"/>
        <v/>
      </c>
      <c r="AU98" s="163" t="str">
        <f t="shared" si="100"/>
        <v/>
      </c>
      <c r="AV98" s="163" t="str">
        <f t="shared" si="100"/>
        <v/>
      </c>
      <c r="AW98" s="163" t="str">
        <f t="shared" si="100"/>
        <v/>
      </c>
    </row>
    <row r="99">
      <c r="A99" s="108"/>
      <c r="B99" s="134" t="s">
        <v>55</v>
      </c>
      <c r="C99" s="134"/>
      <c r="D99" s="134" t="s">
        <v>1650</v>
      </c>
      <c r="E99" s="134" t="str">
        <f>vlookup(D99,CNPJ!A88:B285,2,FAlse)</f>
        <v>20.618.029/0001-49</v>
      </c>
      <c r="F99" s="246">
        <v>72337.0</v>
      </c>
      <c r="G99" s="247">
        <v>29.95</v>
      </c>
      <c r="H99" s="221">
        <v>45154.0</v>
      </c>
      <c r="I99" s="134" t="s">
        <v>1651</v>
      </c>
      <c r="J99" s="220"/>
      <c r="K99" s="134" t="b">
        <v>1</v>
      </c>
      <c r="L99" s="247">
        <f t="shared" si="3"/>
        <v>29.95</v>
      </c>
      <c r="M99" s="248"/>
      <c r="N99" s="108" t="b">
        <f t="shared" si="4"/>
        <v>1</v>
      </c>
      <c r="O99" s="229">
        <f t="shared" si="5"/>
        <v>1</v>
      </c>
      <c r="P99" s="163" t="str">
        <f t="shared" ref="P99:AW99" si="101">iferror(if(P$9=FALSE,, if(if(search(P$11,$B99,1)&gt;0,1,0)=1,$G99/$O99,0)),"")</f>
        <v/>
      </c>
      <c r="Q99" s="163" t="str">
        <f t="shared" si="101"/>
        <v/>
      </c>
      <c r="R99" s="163" t="str">
        <f t="shared" si="101"/>
        <v/>
      </c>
      <c r="S99" s="163" t="str">
        <f t="shared" si="101"/>
        <v/>
      </c>
      <c r="T99" s="163" t="str">
        <f t="shared" si="101"/>
        <v/>
      </c>
      <c r="U99" s="163" t="str">
        <f t="shared" si="101"/>
        <v/>
      </c>
      <c r="V99" s="163" t="str">
        <f t="shared" si="101"/>
        <v/>
      </c>
      <c r="W99" s="163" t="str">
        <f t="shared" si="101"/>
        <v/>
      </c>
      <c r="X99" s="163" t="str">
        <f t="shared" si="101"/>
        <v/>
      </c>
      <c r="Y99" s="163" t="str">
        <f t="shared" si="101"/>
        <v/>
      </c>
      <c r="Z99" s="163">
        <f t="shared" si="101"/>
        <v>29.95</v>
      </c>
      <c r="AA99" s="163" t="str">
        <f t="shared" si="101"/>
        <v/>
      </c>
      <c r="AB99" s="163" t="str">
        <f t="shared" si="101"/>
        <v/>
      </c>
      <c r="AC99" s="163" t="str">
        <f t="shared" si="101"/>
        <v/>
      </c>
      <c r="AD99" s="163" t="str">
        <f t="shared" si="101"/>
        <v/>
      </c>
      <c r="AE99" s="163" t="str">
        <f t="shared" si="101"/>
        <v/>
      </c>
      <c r="AF99" s="163" t="str">
        <f t="shared" si="101"/>
        <v/>
      </c>
      <c r="AG99" s="163" t="str">
        <f t="shared" si="101"/>
        <v/>
      </c>
      <c r="AH99" s="163" t="str">
        <f t="shared" si="101"/>
        <v/>
      </c>
      <c r="AI99" s="163" t="str">
        <f t="shared" si="101"/>
        <v/>
      </c>
      <c r="AJ99" s="163" t="str">
        <f t="shared" si="101"/>
        <v/>
      </c>
      <c r="AK99" s="163" t="str">
        <f t="shared" si="101"/>
        <v/>
      </c>
      <c r="AL99" s="163" t="str">
        <f t="shared" si="101"/>
        <v/>
      </c>
      <c r="AM99" s="163" t="str">
        <f t="shared" si="101"/>
        <v/>
      </c>
      <c r="AN99" s="163" t="str">
        <f t="shared" si="101"/>
        <v/>
      </c>
      <c r="AO99" s="163" t="str">
        <f t="shared" si="101"/>
        <v/>
      </c>
      <c r="AP99" s="163" t="str">
        <f t="shared" si="101"/>
        <v/>
      </c>
      <c r="AQ99" s="163" t="str">
        <f t="shared" si="101"/>
        <v/>
      </c>
      <c r="AR99" s="163" t="str">
        <f t="shared" si="101"/>
        <v/>
      </c>
      <c r="AS99" s="163" t="str">
        <f t="shared" si="101"/>
        <v/>
      </c>
      <c r="AT99" s="163" t="str">
        <f t="shared" si="101"/>
        <v/>
      </c>
      <c r="AU99" s="163" t="str">
        <f t="shared" si="101"/>
        <v/>
      </c>
      <c r="AV99" s="163" t="str">
        <f t="shared" si="101"/>
        <v/>
      </c>
      <c r="AW99" s="163" t="str">
        <f t="shared" si="101"/>
        <v/>
      </c>
    </row>
    <row r="100">
      <c r="A100" s="108"/>
      <c r="B100" s="134" t="s">
        <v>55</v>
      </c>
      <c r="C100" s="134"/>
      <c r="D100" s="134" t="s">
        <v>1678</v>
      </c>
      <c r="E100" s="134" t="str">
        <f>vlookup(D100,CNPJ!A89:B286,2,FAlse)</f>
        <v>50.276.237/0001-78</v>
      </c>
      <c r="F100" s="246">
        <v>146593.0</v>
      </c>
      <c r="G100" s="247">
        <v>918.0</v>
      </c>
      <c r="H100" s="221">
        <v>45170.0</v>
      </c>
      <c r="I100" s="134" t="s">
        <v>1724</v>
      </c>
      <c r="J100" s="220"/>
      <c r="K100" s="134" t="b">
        <v>1</v>
      </c>
      <c r="L100" s="247">
        <f t="shared" si="3"/>
        <v>918</v>
      </c>
      <c r="M100" s="248"/>
      <c r="N100" s="108" t="b">
        <f t="shared" si="4"/>
        <v>1</v>
      </c>
      <c r="O100" s="229">
        <f t="shared" si="5"/>
        <v>1</v>
      </c>
      <c r="P100" s="163" t="str">
        <f t="shared" ref="P100:AW100" si="102">iferror(if(P$9=FALSE,, if(if(search(P$11,$B100,1)&gt;0,1,0)=1,$G100/$O100,0)),"")</f>
        <v/>
      </c>
      <c r="Q100" s="163" t="str">
        <f t="shared" si="102"/>
        <v/>
      </c>
      <c r="R100" s="163" t="str">
        <f t="shared" si="102"/>
        <v/>
      </c>
      <c r="S100" s="163" t="str">
        <f t="shared" si="102"/>
        <v/>
      </c>
      <c r="T100" s="163" t="str">
        <f t="shared" si="102"/>
        <v/>
      </c>
      <c r="U100" s="163" t="str">
        <f t="shared" si="102"/>
        <v/>
      </c>
      <c r="V100" s="163" t="str">
        <f t="shared" si="102"/>
        <v/>
      </c>
      <c r="W100" s="163" t="str">
        <f t="shared" si="102"/>
        <v/>
      </c>
      <c r="X100" s="163" t="str">
        <f t="shared" si="102"/>
        <v/>
      </c>
      <c r="Y100" s="163" t="str">
        <f t="shared" si="102"/>
        <v/>
      </c>
      <c r="Z100" s="163">
        <f t="shared" si="102"/>
        <v>918</v>
      </c>
      <c r="AA100" s="163" t="str">
        <f t="shared" si="102"/>
        <v/>
      </c>
      <c r="AB100" s="163" t="str">
        <f t="shared" si="102"/>
        <v/>
      </c>
      <c r="AC100" s="163" t="str">
        <f t="shared" si="102"/>
        <v/>
      </c>
      <c r="AD100" s="163" t="str">
        <f t="shared" si="102"/>
        <v/>
      </c>
      <c r="AE100" s="163" t="str">
        <f t="shared" si="102"/>
        <v/>
      </c>
      <c r="AF100" s="163" t="str">
        <f t="shared" si="102"/>
        <v/>
      </c>
      <c r="AG100" s="163" t="str">
        <f t="shared" si="102"/>
        <v/>
      </c>
      <c r="AH100" s="163" t="str">
        <f t="shared" si="102"/>
        <v/>
      </c>
      <c r="AI100" s="163" t="str">
        <f t="shared" si="102"/>
        <v/>
      </c>
      <c r="AJ100" s="163" t="str">
        <f t="shared" si="102"/>
        <v/>
      </c>
      <c r="AK100" s="163" t="str">
        <f t="shared" si="102"/>
        <v/>
      </c>
      <c r="AL100" s="163" t="str">
        <f t="shared" si="102"/>
        <v/>
      </c>
      <c r="AM100" s="163" t="str">
        <f t="shared" si="102"/>
        <v/>
      </c>
      <c r="AN100" s="163" t="str">
        <f t="shared" si="102"/>
        <v/>
      </c>
      <c r="AO100" s="163" t="str">
        <f t="shared" si="102"/>
        <v/>
      </c>
      <c r="AP100" s="163" t="str">
        <f t="shared" si="102"/>
        <v/>
      </c>
      <c r="AQ100" s="163" t="str">
        <f t="shared" si="102"/>
        <v/>
      </c>
      <c r="AR100" s="163" t="str">
        <f t="shared" si="102"/>
        <v/>
      </c>
      <c r="AS100" s="163" t="str">
        <f t="shared" si="102"/>
        <v/>
      </c>
      <c r="AT100" s="163" t="str">
        <f t="shared" si="102"/>
        <v/>
      </c>
      <c r="AU100" s="163" t="str">
        <f t="shared" si="102"/>
        <v/>
      </c>
      <c r="AV100" s="163" t="str">
        <f t="shared" si="102"/>
        <v/>
      </c>
      <c r="AW100" s="163" t="str">
        <f t="shared" si="102"/>
        <v/>
      </c>
    </row>
    <row r="101">
      <c r="A101" s="108"/>
      <c r="B101" s="134" t="s">
        <v>1760</v>
      </c>
      <c r="C101" s="134"/>
      <c r="D101" s="134" t="s">
        <v>1648</v>
      </c>
      <c r="E101" s="134" t="str">
        <f>vlookup(D101,CNPJ!A90:B287,2,FAlse)</f>
        <v>04.329.668/0001-38</v>
      </c>
      <c r="F101" s="246">
        <v>224769.0</v>
      </c>
      <c r="G101" s="247">
        <v>12862.36</v>
      </c>
      <c r="H101" s="221">
        <v>45170.0</v>
      </c>
      <c r="I101" s="134" t="s">
        <v>1761</v>
      </c>
      <c r="J101" s="220"/>
      <c r="K101" s="134" t="b">
        <v>1</v>
      </c>
      <c r="L101" s="247">
        <f t="shared" si="3"/>
        <v>6431.18</v>
      </c>
      <c r="M101" s="248"/>
      <c r="N101" s="108" t="b">
        <f t="shared" si="4"/>
        <v>0</v>
      </c>
      <c r="O101" s="229">
        <f t="shared" si="5"/>
        <v>2</v>
      </c>
      <c r="P101" s="163" t="str">
        <f t="shared" ref="P101:AW101" si="103">iferror(if(P$9=FALSE,, if(if(search(P$11,$B101,1)&gt;0,1,0)=1,$G101/$O101,0)),"")</f>
        <v/>
      </c>
      <c r="Q101" s="163" t="str">
        <f t="shared" si="103"/>
        <v/>
      </c>
      <c r="R101" s="163" t="str">
        <f t="shared" si="103"/>
        <v/>
      </c>
      <c r="S101" s="163" t="str">
        <f t="shared" si="103"/>
        <v/>
      </c>
      <c r="T101" s="163" t="str">
        <f t="shared" si="103"/>
        <v/>
      </c>
      <c r="U101" s="163" t="str">
        <f t="shared" si="103"/>
        <v/>
      </c>
      <c r="V101" s="163" t="str">
        <f t="shared" si="103"/>
        <v/>
      </c>
      <c r="W101" s="163" t="str">
        <f t="shared" si="103"/>
        <v/>
      </c>
      <c r="X101" s="163" t="str">
        <f t="shared" si="103"/>
        <v/>
      </c>
      <c r="Y101" s="163" t="str">
        <f t="shared" si="103"/>
        <v/>
      </c>
      <c r="Z101" s="163">
        <f t="shared" si="103"/>
        <v>6431.18</v>
      </c>
      <c r="AA101" s="163" t="str">
        <f t="shared" si="103"/>
        <v/>
      </c>
      <c r="AB101" s="163" t="str">
        <f t="shared" si="103"/>
        <v/>
      </c>
      <c r="AC101" s="163" t="str">
        <f t="shared" si="103"/>
        <v/>
      </c>
      <c r="AD101" s="163" t="str">
        <f t="shared" si="103"/>
        <v/>
      </c>
      <c r="AE101" s="163" t="str">
        <f t="shared" si="103"/>
        <v/>
      </c>
      <c r="AF101" s="163" t="str">
        <f t="shared" si="103"/>
        <v/>
      </c>
      <c r="AG101" s="163" t="str">
        <f t="shared" si="103"/>
        <v/>
      </c>
      <c r="AH101" s="163" t="str">
        <f t="shared" si="103"/>
        <v/>
      </c>
      <c r="AI101" s="163" t="str">
        <f t="shared" si="103"/>
        <v/>
      </c>
      <c r="AJ101" s="163" t="str">
        <f t="shared" si="103"/>
        <v/>
      </c>
      <c r="AK101" s="163" t="str">
        <f t="shared" si="103"/>
        <v/>
      </c>
      <c r="AL101" s="163" t="str">
        <f t="shared" si="103"/>
        <v/>
      </c>
      <c r="AM101" s="163" t="str">
        <f t="shared" si="103"/>
        <v/>
      </c>
      <c r="AN101" s="163" t="str">
        <f t="shared" si="103"/>
        <v/>
      </c>
      <c r="AO101" s="163" t="str">
        <f t="shared" si="103"/>
        <v/>
      </c>
      <c r="AP101" s="163" t="str">
        <f t="shared" si="103"/>
        <v/>
      </c>
      <c r="AQ101" s="163" t="str">
        <f t="shared" si="103"/>
        <v/>
      </c>
      <c r="AR101" s="163" t="str">
        <f t="shared" si="103"/>
        <v/>
      </c>
      <c r="AS101" s="163" t="str">
        <f t="shared" si="103"/>
        <v/>
      </c>
      <c r="AT101" s="163" t="str">
        <f t="shared" si="103"/>
        <v/>
      </c>
      <c r="AU101" s="163" t="str">
        <f t="shared" si="103"/>
        <v/>
      </c>
      <c r="AV101" s="163" t="str">
        <f t="shared" si="103"/>
        <v/>
      </c>
      <c r="AW101" s="163" t="str">
        <f t="shared" si="103"/>
        <v/>
      </c>
    </row>
    <row r="102">
      <c r="A102" s="108"/>
      <c r="B102" s="134" t="s">
        <v>54</v>
      </c>
      <c r="C102" s="134"/>
      <c r="D102" s="134" t="s">
        <v>1762</v>
      </c>
      <c r="E102" s="134" t="str">
        <f>vlookup(D102,CNPJ!A91:B288,2,FAlse)</f>
        <v>61.528.030/0001-60</v>
      </c>
      <c r="F102" s="246">
        <v>26035.0</v>
      </c>
      <c r="G102" s="247">
        <v>20814.27</v>
      </c>
      <c r="H102" s="221">
        <v>45117.0</v>
      </c>
      <c r="I102" s="134" t="s">
        <v>1763</v>
      </c>
      <c r="J102" s="220"/>
      <c r="K102" s="134" t="b">
        <v>1</v>
      </c>
      <c r="L102" s="247">
        <f t="shared" si="3"/>
        <v>20814.27</v>
      </c>
      <c r="M102" s="248"/>
      <c r="N102" s="108" t="b">
        <f t="shared" si="4"/>
        <v>1</v>
      </c>
      <c r="O102" s="229">
        <f t="shared" si="5"/>
        <v>1</v>
      </c>
      <c r="P102" s="163" t="str">
        <f t="shared" ref="P102:AW102" si="104">iferror(if(P$9=FALSE,, if(if(search(P$11,$B102,1)&gt;0,1,0)=1,$G102/$O102,0)),"")</f>
        <v/>
      </c>
      <c r="Q102" s="163" t="str">
        <f t="shared" si="104"/>
        <v/>
      </c>
      <c r="R102" s="163" t="str">
        <f t="shared" si="104"/>
        <v/>
      </c>
      <c r="S102" s="163" t="str">
        <f t="shared" si="104"/>
        <v/>
      </c>
      <c r="T102" s="163" t="str">
        <f t="shared" si="104"/>
        <v/>
      </c>
      <c r="U102" s="163" t="str">
        <f t="shared" si="104"/>
        <v/>
      </c>
      <c r="V102" s="163" t="str">
        <f t="shared" si="104"/>
        <v/>
      </c>
      <c r="W102" s="163" t="str">
        <f t="shared" si="104"/>
        <v/>
      </c>
      <c r="X102" s="163" t="str">
        <f t="shared" si="104"/>
        <v/>
      </c>
      <c r="Y102" s="163">
        <f t="shared" si="104"/>
        <v>20814.27</v>
      </c>
      <c r="Z102" s="163" t="str">
        <f t="shared" si="104"/>
        <v/>
      </c>
      <c r="AA102" s="163" t="str">
        <f t="shared" si="104"/>
        <v/>
      </c>
      <c r="AB102" s="163" t="str">
        <f t="shared" si="104"/>
        <v/>
      </c>
      <c r="AC102" s="163" t="str">
        <f t="shared" si="104"/>
        <v/>
      </c>
      <c r="AD102" s="163" t="str">
        <f t="shared" si="104"/>
        <v/>
      </c>
      <c r="AE102" s="163" t="str">
        <f t="shared" si="104"/>
        <v/>
      </c>
      <c r="AF102" s="163" t="str">
        <f t="shared" si="104"/>
        <v/>
      </c>
      <c r="AG102" s="163" t="str">
        <f t="shared" si="104"/>
        <v/>
      </c>
      <c r="AH102" s="163" t="str">
        <f t="shared" si="104"/>
        <v/>
      </c>
      <c r="AI102" s="163" t="str">
        <f t="shared" si="104"/>
        <v/>
      </c>
      <c r="AJ102" s="163" t="str">
        <f t="shared" si="104"/>
        <v/>
      </c>
      <c r="AK102" s="163" t="str">
        <f t="shared" si="104"/>
        <v/>
      </c>
      <c r="AL102" s="163" t="str">
        <f t="shared" si="104"/>
        <v/>
      </c>
      <c r="AM102" s="163" t="str">
        <f t="shared" si="104"/>
        <v/>
      </c>
      <c r="AN102" s="163" t="str">
        <f t="shared" si="104"/>
        <v/>
      </c>
      <c r="AO102" s="163" t="str">
        <f t="shared" si="104"/>
        <v/>
      </c>
      <c r="AP102" s="163" t="str">
        <f t="shared" si="104"/>
        <v/>
      </c>
      <c r="AQ102" s="163" t="str">
        <f t="shared" si="104"/>
        <v/>
      </c>
      <c r="AR102" s="163" t="str">
        <f t="shared" si="104"/>
        <v/>
      </c>
      <c r="AS102" s="163" t="str">
        <f t="shared" si="104"/>
        <v/>
      </c>
      <c r="AT102" s="163" t="str">
        <f t="shared" si="104"/>
        <v/>
      </c>
      <c r="AU102" s="163" t="str">
        <f t="shared" si="104"/>
        <v/>
      </c>
      <c r="AV102" s="163" t="str">
        <f t="shared" si="104"/>
        <v/>
      </c>
      <c r="AW102" s="163" t="str">
        <f t="shared" si="104"/>
        <v/>
      </c>
    </row>
    <row r="103">
      <c r="A103" s="108"/>
      <c r="B103" s="134" t="s">
        <v>1764</v>
      </c>
      <c r="C103" s="134"/>
      <c r="D103" s="134" t="s">
        <v>1765</v>
      </c>
      <c r="E103" s="134" t="str">
        <f>vlookup(D103,CNPJ!A92:B289,2,FAlse)</f>
        <v>16.670.085/0166-63</v>
      </c>
      <c r="F103" s="246" t="s">
        <v>1766</v>
      </c>
      <c r="G103" s="247">
        <v>511.26</v>
      </c>
      <c r="H103" s="221">
        <v>45183.0</v>
      </c>
      <c r="I103" s="134" t="s">
        <v>1767</v>
      </c>
      <c r="J103" s="220"/>
      <c r="K103" s="134" t="b">
        <v>1</v>
      </c>
      <c r="L103" s="247">
        <f t="shared" si="3"/>
        <v>511.26</v>
      </c>
      <c r="M103" s="248"/>
      <c r="N103" s="108" t="b">
        <f t="shared" si="4"/>
        <v>0</v>
      </c>
      <c r="O103" s="229">
        <f t="shared" si="5"/>
        <v>2</v>
      </c>
      <c r="P103" s="163">
        <f t="shared" ref="P103:AW103" si="105">iferror(if(P$9=FALSE,, if(if(search(P$11,$B103,1)&gt;0,1,0)=1,$G103/$O103,0)),"")</f>
        <v>255.63</v>
      </c>
      <c r="Q103" s="163" t="str">
        <f t="shared" si="105"/>
        <v/>
      </c>
      <c r="R103" s="163" t="str">
        <f t="shared" si="105"/>
        <v/>
      </c>
      <c r="S103" s="163" t="str">
        <f t="shared" si="105"/>
        <v/>
      </c>
      <c r="T103" s="163" t="str">
        <f t="shared" si="105"/>
        <v/>
      </c>
      <c r="U103" s="163" t="str">
        <f t="shared" si="105"/>
        <v/>
      </c>
      <c r="V103" s="163" t="str">
        <f t="shared" si="105"/>
        <v/>
      </c>
      <c r="W103" s="163" t="str">
        <f t="shared" si="105"/>
        <v/>
      </c>
      <c r="X103" s="163" t="str">
        <f t="shared" si="105"/>
        <v/>
      </c>
      <c r="Y103" s="163" t="str">
        <f t="shared" si="105"/>
        <v/>
      </c>
      <c r="Z103" s="163" t="str">
        <f t="shared" si="105"/>
        <v/>
      </c>
      <c r="AA103" s="163" t="str">
        <f t="shared" si="105"/>
        <v/>
      </c>
      <c r="AB103" s="163" t="str">
        <f t="shared" si="105"/>
        <v/>
      </c>
      <c r="AC103" s="163" t="str">
        <f t="shared" si="105"/>
        <v/>
      </c>
      <c r="AD103" s="163" t="str">
        <f t="shared" si="105"/>
        <v/>
      </c>
      <c r="AE103" s="163" t="str">
        <f t="shared" si="105"/>
        <v/>
      </c>
      <c r="AF103" s="163" t="str">
        <f t="shared" si="105"/>
        <v/>
      </c>
      <c r="AG103" s="163" t="str">
        <f t="shared" si="105"/>
        <v/>
      </c>
      <c r="AH103" s="163" t="str">
        <f t="shared" si="105"/>
        <v/>
      </c>
      <c r="AI103" s="163" t="str">
        <f t="shared" si="105"/>
        <v/>
      </c>
      <c r="AJ103" s="163" t="str">
        <f t="shared" si="105"/>
        <v/>
      </c>
      <c r="AK103" s="163" t="str">
        <f t="shared" si="105"/>
        <v/>
      </c>
      <c r="AL103" s="163" t="str">
        <f t="shared" si="105"/>
        <v/>
      </c>
      <c r="AM103" s="163" t="str">
        <f t="shared" si="105"/>
        <v/>
      </c>
      <c r="AN103" s="163" t="str">
        <f t="shared" si="105"/>
        <v/>
      </c>
      <c r="AO103" s="163" t="str">
        <f t="shared" si="105"/>
        <v/>
      </c>
      <c r="AP103" s="163" t="str">
        <f t="shared" si="105"/>
        <v/>
      </c>
      <c r="AQ103" s="163" t="str">
        <f t="shared" si="105"/>
        <v/>
      </c>
      <c r="AR103" s="163" t="str">
        <f t="shared" si="105"/>
        <v/>
      </c>
      <c r="AS103" s="163" t="str">
        <f t="shared" si="105"/>
        <v/>
      </c>
      <c r="AT103" s="163" t="str">
        <f t="shared" si="105"/>
        <v/>
      </c>
      <c r="AU103" s="163" t="str">
        <f t="shared" si="105"/>
        <v/>
      </c>
      <c r="AV103" s="163" t="str">
        <f t="shared" si="105"/>
        <v/>
      </c>
      <c r="AW103" s="163">
        <f t="shared" si="105"/>
        <v>255.63</v>
      </c>
    </row>
    <row r="104">
      <c r="A104" s="108"/>
      <c r="B104" s="134" t="s">
        <v>290</v>
      </c>
      <c r="C104" s="134"/>
      <c r="D104" s="134" t="s">
        <v>1648</v>
      </c>
      <c r="E104" s="134" t="str">
        <f>vlookup(D104,CNPJ!A93:B290,2,FAlse)</f>
        <v>04.329.668/0001-38</v>
      </c>
      <c r="F104" s="246">
        <v>226937.0</v>
      </c>
      <c r="G104" s="247">
        <v>9960.63</v>
      </c>
      <c r="H104" s="221">
        <v>45196.0</v>
      </c>
      <c r="I104" s="134" t="s">
        <v>1768</v>
      </c>
      <c r="J104" s="220"/>
      <c r="K104" s="134" t="b">
        <v>1</v>
      </c>
      <c r="L104" s="247">
        <f t="shared" si="3"/>
        <v>9960.63</v>
      </c>
      <c r="M104" s="248"/>
      <c r="N104" s="108" t="b">
        <f t="shared" si="4"/>
        <v>1</v>
      </c>
      <c r="O104" s="229">
        <f t="shared" si="5"/>
        <v>1</v>
      </c>
      <c r="P104" s="163">
        <f t="shared" ref="P104:AW104" si="106">iferror(if(P$9=FALSE,, if(if(search(P$11,$B104,1)&gt;0,1,0)=1,$G104/$O104,0)),"")</f>
        <v>9960.63</v>
      </c>
      <c r="Q104" s="163" t="str">
        <f t="shared" si="106"/>
        <v/>
      </c>
      <c r="R104" s="163" t="str">
        <f t="shared" si="106"/>
        <v/>
      </c>
      <c r="S104" s="163" t="str">
        <f t="shared" si="106"/>
        <v/>
      </c>
      <c r="T104" s="163" t="str">
        <f t="shared" si="106"/>
        <v/>
      </c>
      <c r="U104" s="163" t="str">
        <f t="shared" si="106"/>
        <v/>
      </c>
      <c r="V104" s="163" t="str">
        <f t="shared" si="106"/>
        <v/>
      </c>
      <c r="W104" s="163" t="str">
        <f t="shared" si="106"/>
        <v/>
      </c>
      <c r="X104" s="163" t="str">
        <f t="shared" si="106"/>
        <v/>
      </c>
      <c r="Y104" s="163" t="str">
        <f t="shared" si="106"/>
        <v/>
      </c>
      <c r="Z104" s="163" t="str">
        <f t="shared" si="106"/>
        <v/>
      </c>
      <c r="AA104" s="163" t="str">
        <f t="shared" si="106"/>
        <v/>
      </c>
      <c r="AB104" s="163" t="str">
        <f t="shared" si="106"/>
        <v/>
      </c>
      <c r="AC104" s="163" t="str">
        <f t="shared" si="106"/>
        <v/>
      </c>
      <c r="AD104" s="163" t="str">
        <f t="shared" si="106"/>
        <v/>
      </c>
      <c r="AE104" s="163" t="str">
        <f t="shared" si="106"/>
        <v/>
      </c>
      <c r="AF104" s="163" t="str">
        <f t="shared" si="106"/>
        <v/>
      </c>
      <c r="AG104" s="163" t="str">
        <f t="shared" si="106"/>
        <v/>
      </c>
      <c r="AH104" s="163" t="str">
        <f t="shared" si="106"/>
        <v/>
      </c>
      <c r="AI104" s="163" t="str">
        <f t="shared" si="106"/>
        <v/>
      </c>
      <c r="AJ104" s="163" t="str">
        <f t="shared" si="106"/>
        <v/>
      </c>
      <c r="AK104" s="163" t="str">
        <f t="shared" si="106"/>
        <v/>
      </c>
      <c r="AL104" s="163" t="str">
        <f t="shared" si="106"/>
        <v/>
      </c>
      <c r="AM104" s="163" t="str">
        <f t="shared" si="106"/>
        <v/>
      </c>
      <c r="AN104" s="163" t="str">
        <f t="shared" si="106"/>
        <v/>
      </c>
      <c r="AO104" s="163" t="str">
        <f t="shared" si="106"/>
        <v/>
      </c>
      <c r="AP104" s="163" t="str">
        <f t="shared" si="106"/>
        <v/>
      </c>
      <c r="AQ104" s="163" t="str">
        <f t="shared" si="106"/>
        <v/>
      </c>
      <c r="AR104" s="163" t="str">
        <f t="shared" si="106"/>
        <v/>
      </c>
      <c r="AS104" s="163" t="str">
        <f t="shared" si="106"/>
        <v/>
      </c>
      <c r="AT104" s="163" t="str">
        <f t="shared" si="106"/>
        <v/>
      </c>
      <c r="AU104" s="163" t="str">
        <f t="shared" si="106"/>
        <v/>
      </c>
      <c r="AV104" s="163" t="str">
        <f t="shared" si="106"/>
        <v/>
      </c>
      <c r="AW104" s="163" t="str">
        <f t="shared" si="106"/>
        <v/>
      </c>
    </row>
    <row r="105">
      <c r="A105" s="108"/>
      <c r="B105" s="134" t="s">
        <v>1764</v>
      </c>
      <c r="C105" s="134"/>
      <c r="D105" s="134" t="s">
        <v>1769</v>
      </c>
      <c r="E105" s="134" t="s">
        <v>1770</v>
      </c>
      <c r="F105" s="246">
        <v>1228560.0</v>
      </c>
      <c r="G105" s="247">
        <v>1065.75</v>
      </c>
      <c r="H105" s="221">
        <v>45200.0</v>
      </c>
      <c r="I105" s="134" t="s">
        <v>1771</v>
      </c>
      <c r="J105" s="220"/>
      <c r="K105" s="134" t="b">
        <v>1</v>
      </c>
      <c r="L105" s="247">
        <f t="shared" si="3"/>
        <v>1065.75</v>
      </c>
      <c r="M105" s="248"/>
      <c r="N105" s="108" t="b">
        <f t="shared" ref="N105:N124" si="108">sum(P105:AW105)=G105</f>
        <v>1</v>
      </c>
      <c r="O105" s="229">
        <f t="shared" si="5"/>
        <v>2</v>
      </c>
      <c r="P105" s="163">
        <f t="shared" ref="P105:AW105" si="107">iferror(if(P$9=FALSE,, if(if(search(P$11,$B105,1)&gt;0,1,0)=1,$G105/$O105,0)),"")</f>
        <v>532.875</v>
      </c>
      <c r="Q105" s="163" t="str">
        <f t="shared" si="107"/>
        <v/>
      </c>
      <c r="R105" s="163" t="str">
        <f t="shared" si="107"/>
        <v/>
      </c>
      <c r="S105" s="163" t="str">
        <f t="shared" si="107"/>
        <v/>
      </c>
      <c r="T105" s="163" t="str">
        <f t="shared" si="107"/>
        <v/>
      </c>
      <c r="U105" s="163" t="str">
        <f t="shared" si="107"/>
        <v/>
      </c>
      <c r="V105" s="163" t="str">
        <f t="shared" si="107"/>
        <v/>
      </c>
      <c r="W105" s="163" t="str">
        <f t="shared" si="107"/>
        <v/>
      </c>
      <c r="X105" s="163" t="str">
        <f t="shared" si="107"/>
        <v/>
      </c>
      <c r="Y105" s="163" t="str">
        <f t="shared" si="107"/>
        <v/>
      </c>
      <c r="Z105" s="163" t="str">
        <f t="shared" si="107"/>
        <v/>
      </c>
      <c r="AA105" s="163" t="str">
        <f t="shared" si="107"/>
        <v/>
      </c>
      <c r="AB105" s="163" t="str">
        <f t="shared" si="107"/>
        <v/>
      </c>
      <c r="AC105" s="163" t="str">
        <f t="shared" si="107"/>
        <v/>
      </c>
      <c r="AD105" s="163" t="str">
        <f t="shared" si="107"/>
        <v/>
      </c>
      <c r="AE105" s="163" t="str">
        <f t="shared" si="107"/>
        <v/>
      </c>
      <c r="AF105" s="163" t="str">
        <f t="shared" si="107"/>
        <v/>
      </c>
      <c r="AG105" s="163" t="str">
        <f t="shared" si="107"/>
        <v/>
      </c>
      <c r="AH105" s="163" t="str">
        <f t="shared" si="107"/>
        <v/>
      </c>
      <c r="AI105" s="163" t="str">
        <f t="shared" si="107"/>
        <v/>
      </c>
      <c r="AJ105" s="163" t="str">
        <f t="shared" si="107"/>
        <v/>
      </c>
      <c r="AK105" s="163" t="str">
        <f t="shared" si="107"/>
        <v/>
      </c>
      <c r="AL105" s="163" t="str">
        <f t="shared" si="107"/>
        <v/>
      </c>
      <c r="AM105" s="163" t="str">
        <f t="shared" si="107"/>
        <v/>
      </c>
      <c r="AN105" s="163" t="str">
        <f t="shared" si="107"/>
        <v/>
      </c>
      <c r="AO105" s="163" t="str">
        <f t="shared" si="107"/>
        <v/>
      </c>
      <c r="AP105" s="163" t="str">
        <f t="shared" si="107"/>
        <v/>
      </c>
      <c r="AQ105" s="163" t="str">
        <f t="shared" si="107"/>
        <v/>
      </c>
      <c r="AR105" s="163" t="str">
        <f t="shared" si="107"/>
        <v/>
      </c>
      <c r="AS105" s="163" t="str">
        <f t="shared" si="107"/>
        <v/>
      </c>
      <c r="AT105" s="163" t="str">
        <f t="shared" si="107"/>
        <v/>
      </c>
      <c r="AU105" s="163" t="str">
        <f t="shared" si="107"/>
        <v/>
      </c>
      <c r="AV105" s="163" t="str">
        <f t="shared" si="107"/>
        <v/>
      </c>
      <c r="AW105" s="163">
        <f t="shared" si="107"/>
        <v>532.875</v>
      </c>
    </row>
    <row r="106">
      <c r="A106" s="108"/>
      <c r="B106" s="134" t="s">
        <v>1764</v>
      </c>
      <c r="C106" s="134"/>
      <c r="D106" s="134" t="s">
        <v>1769</v>
      </c>
      <c r="E106" s="134" t="s">
        <v>1770</v>
      </c>
      <c r="F106" s="246">
        <v>122855.0</v>
      </c>
      <c r="G106" s="247">
        <v>1065.75</v>
      </c>
      <c r="H106" s="221">
        <v>45200.0</v>
      </c>
      <c r="I106" s="134" t="s">
        <v>1771</v>
      </c>
      <c r="J106" s="220"/>
      <c r="K106" s="134" t="b">
        <v>1</v>
      </c>
      <c r="L106" s="247">
        <f t="shared" si="3"/>
        <v>1065.75</v>
      </c>
      <c r="M106" s="248"/>
      <c r="N106" s="108" t="b">
        <f t="shared" si="108"/>
        <v>1</v>
      </c>
      <c r="O106" s="229">
        <f t="shared" si="5"/>
        <v>2</v>
      </c>
      <c r="P106" s="163">
        <f t="shared" ref="P106:AW106" si="109">iferror(if(P$9=FALSE,, if(if(search(P$11,$B106,1)&gt;0,1,0)=1,$G106/$O106,0)),"")</f>
        <v>532.875</v>
      </c>
      <c r="Q106" s="163" t="str">
        <f t="shared" si="109"/>
        <v/>
      </c>
      <c r="R106" s="163" t="str">
        <f t="shared" si="109"/>
        <v/>
      </c>
      <c r="S106" s="163" t="str">
        <f t="shared" si="109"/>
        <v/>
      </c>
      <c r="T106" s="163" t="str">
        <f t="shared" si="109"/>
        <v/>
      </c>
      <c r="U106" s="163" t="str">
        <f t="shared" si="109"/>
        <v/>
      </c>
      <c r="V106" s="163" t="str">
        <f t="shared" si="109"/>
        <v/>
      </c>
      <c r="W106" s="163" t="str">
        <f t="shared" si="109"/>
        <v/>
      </c>
      <c r="X106" s="163" t="str">
        <f t="shared" si="109"/>
        <v/>
      </c>
      <c r="Y106" s="163" t="str">
        <f t="shared" si="109"/>
        <v/>
      </c>
      <c r="Z106" s="163" t="str">
        <f t="shared" si="109"/>
        <v/>
      </c>
      <c r="AA106" s="163" t="str">
        <f t="shared" si="109"/>
        <v/>
      </c>
      <c r="AB106" s="163" t="str">
        <f t="shared" si="109"/>
        <v/>
      </c>
      <c r="AC106" s="163" t="str">
        <f t="shared" si="109"/>
        <v/>
      </c>
      <c r="AD106" s="163" t="str">
        <f t="shared" si="109"/>
        <v/>
      </c>
      <c r="AE106" s="163" t="str">
        <f t="shared" si="109"/>
        <v/>
      </c>
      <c r="AF106" s="163" t="str">
        <f t="shared" si="109"/>
        <v/>
      </c>
      <c r="AG106" s="163" t="str">
        <f t="shared" si="109"/>
        <v/>
      </c>
      <c r="AH106" s="163" t="str">
        <f t="shared" si="109"/>
        <v/>
      </c>
      <c r="AI106" s="163" t="str">
        <f t="shared" si="109"/>
        <v/>
      </c>
      <c r="AJ106" s="163" t="str">
        <f t="shared" si="109"/>
        <v/>
      </c>
      <c r="AK106" s="163" t="str">
        <f t="shared" si="109"/>
        <v/>
      </c>
      <c r="AL106" s="163" t="str">
        <f t="shared" si="109"/>
        <v/>
      </c>
      <c r="AM106" s="163" t="str">
        <f t="shared" si="109"/>
        <v/>
      </c>
      <c r="AN106" s="163" t="str">
        <f t="shared" si="109"/>
        <v/>
      </c>
      <c r="AO106" s="163" t="str">
        <f t="shared" si="109"/>
        <v/>
      </c>
      <c r="AP106" s="163" t="str">
        <f t="shared" si="109"/>
        <v/>
      </c>
      <c r="AQ106" s="163" t="str">
        <f t="shared" si="109"/>
        <v/>
      </c>
      <c r="AR106" s="163" t="str">
        <f t="shared" si="109"/>
        <v/>
      </c>
      <c r="AS106" s="163" t="str">
        <f t="shared" si="109"/>
        <v/>
      </c>
      <c r="AT106" s="163" t="str">
        <f t="shared" si="109"/>
        <v/>
      </c>
      <c r="AU106" s="163" t="str">
        <f t="shared" si="109"/>
        <v/>
      </c>
      <c r="AV106" s="163" t="str">
        <f t="shared" si="109"/>
        <v/>
      </c>
      <c r="AW106" s="163">
        <f t="shared" si="109"/>
        <v>532.875</v>
      </c>
    </row>
    <row r="107">
      <c r="A107" s="108"/>
      <c r="B107" s="134" t="s">
        <v>290</v>
      </c>
      <c r="C107" s="134"/>
      <c r="D107" s="134" t="s">
        <v>1650</v>
      </c>
      <c r="E107" s="134" t="str">
        <f>vlookup(D107,CNPJ!A96:B293,2,FAlse)</f>
        <v>20.618.029/0001-49</v>
      </c>
      <c r="F107" s="246">
        <v>73382.0</v>
      </c>
      <c r="G107" s="148">
        <v>67.7</v>
      </c>
      <c r="H107" s="221">
        <v>45202.0</v>
      </c>
      <c r="I107" s="134" t="s">
        <v>1651</v>
      </c>
      <c r="J107" s="220"/>
      <c r="K107" s="134" t="b">
        <v>0</v>
      </c>
      <c r="L107" s="247">
        <f t="shared" si="3"/>
        <v>0</v>
      </c>
      <c r="M107" s="248" t="s">
        <v>1772</v>
      </c>
      <c r="N107" s="108" t="b">
        <f t="shared" si="108"/>
        <v>0</v>
      </c>
      <c r="O107" s="229">
        <f t="shared" si="5"/>
        <v>0</v>
      </c>
      <c r="P107" s="163" t="str">
        <f t="shared" ref="P107:AW107" si="110">iferror(if(P$9=FALSE,, if(if(search(P$11,$B107,1)&gt;0,1,0)=1,$G107/$O107,0)),"")</f>
        <v/>
      </c>
      <c r="Q107" s="163" t="str">
        <f t="shared" si="110"/>
        <v/>
      </c>
      <c r="R107" s="163" t="str">
        <f t="shared" si="110"/>
        <v/>
      </c>
      <c r="S107" s="163" t="str">
        <f t="shared" si="110"/>
        <v/>
      </c>
      <c r="T107" s="163" t="str">
        <f t="shared" si="110"/>
        <v/>
      </c>
      <c r="U107" s="163" t="str">
        <f t="shared" si="110"/>
        <v/>
      </c>
      <c r="V107" s="163" t="str">
        <f t="shared" si="110"/>
        <v/>
      </c>
      <c r="W107" s="163" t="str">
        <f t="shared" si="110"/>
        <v/>
      </c>
      <c r="X107" s="163" t="str">
        <f t="shared" si="110"/>
        <v/>
      </c>
      <c r="Y107" s="163" t="str">
        <f t="shared" si="110"/>
        <v/>
      </c>
      <c r="Z107" s="163" t="str">
        <f t="shared" si="110"/>
        <v/>
      </c>
      <c r="AA107" s="163" t="str">
        <f t="shared" si="110"/>
        <v/>
      </c>
      <c r="AB107" s="163" t="str">
        <f t="shared" si="110"/>
        <v/>
      </c>
      <c r="AC107" s="163" t="str">
        <f t="shared" si="110"/>
        <v/>
      </c>
      <c r="AD107" s="163" t="str">
        <f t="shared" si="110"/>
        <v/>
      </c>
      <c r="AE107" s="163" t="str">
        <f t="shared" si="110"/>
        <v/>
      </c>
      <c r="AF107" s="163" t="str">
        <f t="shared" si="110"/>
        <v/>
      </c>
      <c r="AG107" s="163" t="str">
        <f t="shared" si="110"/>
        <v/>
      </c>
      <c r="AH107" s="163" t="str">
        <f t="shared" si="110"/>
        <v/>
      </c>
      <c r="AI107" s="163" t="str">
        <f t="shared" si="110"/>
        <v/>
      </c>
      <c r="AJ107" s="163" t="str">
        <f t="shared" si="110"/>
        <v/>
      </c>
      <c r="AK107" s="163" t="str">
        <f t="shared" si="110"/>
        <v/>
      </c>
      <c r="AL107" s="163" t="str">
        <f t="shared" si="110"/>
        <v/>
      </c>
      <c r="AM107" s="163" t="str">
        <f t="shared" si="110"/>
        <v/>
      </c>
      <c r="AN107" s="163" t="str">
        <f t="shared" si="110"/>
        <v/>
      </c>
      <c r="AO107" s="163" t="str">
        <f t="shared" si="110"/>
        <v/>
      </c>
      <c r="AP107" s="163" t="str">
        <f t="shared" si="110"/>
        <v/>
      </c>
      <c r="AQ107" s="163" t="str">
        <f t="shared" si="110"/>
        <v/>
      </c>
      <c r="AR107" s="163" t="str">
        <f t="shared" si="110"/>
        <v/>
      </c>
      <c r="AS107" s="163" t="str">
        <f t="shared" si="110"/>
        <v/>
      </c>
      <c r="AT107" s="163" t="str">
        <f t="shared" si="110"/>
        <v/>
      </c>
      <c r="AU107" s="163" t="str">
        <f t="shared" si="110"/>
        <v/>
      </c>
      <c r="AV107" s="163" t="str">
        <f t="shared" si="110"/>
        <v/>
      </c>
      <c r="AW107" s="163" t="str">
        <f t="shared" si="110"/>
        <v/>
      </c>
    </row>
    <row r="108">
      <c r="A108" s="108"/>
      <c r="B108" s="134" t="s">
        <v>290</v>
      </c>
      <c r="C108" s="134"/>
      <c r="D108" s="134" t="s">
        <v>1650</v>
      </c>
      <c r="E108" s="134" t="str">
        <f>vlookup(D108,CNPJ!A97:B294,2,FAlse)</f>
        <v>20.618.029/0001-49</v>
      </c>
      <c r="F108" s="246">
        <v>73486.0</v>
      </c>
      <c r="G108" s="148">
        <v>76.23</v>
      </c>
      <c r="H108" s="221">
        <v>45215.0</v>
      </c>
      <c r="I108" s="134" t="s">
        <v>1651</v>
      </c>
      <c r="J108" s="220"/>
      <c r="K108" s="134" t="b">
        <v>0</v>
      </c>
      <c r="L108" s="247">
        <f t="shared" si="3"/>
        <v>0</v>
      </c>
      <c r="M108" s="248" t="s">
        <v>1772</v>
      </c>
      <c r="N108" s="108" t="b">
        <f t="shared" si="108"/>
        <v>0</v>
      </c>
      <c r="O108" s="229">
        <f t="shared" si="5"/>
        <v>0</v>
      </c>
      <c r="P108" s="163" t="str">
        <f t="shared" ref="P108:AW108" si="111">iferror(if(P$9=FALSE,, if(if(search(P$11,$B108,1)&gt;0,1,0)=1,$G108/$O108,0)),"")</f>
        <v/>
      </c>
      <c r="Q108" s="163" t="str">
        <f t="shared" si="111"/>
        <v/>
      </c>
      <c r="R108" s="163" t="str">
        <f t="shared" si="111"/>
        <v/>
      </c>
      <c r="S108" s="163" t="str">
        <f t="shared" si="111"/>
        <v/>
      </c>
      <c r="T108" s="163" t="str">
        <f t="shared" si="111"/>
        <v/>
      </c>
      <c r="U108" s="163" t="str">
        <f t="shared" si="111"/>
        <v/>
      </c>
      <c r="V108" s="163" t="str">
        <f t="shared" si="111"/>
        <v/>
      </c>
      <c r="W108" s="163" t="str">
        <f t="shared" si="111"/>
        <v/>
      </c>
      <c r="X108" s="163" t="str">
        <f t="shared" si="111"/>
        <v/>
      </c>
      <c r="Y108" s="163" t="str">
        <f t="shared" si="111"/>
        <v/>
      </c>
      <c r="Z108" s="163" t="str">
        <f t="shared" si="111"/>
        <v/>
      </c>
      <c r="AA108" s="163" t="str">
        <f t="shared" si="111"/>
        <v/>
      </c>
      <c r="AB108" s="163" t="str">
        <f t="shared" si="111"/>
        <v/>
      </c>
      <c r="AC108" s="163" t="str">
        <f t="shared" si="111"/>
        <v/>
      </c>
      <c r="AD108" s="163" t="str">
        <f t="shared" si="111"/>
        <v/>
      </c>
      <c r="AE108" s="163" t="str">
        <f t="shared" si="111"/>
        <v/>
      </c>
      <c r="AF108" s="163" t="str">
        <f t="shared" si="111"/>
        <v/>
      </c>
      <c r="AG108" s="163" t="str">
        <f t="shared" si="111"/>
        <v/>
      </c>
      <c r="AH108" s="163" t="str">
        <f t="shared" si="111"/>
        <v/>
      </c>
      <c r="AI108" s="163" t="str">
        <f t="shared" si="111"/>
        <v/>
      </c>
      <c r="AJ108" s="163" t="str">
        <f t="shared" si="111"/>
        <v/>
      </c>
      <c r="AK108" s="163" t="str">
        <f t="shared" si="111"/>
        <v/>
      </c>
      <c r="AL108" s="163" t="str">
        <f t="shared" si="111"/>
        <v/>
      </c>
      <c r="AM108" s="163" t="str">
        <f t="shared" si="111"/>
        <v/>
      </c>
      <c r="AN108" s="163" t="str">
        <f t="shared" si="111"/>
        <v/>
      </c>
      <c r="AO108" s="163" t="str">
        <f t="shared" si="111"/>
        <v/>
      </c>
      <c r="AP108" s="163" t="str">
        <f t="shared" si="111"/>
        <v/>
      </c>
      <c r="AQ108" s="163" t="str">
        <f t="shared" si="111"/>
        <v/>
      </c>
      <c r="AR108" s="163" t="str">
        <f t="shared" si="111"/>
        <v/>
      </c>
      <c r="AS108" s="163" t="str">
        <f t="shared" si="111"/>
        <v/>
      </c>
      <c r="AT108" s="163" t="str">
        <f t="shared" si="111"/>
        <v/>
      </c>
      <c r="AU108" s="163" t="str">
        <f t="shared" si="111"/>
        <v/>
      </c>
      <c r="AV108" s="163" t="str">
        <f t="shared" si="111"/>
        <v/>
      </c>
      <c r="AW108" s="163" t="str">
        <f t="shared" si="111"/>
        <v/>
      </c>
    </row>
    <row r="109">
      <c r="A109" s="108"/>
      <c r="B109" s="134" t="s">
        <v>290</v>
      </c>
      <c r="C109" s="134"/>
      <c r="D109" s="134" t="s">
        <v>1650</v>
      </c>
      <c r="E109" s="134" t="str">
        <f>vlookup(D109,CNPJ!A98:B295,2,FAlse)</f>
        <v>20.618.029/0001-49</v>
      </c>
      <c r="F109" s="246">
        <v>73486.0</v>
      </c>
      <c r="G109" s="148">
        <v>46.72</v>
      </c>
      <c r="H109" s="221">
        <v>45215.0</v>
      </c>
      <c r="I109" s="134" t="s">
        <v>1651</v>
      </c>
      <c r="J109" s="220"/>
      <c r="K109" s="134" t="b">
        <v>0</v>
      </c>
      <c r="L109" s="247">
        <f t="shared" si="3"/>
        <v>0</v>
      </c>
      <c r="M109" s="248" t="s">
        <v>1772</v>
      </c>
      <c r="N109" s="108" t="b">
        <f t="shared" si="108"/>
        <v>0</v>
      </c>
      <c r="O109" s="229">
        <f t="shared" si="5"/>
        <v>0</v>
      </c>
      <c r="P109" s="163" t="str">
        <f t="shared" ref="P109:AW109" si="112">iferror(if(P$9=FALSE,, if(if(search(P$11,$B109,1)&gt;0,1,0)=1,$G109/$O109,0)),"")</f>
        <v/>
      </c>
      <c r="Q109" s="163" t="str">
        <f t="shared" si="112"/>
        <v/>
      </c>
      <c r="R109" s="163" t="str">
        <f t="shared" si="112"/>
        <v/>
      </c>
      <c r="S109" s="163" t="str">
        <f t="shared" si="112"/>
        <v/>
      </c>
      <c r="T109" s="163" t="str">
        <f t="shared" si="112"/>
        <v/>
      </c>
      <c r="U109" s="163" t="str">
        <f t="shared" si="112"/>
        <v/>
      </c>
      <c r="V109" s="163" t="str">
        <f t="shared" si="112"/>
        <v/>
      </c>
      <c r="W109" s="163" t="str">
        <f t="shared" si="112"/>
        <v/>
      </c>
      <c r="X109" s="163" t="str">
        <f t="shared" si="112"/>
        <v/>
      </c>
      <c r="Y109" s="163" t="str">
        <f t="shared" si="112"/>
        <v/>
      </c>
      <c r="Z109" s="163" t="str">
        <f t="shared" si="112"/>
        <v/>
      </c>
      <c r="AA109" s="163" t="str">
        <f t="shared" si="112"/>
        <v/>
      </c>
      <c r="AB109" s="163" t="str">
        <f t="shared" si="112"/>
        <v/>
      </c>
      <c r="AC109" s="163" t="str">
        <f t="shared" si="112"/>
        <v/>
      </c>
      <c r="AD109" s="163" t="str">
        <f t="shared" si="112"/>
        <v/>
      </c>
      <c r="AE109" s="163" t="str">
        <f t="shared" si="112"/>
        <v/>
      </c>
      <c r="AF109" s="163" t="str">
        <f t="shared" si="112"/>
        <v/>
      </c>
      <c r="AG109" s="163" t="str">
        <f t="shared" si="112"/>
        <v/>
      </c>
      <c r="AH109" s="163" t="str">
        <f t="shared" si="112"/>
        <v/>
      </c>
      <c r="AI109" s="163" t="str">
        <f t="shared" si="112"/>
        <v/>
      </c>
      <c r="AJ109" s="163" t="str">
        <f t="shared" si="112"/>
        <v/>
      </c>
      <c r="AK109" s="163" t="str">
        <f t="shared" si="112"/>
        <v/>
      </c>
      <c r="AL109" s="163" t="str">
        <f t="shared" si="112"/>
        <v/>
      </c>
      <c r="AM109" s="163" t="str">
        <f t="shared" si="112"/>
        <v/>
      </c>
      <c r="AN109" s="163" t="str">
        <f t="shared" si="112"/>
        <v/>
      </c>
      <c r="AO109" s="163" t="str">
        <f t="shared" si="112"/>
        <v/>
      </c>
      <c r="AP109" s="163" t="str">
        <f t="shared" si="112"/>
        <v/>
      </c>
      <c r="AQ109" s="163" t="str">
        <f t="shared" si="112"/>
        <v/>
      </c>
      <c r="AR109" s="163" t="str">
        <f t="shared" si="112"/>
        <v/>
      </c>
      <c r="AS109" s="163" t="str">
        <f t="shared" si="112"/>
        <v/>
      </c>
      <c r="AT109" s="163" t="str">
        <f t="shared" si="112"/>
        <v/>
      </c>
      <c r="AU109" s="163" t="str">
        <f t="shared" si="112"/>
        <v/>
      </c>
      <c r="AV109" s="163" t="str">
        <f t="shared" si="112"/>
        <v/>
      </c>
      <c r="AW109" s="163" t="str">
        <f t="shared" si="112"/>
        <v/>
      </c>
    </row>
    <row r="110">
      <c r="A110" s="108"/>
      <c r="B110" s="134" t="s">
        <v>54</v>
      </c>
      <c r="C110" s="134"/>
      <c r="D110" s="134" t="s">
        <v>1650</v>
      </c>
      <c r="E110" s="134" t="str">
        <f>vlookup(D110,CNPJ!A99:B296,2,FAlse)</f>
        <v>20.618.029/0001-49</v>
      </c>
      <c r="F110" s="246">
        <v>73485.0</v>
      </c>
      <c r="G110" s="148">
        <v>47.3</v>
      </c>
      <c r="H110" s="221">
        <v>45215.0</v>
      </c>
      <c r="I110" s="134" t="s">
        <v>1651</v>
      </c>
      <c r="J110" s="220"/>
      <c r="K110" s="134" t="b">
        <v>0</v>
      </c>
      <c r="L110" s="247">
        <f t="shared" si="3"/>
        <v>0</v>
      </c>
      <c r="M110" s="248" t="s">
        <v>1772</v>
      </c>
      <c r="N110" s="108" t="b">
        <f t="shared" si="108"/>
        <v>0</v>
      </c>
      <c r="O110" s="229">
        <f t="shared" si="5"/>
        <v>0</v>
      </c>
      <c r="P110" s="163" t="str">
        <f t="shared" ref="P110:AW110" si="113">iferror(if(P$9=FALSE,, if(if(search(P$11,$B110,1)&gt;0,1,0)=1,$G110/$O110,0)),"")</f>
        <v/>
      </c>
      <c r="Q110" s="163" t="str">
        <f t="shared" si="113"/>
        <v/>
      </c>
      <c r="R110" s="163" t="str">
        <f t="shared" si="113"/>
        <v/>
      </c>
      <c r="S110" s="163" t="str">
        <f t="shared" si="113"/>
        <v/>
      </c>
      <c r="T110" s="163" t="str">
        <f t="shared" si="113"/>
        <v/>
      </c>
      <c r="U110" s="163" t="str">
        <f t="shared" si="113"/>
        <v/>
      </c>
      <c r="V110" s="163" t="str">
        <f t="shared" si="113"/>
        <v/>
      </c>
      <c r="W110" s="163" t="str">
        <f t="shared" si="113"/>
        <v/>
      </c>
      <c r="X110" s="163" t="str">
        <f t="shared" si="113"/>
        <v/>
      </c>
      <c r="Y110" s="163" t="str">
        <f t="shared" si="113"/>
        <v/>
      </c>
      <c r="Z110" s="163" t="str">
        <f t="shared" si="113"/>
        <v/>
      </c>
      <c r="AA110" s="163" t="str">
        <f t="shared" si="113"/>
        <v/>
      </c>
      <c r="AB110" s="163" t="str">
        <f t="shared" si="113"/>
        <v/>
      </c>
      <c r="AC110" s="163" t="str">
        <f t="shared" si="113"/>
        <v/>
      </c>
      <c r="AD110" s="163" t="str">
        <f t="shared" si="113"/>
        <v/>
      </c>
      <c r="AE110" s="163" t="str">
        <f t="shared" si="113"/>
        <v/>
      </c>
      <c r="AF110" s="163" t="str">
        <f t="shared" si="113"/>
        <v/>
      </c>
      <c r="AG110" s="163" t="str">
        <f t="shared" si="113"/>
        <v/>
      </c>
      <c r="AH110" s="163" t="str">
        <f t="shared" si="113"/>
        <v/>
      </c>
      <c r="AI110" s="163" t="str">
        <f t="shared" si="113"/>
        <v/>
      </c>
      <c r="AJ110" s="163" t="str">
        <f t="shared" si="113"/>
        <v/>
      </c>
      <c r="AK110" s="163" t="str">
        <f t="shared" si="113"/>
        <v/>
      </c>
      <c r="AL110" s="163" t="str">
        <f t="shared" si="113"/>
        <v/>
      </c>
      <c r="AM110" s="163" t="str">
        <f t="shared" si="113"/>
        <v/>
      </c>
      <c r="AN110" s="163" t="str">
        <f t="shared" si="113"/>
        <v/>
      </c>
      <c r="AO110" s="163" t="str">
        <f t="shared" si="113"/>
        <v/>
      </c>
      <c r="AP110" s="163" t="str">
        <f t="shared" si="113"/>
        <v/>
      </c>
      <c r="AQ110" s="163" t="str">
        <f t="shared" si="113"/>
        <v/>
      </c>
      <c r="AR110" s="163" t="str">
        <f t="shared" si="113"/>
        <v/>
      </c>
      <c r="AS110" s="163" t="str">
        <f t="shared" si="113"/>
        <v/>
      </c>
      <c r="AT110" s="163" t="str">
        <f t="shared" si="113"/>
        <v/>
      </c>
      <c r="AU110" s="163" t="str">
        <f t="shared" si="113"/>
        <v/>
      </c>
      <c r="AV110" s="163" t="str">
        <f t="shared" si="113"/>
        <v/>
      </c>
      <c r="AW110" s="163" t="str">
        <f t="shared" si="113"/>
        <v/>
      </c>
    </row>
    <row r="111">
      <c r="A111" s="108"/>
      <c r="B111" s="134" t="s">
        <v>51</v>
      </c>
      <c r="C111" s="134"/>
      <c r="D111" s="134" t="s">
        <v>1648</v>
      </c>
      <c r="E111" s="134" t="str">
        <f>vlookup(D111,CNPJ!A100:B297,2,FAlse)</f>
        <v>04.329.668/0001-38</v>
      </c>
      <c r="F111" s="246">
        <v>228636.0</v>
      </c>
      <c r="G111" s="148">
        <v>10022.49</v>
      </c>
      <c r="H111" s="221">
        <v>45218.0</v>
      </c>
      <c r="I111" s="134" t="s">
        <v>1773</v>
      </c>
      <c r="J111" s="220"/>
      <c r="K111" s="134" t="b">
        <v>1</v>
      </c>
      <c r="L111" s="247">
        <f t="shared" si="3"/>
        <v>10022.49</v>
      </c>
      <c r="M111" s="248"/>
      <c r="N111" s="108" t="b">
        <f t="shared" si="108"/>
        <v>1</v>
      </c>
      <c r="O111" s="229">
        <f t="shared" si="5"/>
        <v>1</v>
      </c>
      <c r="P111" s="163" t="str">
        <f t="shared" ref="P111:AW111" si="114">iferror(if(P$9=FALSE,, if(if(search(P$11,$B111,1)&gt;0,1,0)=1,$G111/$O111,0)),"")</f>
        <v/>
      </c>
      <c r="Q111" s="163" t="str">
        <f t="shared" si="114"/>
        <v/>
      </c>
      <c r="R111" s="163" t="str">
        <f t="shared" si="114"/>
        <v/>
      </c>
      <c r="S111" s="163" t="str">
        <f t="shared" si="114"/>
        <v/>
      </c>
      <c r="T111" s="163">
        <f t="shared" si="114"/>
        <v>10022.49</v>
      </c>
      <c r="U111" s="163" t="str">
        <f t="shared" si="114"/>
        <v/>
      </c>
      <c r="V111" s="163" t="str">
        <f t="shared" si="114"/>
        <v/>
      </c>
      <c r="W111" s="163" t="str">
        <f t="shared" si="114"/>
        <v/>
      </c>
      <c r="X111" s="163" t="str">
        <f t="shared" si="114"/>
        <v/>
      </c>
      <c r="Y111" s="163" t="str">
        <f t="shared" si="114"/>
        <v/>
      </c>
      <c r="Z111" s="163" t="str">
        <f t="shared" si="114"/>
        <v/>
      </c>
      <c r="AA111" s="163" t="str">
        <f t="shared" si="114"/>
        <v/>
      </c>
      <c r="AB111" s="163" t="str">
        <f t="shared" si="114"/>
        <v/>
      </c>
      <c r="AC111" s="163" t="str">
        <f t="shared" si="114"/>
        <v/>
      </c>
      <c r="AD111" s="163" t="str">
        <f t="shared" si="114"/>
        <v/>
      </c>
      <c r="AE111" s="163" t="str">
        <f t="shared" si="114"/>
        <v/>
      </c>
      <c r="AF111" s="163" t="str">
        <f t="shared" si="114"/>
        <v/>
      </c>
      <c r="AG111" s="163" t="str">
        <f t="shared" si="114"/>
        <v/>
      </c>
      <c r="AH111" s="163" t="str">
        <f t="shared" si="114"/>
        <v/>
      </c>
      <c r="AI111" s="163" t="str">
        <f t="shared" si="114"/>
        <v/>
      </c>
      <c r="AJ111" s="163" t="str">
        <f t="shared" si="114"/>
        <v/>
      </c>
      <c r="AK111" s="163" t="str">
        <f t="shared" si="114"/>
        <v/>
      </c>
      <c r="AL111" s="163" t="str">
        <f t="shared" si="114"/>
        <v/>
      </c>
      <c r="AM111" s="163" t="str">
        <f t="shared" si="114"/>
        <v/>
      </c>
      <c r="AN111" s="163" t="str">
        <f t="shared" si="114"/>
        <v/>
      </c>
      <c r="AO111" s="163" t="str">
        <f t="shared" si="114"/>
        <v/>
      </c>
      <c r="AP111" s="163" t="str">
        <f t="shared" si="114"/>
        <v/>
      </c>
      <c r="AQ111" s="163" t="str">
        <f t="shared" si="114"/>
        <v/>
      </c>
      <c r="AR111" s="163" t="str">
        <f t="shared" si="114"/>
        <v/>
      </c>
      <c r="AS111" s="163" t="str">
        <f t="shared" si="114"/>
        <v/>
      </c>
      <c r="AT111" s="163" t="str">
        <f t="shared" si="114"/>
        <v/>
      </c>
      <c r="AU111" s="163" t="str">
        <f t="shared" si="114"/>
        <v/>
      </c>
      <c r="AV111" s="163" t="str">
        <f t="shared" si="114"/>
        <v/>
      </c>
      <c r="AW111" s="163" t="str">
        <f t="shared" si="114"/>
        <v/>
      </c>
    </row>
    <row r="112">
      <c r="A112" s="108"/>
      <c r="B112" s="134" t="s">
        <v>290</v>
      </c>
      <c r="C112" s="134"/>
      <c r="D112" s="134" t="s">
        <v>1650</v>
      </c>
      <c r="E112" s="134" t="str">
        <f>vlookup(D112,CNPJ!A101:B298,2,FAlse)</f>
        <v>20.618.029/0001-49</v>
      </c>
      <c r="F112" s="246">
        <v>73825.0</v>
      </c>
      <c r="G112" s="148">
        <v>59.93</v>
      </c>
      <c r="H112" s="221">
        <v>45217.0</v>
      </c>
      <c r="I112" s="134" t="s">
        <v>1774</v>
      </c>
      <c r="J112" s="220"/>
      <c r="K112" s="134" t="b">
        <v>0</v>
      </c>
      <c r="L112" s="247">
        <f t="shared" si="3"/>
        <v>0</v>
      </c>
      <c r="M112" s="248" t="s">
        <v>1772</v>
      </c>
      <c r="N112" s="108" t="b">
        <f t="shared" si="108"/>
        <v>0</v>
      </c>
      <c r="O112" s="229">
        <f t="shared" si="5"/>
        <v>0</v>
      </c>
      <c r="P112" s="163" t="str">
        <f t="shared" ref="P112:AW112" si="115">iferror(if(P$9=FALSE,, if(if(search(P$11,$B112,1)&gt;0,1,0)=1,$G112/$O112,0)),"")</f>
        <v/>
      </c>
      <c r="Q112" s="163" t="str">
        <f t="shared" si="115"/>
        <v/>
      </c>
      <c r="R112" s="163" t="str">
        <f t="shared" si="115"/>
        <v/>
      </c>
      <c r="S112" s="163" t="str">
        <f t="shared" si="115"/>
        <v/>
      </c>
      <c r="T112" s="163" t="str">
        <f t="shared" si="115"/>
        <v/>
      </c>
      <c r="U112" s="163" t="str">
        <f t="shared" si="115"/>
        <v/>
      </c>
      <c r="V112" s="163" t="str">
        <f t="shared" si="115"/>
        <v/>
      </c>
      <c r="W112" s="163" t="str">
        <f t="shared" si="115"/>
        <v/>
      </c>
      <c r="X112" s="163" t="str">
        <f t="shared" si="115"/>
        <v/>
      </c>
      <c r="Y112" s="163" t="str">
        <f t="shared" si="115"/>
        <v/>
      </c>
      <c r="Z112" s="163" t="str">
        <f t="shared" si="115"/>
        <v/>
      </c>
      <c r="AA112" s="163" t="str">
        <f t="shared" si="115"/>
        <v/>
      </c>
      <c r="AB112" s="163" t="str">
        <f t="shared" si="115"/>
        <v/>
      </c>
      <c r="AC112" s="163" t="str">
        <f t="shared" si="115"/>
        <v/>
      </c>
      <c r="AD112" s="163" t="str">
        <f t="shared" si="115"/>
        <v/>
      </c>
      <c r="AE112" s="163" t="str">
        <f t="shared" si="115"/>
        <v/>
      </c>
      <c r="AF112" s="163" t="str">
        <f t="shared" si="115"/>
        <v/>
      </c>
      <c r="AG112" s="163" t="str">
        <f t="shared" si="115"/>
        <v/>
      </c>
      <c r="AH112" s="163" t="str">
        <f t="shared" si="115"/>
        <v/>
      </c>
      <c r="AI112" s="163" t="str">
        <f t="shared" si="115"/>
        <v/>
      </c>
      <c r="AJ112" s="163" t="str">
        <f t="shared" si="115"/>
        <v/>
      </c>
      <c r="AK112" s="163" t="str">
        <f t="shared" si="115"/>
        <v/>
      </c>
      <c r="AL112" s="163" t="str">
        <f t="shared" si="115"/>
        <v/>
      </c>
      <c r="AM112" s="163" t="str">
        <f t="shared" si="115"/>
        <v/>
      </c>
      <c r="AN112" s="163" t="str">
        <f t="shared" si="115"/>
        <v/>
      </c>
      <c r="AO112" s="163" t="str">
        <f t="shared" si="115"/>
        <v/>
      </c>
      <c r="AP112" s="163" t="str">
        <f t="shared" si="115"/>
        <v/>
      </c>
      <c r="AQ112" s="163" t="str">
        <f t="shared" si="115"/>
        <v/>
      </c>
      <c r="AR112" s="163" t="str">
        <f t="shared" si="115"/>
        <v/>
      </c>
      <c r="AS112" s="163" t="str">
        <f t="shared" si="115"/>
        <v/>
      </c>
      <c r="AT112" s="163" t="str">
        <f t="shared" si="115"/>
        <v/>
      </c>
      <c r="AU112" s="163" t="str">
        <f t="shared" si="115"/>
        <v/>
      </c>
      <c r="AV112" s="163" t="str">
        <f t="shared" si="115"/>
        <v/>
      </c>
      <c r="AW112" s="163" t="str">
        <f t="shared" si="115"/>
        <v/>
      </c>
    </row>
    <row r="113">
      <c r="A113" s="108"/>
      <c r="B113" s="134" t="s">
        <v>290</v>
      </c>
      <c r="C113" s="134"/>
      <c r="D113" s="134" t="s">
        <v>1648</v>
      </c>
      <c r="E113" s="134" t="str">
        <f>vlookup(D113,CNPJ!A102:B299,2,FAlse)</f>
        <v>04.329.668/0001-38</v>
      </c>
      <c r="F113" s="246">
        <v>229019.0</v>
      </c>
      <c r="G113" s="148">
        <v>16323.97</v>
      </c>
      <c r="H113" s="221">
        <v>45224.0</v>
      </c>
      <c r="I113" s="134" t="s">
        <v>1775</v>
      </c>
      <c r="J113" s="220"/>
      <c r="K113" s="134" t="b">
        <v>1</v>
      </c>
      <c r="L113" s="247">
        <f t="shared" si="3"/>
        <v>16323.97</v>
      </c>
      <c r="M113" s="248"/>
      <c r="N113" s="108" t="b">
        <f t="shared" si="108"/>
        <v>1</v>
      </c>
      <c r="O113" s="229">
        <f t="shared" si="5"/>
        <v>1</v>
      </c>
      <c r="P113" s="163">
        <f t="shared" ref="P113:AW113" si="116">iferror(if(P$9=FALSE,, if(if(search(P$11,$B113,1)&gt;0,1,0)=1,$G113/$O113,0)),"")</f>
        <v>16323.97</v>
      </c>
      <c r="Q113" s="163" t="str">
        <f t="shared" si="116"/>
        <v/>
      </c>
      <c r="R113" s="163" t="str">
        <f t="shared" si="116"/>
        <v/>
      </c>
      <c r="S113" s="163" t="str">
        <f t="shared" si="116"/>
        <v/>
      </c>
      <c r="T113" s="163" t="str">
        <f t="shared" si="116"/>
        <v/>
      </c>
      <c r="U113" s="163" t="str">
        <f t="shared" si="116"/>
        <v/>
      </c>
      <c r="V113" s="163" t="str">
        <f t="shared" si="116"/>
        <v/>
      </c>
      <c r="W113" s="163" t="str">
        <f t="shared" si="116"/>
        <v/>
      </c>
      <c r="X113" s="163" t="str">
        <f t="shared" si="116"/>
        <v/>
      </c>
      <c r="Y113" s="163" t="str">
        <f t="shared" si="116"/>
        <v/>
      </c>
      <c r="Z113" s="163" t="str">
        <f t="shared" si="116"/>
        <v/>
      </c>
      <c r="AA113" s="163" t="str">
        <f t="shared" si="116"/>
        <v/>
      </c>
      <c r="AB113" s="163" t="str">
        <f t="shared" si="116"/>
        <v/>
      </c>
      <c r="AC113" s="163" t="str">
        <f t="shared" si="116"/>
        <v/>
      </c>
      <c r="AD113" s="163" t="str">
        <f t="shared" si="116"/>
        <v/>
      </c>
      <c r="AE113" s="163" t="str">
        <f t="shared" si="116"/>
        <v/>
      </c>
      <c r="AF113" s="163" t="str">
        <f t="shared" si="116"/>
        <v/>
      </c>
      <c r="AG113" s="163" t="str">
        <f t="shared" si="116"/>
        <v/>
      </c>
      <c r="AH113" s="163" t="str">
        <f t="shared" si="116"/>
        <v/>
      </c>
      <c r="AI113" s="163" t="str">
        <f t="shared" si="116"/>
        <v/>
      </c>
      <c r="AJ113" s="163" t="str">
        <f t="shared" si="116"/>
        <v/>
      </c>
      <c r="AK113" s="163" t="str">
        <f t="shared" si="116"/>
        <v/>
      </c>
      <c r="AL113" s="163" t="str">
        <f t="shared" si="116"/>
        <v/>
      </c>
      <c r="AM113" s="163" t="str">
        <f t="shared" si="116"/>
        <v/>
      </c>
      <c r="AN113" s="163" t="str">
        <f t="shared" si="116"/>
        <v/>
      </c>
      <c r="AO113" s="163" t="str">
        <f t="shared" si="116"/>
        <v/>
      </c>
      <c r="AP113" s="163" t="str">
        <f t="shared" si="116"/>
        <v/>
      </c>
      <c r="AQ113" s="163" t="str">
        <f t="shared" si="116"/>
        <v/>
      </c>
      <c r="AR113" s="163" t="str">
        <f t="shared" si="116"/>
        <v/>
      </c>
      <c r="AS113" s="163" t="str">
        <f t="shared" si="116"/>
        <v/>
      </c>
      <c r="AT113" s="163" t="str">
        <f t="shared" si="116"/>
        <v/>
      </c>
      <c r="AU113" s="163" t="str">
        <f t="shared" si="116"/>
        <v/>
      </c>
      <c r="AV113" s="163" t="str">
        <f t="shared" si="116"/>
        <v/>
      </c>
      <c r="AW113" s="163" t="str">
        <f t="shared" si="116"/>
        <v/>
      </c>
    </row>
    <row r="114">
      <c r="A114" s="108"/>
      <c r="B114" s="134" t="s">
        <v>51</v>
      </c>
      <c r="C114" s="134"/>
      <c r="D114" s="134" t="s">
        <v>1678</v>
      </c>
      <c r="E114" s="134" t="str">
        <f>vlookup(D114,CNPJ!A103:B300,2,FAlse)</f>
        <v>50.276.237/0001-78</v>
      </c>
      <c r="F114" s="246">
        <v>148131.0</v>
      </c>
      <c r="G114" s="148">
        <v>852.0</v>
      </c>
      <c r="H114" s="221">
        <v>45231.0</v>
      </c>
      <c r="I114" s="134" t="s">
        <v>1724</v>
      </c>
      <c r="J114" s="220"/>
      <c r="K114" s="134" t="b">
        <v>1</v>
      </c>
      <c r="L114" s="247">
        <f t="shared" si="3"/>
        <v>852</v>
      </c>
      <c r="M114" s="248"/>
      <c r="N114" s="108" t="b">
        <f t="shared" si="108"/>
        <v>1</v>
      </c>
      <c r="O114" s="229">
        <f t="shared" si="5"/>
        <v>1</v>
      </c>
      <c r="P114" s="163" t="str">
        <f t="shared" ref="P114:AW114" si="117">iferror(if(P$9=FALSE,, if(if(search(P$11,$B114,1)&gt;0,1,0)=1,$G114/$O114,0)),"")</f>
        <v/>
      </c>
      <c r="Q114" s="163" t="str">
        <f t="shared" si="117"/>
        <v/>
      </c>
      <c r="R114" s="163" t="str">
        <f t="shared" si="117"/>
        <v/>
      </c>
      <c r="S114" s="163" t="str">
        <f t="shared" si="117"/>
        <v/>
      </c>
      <c r="T114" s="163">
        <f t="shared" si="117"/>
        <v>852</v>
      </c>
      <c r="U114" s="163" t="str">
        <f t="shared" si="117"/>
        <v/>
      </c>
      <c r="V114" s="163" t="str">
        <f t="shared" si="117"/>
        <v/>
      </c>
      <c r="W114" s="163" t="str">
        <f t="shared" si="117"/>
        <v/>
      </c>
      <c r="X114" s="163" t="str">
        <f t="shared" si="117"/>
        <v/>
      </c>
      <c r="Y114" s="163" t="str">
        <f t="shared" si="117"/>
        <v/>
      </c>
      <c r="Z114" s="163" t="str">
        <f t="shared" si="117"/>
        <v/>
      </c>
      <c r="AA114" s="163" t="str">
        <f t="shared" si="117"/>
        <v/>
      </c>
      <c r="AB114" s="163" t="str">
        <f t="shared" si="117"/>
        <v/>
      </c>
      <c r="AC114" s="163" t="str">
        <f t="shared" si="117"/>
        <v/>
      </c>
      <c r="AD114" s="163" t="str">
        <f t="shared" si="117"/>
        <v/>
      </c>
      <c r="AE114" s="163" t="str">
        <f t="shared" si="117"/>
        <v/>
      </c>
      <c r="AF114" s="163" t="str">
        <f t="shared" si="117"/>
        <v/>
      </c>
      <c r="AG114" s="163" t="str">
        <f t="shared" si="117"/>
        <v/>
      </c>
      <c r="AH114" s="163" t="str">
        <f t="shared" si="117"/>
        <v/>
      </c>
      <c r="AI114" s="163" t="str">
        <f t="shared" si="117"/>
        <v/>
      </c>
      <c r="AJ114" s="163" t="str">
        <f t="shared" si="117"/>
        <v/>
      </c>
      <c r="AK114" s="163" t="str">
        <f t="shared" si="117"/>
        <v/>
      </c>
      <c r="AL114" s="163" t="str">
        <f t="shared" si="117"/>
        <v/>
      </c>
      <c r="AM114" s="163" t="str">
        <f t="shared" si="117"/>
        <v/>
      </c>
      <c r="AN114" s="163" t="str">
        <f t="shared" si="117"/>
        <v/>
      </c>
      <c r="AO114" s="163" t="str">
        <f t="shared" si="117"/>
        <v/>
      </c>
      <c r="AP114" s="163" t="str">
        <f t="shared" si="117"/>
        <v/>
      </c>
      <c r="AQ114" s="163" t="str">
        <f t="shared" si="117"/>
        <v/>
      </c>
      <c r="AR114" s="163" t="str">
        <f t="shared" si="117"/>
        <v/>
      </c>
      <c r="AS114" s="163" t="str">
        <f t="shared" si="117"/>
        <v/>
      </c>
      <c r="AT114" s="163" t="str">
        <f t="shared" si="117"/>
        <v/>
      </c>
      <c r="AU114" s="163" t="str">
        <f t="shared" si="117"/>
        <v/>
      </c>
      <c r="AV114" s="163" t="str">
        <f t="shared" si="117"/>
        <v/>
      </c>
      <c r="AW114" s="163" t="str">
        <f t="shared" si="117"/>
        <v/>
      </c>
    </row>
    <row r="115">
      <c r="A115" s="108"/>
      <c r="B115" s="134" t="s">
        <v>290</v>
      </c>
      <c r="C115" s="134"/>
      <c r="D115" s="134" t="s">
        <v>1678</v>
      </c>
      <c r="E115" s="134" t="str">
        <f>vlookup(D115,CNPJ!A104:B301,2,FAlse)</f>
        <v>50.276.237/0001-78</v>
      </c>
      <c r="F115" s="246">
        <v>148405.0</v>
      </c>
      <c r="G115" s="148">
        <v>1628.0</v>
      </c>
      <c r="H115" s="221">
        <v>45239.0</v>
      </c>
      <c r="I115" s="134" t="s">
        <v>1724</v>
      </c>
      <c r="J115" s="220"/>
      <c r="K115" s="134" t="b">
        <v>1</v>
      </c>
      <c r="L115" s="247">
        <f t="shared" si="3"/>
        <v>1628</v>
      </c>
      <c r="M115" s="248"/>
      <c r="N115" s="108" t="b">
        <f t="shared" si="108"/>
        <v>1</v>
      </c>
      <c r="O115" s="229">
        <f t="shared" si="5"/>
        <v>1</v>
      </c>
      <c r="P115" s="163">
        <f t="shared" ref="P115:AW115" si="118">iferror(if(P$9=FALSE,, if(if(search(P$11,$B115,1)&gt;0,1,0)=1,$G115/$O115,0)),"")</f>
        <v>1628</v>
      </c>
      <c r="Q115" s="163" t="str">
        <f t="shared" si="118"/>
        <v/>
      </c>
      <c r="R115" s="163" t="str">
        <f t="shared" si="118"/>
        <v/>
      </c>
      <c r="S115" s="163" t="str">
        <f t="shared" si="118"/>
        <v/>
      </c>
      <c r="T115" s="163" t="str">
        <f t="shared" si="118"/>
        <v/>
      </c>
      <c r="U115" s="163" t="str">
        <f t="shared" si="118"/>
        <v/>
      </c>
      <c r="V115" s="163" t="str">
        <f t="shared" si="118"/>
        <v/>
      </c>
      <c r="W115" s="163" t="str">
        <f t="shared" si="118"/>
        <v/>
      </c>
      <c r="X115" s="163" t="str">
        <f t="shared" si="118"/>
        <v/>
      </c>
      <c r="Y115" s="163" t="str">
        <f t="shared" si="118"/>
        <v/>
      </c>
      <c r="Z115" s="163" t="str">
        <f t="shared" si="118"/>
        <v/>
      </c>
      <c r="AA115" s="163" t="str">
        <f t="shared" si="118"/>
        <v/>
      </c>
      <c r="AB115" s="163" t="str">
        <f t="shared" si="118"/>
        <v/>
      </c>
      <c r="AC115" s="163" t="str">
        <f t="shared" si="118"/>
        <v/>
      </c>
      <c r="AD115" s="163" t="str">
        <f t="shared" si="118"/>
        <v/>
      </c>
      <c r="AE115" s="163" t="str">
        <f t="shared" si="118"/>
        <v/>
      </c>
      <c r="AF115" s="163" t="str">
        <f t="shared" si="118"/>
        <v/>
      </c>
      <c r="AG115" s="163" t="str">
        <f t="shared" si="118"/>
        <v/>
      </c>
      <c r="AH115" s="163" t="str">
        <f t="shared" si="118"/>
        <v/>
      </c>
      <c r="AI115" s="163" t="str">
        <f t="shared" si="118"/>
        <v/>
      </c>
      <c r="AJ115" s="163" t="str">
        <f t="shared" si="118"/>
        <v/>
      </c>
      <c r="AK115" s="163" t="str">
        <f t="shared" si="118"/>
        <v/>
      </c>
      <c r="AL115" s="163" t="str">
        <f t="shared" si="118"/>
        <v/>
      </c>
      <c r="AM115" s="163" t="str">
        <f t="shared" si="118"/>
        <v/>
      </c>
      <c r="AN115" s="163" t="str">
        <f t="shared" si="118"/>
        <v/>
      </c>
      <c r="AO115" s="163" t="str">
        <f t="shared" si="118"/>
        <v/>
      </c>
      <c r="AP115" s="163" t="str">
        <f t="shared" si="118"/>
        <v/>
      </c>
      <c r="AQ115" s="163" t="str">
        <f t="shared" si="118"/>
        <v/>
      </c>
      <c r="AR115" s="163" t="str">
        <f t="shared" si="118"/>
        <v/>
      </c>
      <c r="AS115" s="163" t="str">
        <f t="shared" si="118"/>
        <v/>
      </c>
      <c r="AT115" s="163" t="str">
        <f t="shared" si="118"/>
        <v/>
      </c>
      <c r="AU115" s="163" t="str">
        <f t="shared" si="118"/>
        <v/>
      </c>
      <c r="AV115" s="163" t="str">
        <f t="shared" si="118"/>
        <v/>
      </c>
      <c r="AW115" s="163" t="str">
        <f t="shared" si="118"/>
        <v/>
      </c>
    </row>
    <row r="116">
      <c r="A116" s="108"/>
      <c r="B116" s="134" t="s">
        <v>290</v>
      </c>
      <c r="C116" s="134"/>
      <c r="D116" s="134" t="s">
        <v>1650</v>
      </c>
      <c r="E116" s="134" t="str">
        <f>vlookup(D116,CNPJ!A105:B302,2,FAlse)</f>
        <v>20.618.029/0001-49</v>
      </c>
      <c r="F116" s="246">
        <v>74060.0</v>
      </c>
      <c r="G116" s="148">
        <v>47.31</v>
      </c>
      <c r="H116" s="221">
        <v>45246.0</v>
      </c>
      <c r="I116" s="134" t="s">
        <v>1651</v>
      </c>
      <c r="J116" s="220"/>
      <c r="K116" s="134" t="b">
        <v>0</v>
      </c>
      <c r="L116" s="247">
        <f t="shared" si="3"/>
        <v>0</v>
      </c>
      <c r="M116" s="248" t="s">
        <v>1772</v>
      </c>
      <c r="N116" s="108" t="b">
        <f t="shared" si="108"/>
        <v>0</v>
      </c>
      <c r="O116" s="229">
        <f t="shared" si="5"/>
        <v>0</v>
      </c>
      <c r="P116" s="163" t="str">
        <f t="shared" ref="P116:AW116" si="119">iferror(if(P$9=FALSE,, if(if(search(P$11,$B116,1)&gt;0,1,0)=1,$G116/$O116,0)),"")</f>
        <v/>
      </c>
      <c r="Q116" s="163" t="str">
        <f t="shared" si="119"/>
        <v/>
      </c>
      <c r="R116" s="163" t="str">
        <f t="shared" si="119"/>
        <v/>
      </c>
      <c r="S116" s="163" t="str">
        <f t="shared" si="119"/>
        <v/>
      </c>
      <c r="T116" s="163" t="str">
        <f t="shared" si="119"/>
        <v/>
      </c>
      <c r="U116" s="163" t="str">
        <f t="shared" si="119"/>
        <v/>
      </c>
      <c r="V116" s="163" t="str">
        <f t="shared" si="119"/>
        <v/>
      </c>
      <c r="W116" s="163" t="str">
        <f t="shared" si="119"/>
        <v/>
      </c>
      <c r="X116" s="163" t="str">
        <f t="shared" si="119"/>
        <v/>
      </c>
      <c r="Y116" s="163" t="str">
        <f t="shared" si="119"/>
        <v/>
      </c>
      <c r="Z116" s="163" t="str">
        <f t="shared" si="119"/>
        <v/>
      </c>
      <c r="AA116" s="163" t="str">
        <f t="shared" si="119"/>
        <v/>
      </c>
      <c r="AB116" s="163" t="str">
        <f t="shared" si="119"/>
        <v/>
      </c>
      <c r="AC116" s="163" t="str">
        <f t="shared" si="119"/>
        <v/>
      </c>
      <c r="AD116" s="163" t="str">
        <f t="shared" si="119"/>
        <v/>
      </c>
      <c r="AE116" s="163" t="str">
        <f t="shared" si="119"/>
        <v/>
      </c>
      <c r="AF116" s="163" t="str">
        <f t="shared" si="119"/>
        <v/>
      </c>
      <c r="AG116" s="163" t="str">
        <f t="shared" si="119"/>
        <v/>
      </c>
      <c r="AH116" s="163" t="str">
        <f t="shared" si="119"/>
        <v/>
      </c>
      <c r="AI116" s="163" t="str">
        <f t="shared" si="119"/>
        <v/>
      </c>
      <c r="AJ116" s="163" t="str">
        <f t="shared" si="119"/>
        <v/>
      </c>
      <c r="AK116" s="163" t="str">
        <f t="shared" si="119"/>
        <v/>
      </c>
      <c r="AL116" s="163" t="str">
        <f t="shared" si="119"/>
        <v/>
      </c>
      <c r="AM116" s="163" t="str">
        <f t="shared" si="119"/>
        <v/>
      </c>
      <c r="AN116" s="163" t="str">
        <f t="shared" si="119"/>
        <v/>
      </c>
      <c r="AO116" s="163" t="str">
        <f t="shared" si="119"/>
        <v/>
      </c>
      <c r="AP116" s="163" t="str">
        <f t="shared" si="119"/>
        <v/>
      </c>
      <c r="AQ116" s="163" t="str">
        <f t="shared" si="119"/>
        <v/>
      </c>
      <c r="AR116" s="163" t="str">
        <f t="shared" si="119"/>
        <v/>
      </c>
      <c r="AS116" s="163" t="str">
        <f t="shared" si="119"/>
        <v/>
      </c>
      <c r="AT116" s="163" t="str">
        <f t="shared" si="119"/>
        <v/>
      </c>
      <c r="AU116" s="163" t="str">
        <f t="shared" si="119"/>
        <v/>
      </c>
      <c r="AV116" s="163" t="str">
        <f t="shared" si="119"/>
        <v/>
      </c>
      <c r="AW116" s="163" t="str">
        <f t="shared" si="119"/>
        <v/>
      </c>
    </row>
    <row r="117">
      <c r="A117" s="108"/>
      <c r="B117" s="134" t="s">
        <v>290</v>
      </c>
      <c r="C117" s="134"/>
      <c r="D117" s="134" t="s">
        <v>1648</v>
      </c>
      <c r="E117" s="134" t="str">
        <f>vlookup(D117,CNPJ!A106:B303,2,FAlse)</f>
        <v>04.329.668/0001-38</v>
      </c>
      <c r="F117" s="246">
        <v>231646.0</v>
      </c>
      <c r="G117" s="148">
        <v>1132.88</v>
      </c>
      <c r="H117" s="221">
        <v>45261.0</v>
      </c>
      <c r="I117" s="134" t="s">
        <v>1776</v>
      </c>
      <c r="J117" s="220"/>
      <c r="K117" s="134" t="b">
        <v>1</v>
      </c>
      <c r="L117" s="247">
        <f t="shared" si="3"/>
        <v>1132.88</v>
      </c>
      <c r="M117" s="248"/>
      <c r="N117" s="108" t="b">
        <f t="shared" si="108"/>
        <v>1</v>
      </c>
      <c r="O117" s="229">
        <f t="shared" si="5"/>
        <v>1</v>
      </c>
      <c r="P117" s="163">
        <f t="shared" ref="P117:AW117" si="120">iferror(if(P$9=FALSE,, if(if(search(P$11,$B117,1)&gt;0,1,0)=1,$G117/$O117,0)),"")</f>
        <v>1132.88</v>
      </c>
      <c r="Q117" s="163" t="str">
        <f t="shared" si="120"/>
        <v/>
      </c>
      <c r="R117" s="163" t="str">
        <f t="shared" si="120"/>
        <v/>
      </c>
      <c r="S117" s="163" t="str">
        <f t="shared" si="120"/>
        <v/>
      </c>
      <c r="T117" s="163" t="str">
        <f t="shared" si="120"/>
        <v/>
      </c>
      <c r="U117" s="163" t="str">
        <f t="shared" si="120"/>
        <v/>
      </c>
      <c r="V117" s="163" t="str">
        <f t="shared" si="120"/>
        <v/>
      </c>
      <c r="W117" s="163" t="str">
        <f t="shared" si="120"/>
        <v/>
      </c>
      <c r="X117" s="163" t="str">
        <f t="shared" si="120"/>
        <v/>
      </c>
      <c r="Y117" s="163" t="str">
        <f t="shared" si="120"/>
        <v/>
      </c>
      <c r="Z117" s="163" t="str">
        <f t="shared" si="120"/>
        <v/>
      </c>
      <c r="AA117" s="163" t="str">
        <f t="shared" si="120"/>
        <v/>
      </c>
      <c r="AB117" s="163" t="str">
        <f t="shared" si="120"/>
        <v/>
      </c>
      <c r="AC117" s="163" t="str">
        <f t="shared" si="120"/>
        <v/>
      </c>
      <c r="AD117" s="163" t="str">
        <f t="shared" si="120"/>
        <v/>
      </c>
      <c r="AE117" s="163" t="str">
        <f t="shared" si="120"/>
        <v/>
      </c>
      <c r="AF117" s="163" t="str">
        <f t="shared" si="120"/>
        <v/>
      </c>
      <c r="AG117" s="163" t="str">
        <f t="shared" si="120"/>
        <v/>
      </c>
      <c r="AH117" s="163" t="str">
        <f t="shared" si="120"/>
        <v/>
      </c>
      <c r="AI117" s="163" t="str">
        <f t="shared" si="120"/>
        <v/>
      </c>
      <c r="AJ117" s="163" t="str">
        <f t="shared" si="120"/>
        <v/>
      </c>
      <c r="AK117" s="163" t="str">
        <f t="shared" si="120"/>
        <v/>
      </c>
      <c r="AL117" s="163" t="str">
        <f t="shared" si="120"/>
        <v/>
      </c>
      <c r="AM117" s="163" t="str">
        <f t="shared" si="120"/>
        <v/>
      </c>
      <c r="AN117" s="163" t="str">
        <f t="shared" si="120"/>
        <v/>
      </c>
      <c r="AO117" s="163" t="str">
        <f t="shared" si="120"/>
        <v/>
      </c>
      <c r="AP117" s="163" t="str">
        <f t="shared" si="120"/>
        <v/>
      </c>
      <c r="AQ117" s="163" t="str">
        <f t="shared" si="120"/>
        <v/>
      </c>
      <c r="AR117" s="163" t="str">
        <f t="shared" si="120"/>
        <v/>
      </c>
      <c r="AS117" s="163" t="str">
        <f t="shared" si="120"/>
        <v/>
      </c>
      <c r="AT117" s="163" t="str">
        <f t="shared" si="120"/>
        <v/>
      </c>
      <c r="AU117" s="163" t="str">
        <f t="shared" si="120"/>
        <v/>
      </c>
      <c r="AV117" s="163" t="str">
        <f t="shared" si="120"/>
        <v/>
      </c>
      <c r="AW117" s="163" t="str">
        <f t="shared" si="120"/>
        <v/>
      </c>
    </row>
    <row r="118">
      <c r="A118" s="108"/>
      <c r="B118" s="134" t="s">
        <v>1777</v>
      </c>
      <c r="C118" s="134"/>
      <c r="D118" s="134" t="s">
        <v>1678</v>
      </c>
      <c r="E118" s="134" t="str">
        <f>vlookup(D118,CNPJ!A107:B304,2,FAlse)</f>
        <v>50.276.237/0001-78</v>
      </c>
      <c r="F118" s="246">
        <v>149031.0</v>
      </c>
      <c r="G118" s="148">
        <v>3408.0</v>
      </c>
      <c r="H118" s="221">
        <v>45267.0</v>
      </c>
      <c r="I118" s="134" t="s">
        <v>1724</v>
      </c>
      <c r="J118" s="220"/>
      <c r="K118" s="134" t="b">
        <v>1</v>
      </c>
      <c r="L118" s="247">
        <f t="shared" si="3"/>
        <v>3408</v>
      </c>
      <c r="M118" s="248"/>
      <c r="N118" s="108" t="b">
        <f t="shared" si="108"/>
        <v>1</v>
      </c>
      <c r="O118" s="229">
        <f t="shared" si="5"/>
        <v>2</v>
      </c>
      <c r="P118" s="163">
        <f t="shared" ref="P118:AW118" si="121">iferror(if(P$9=FALSE,, if(if(search(P$11,$B118,1)&gt;0,1,0)=1,$G118/$O118,0)),"")</f>
        <v>1704</v>
      </c>
      <c r="Q118" s="163" t="str">
        <f t="shared" si="121"/>
        <v/>
      </c>
      <c r="R118" s="163" t="str">
        <f t="shared" si="121"/>
        <v/>
      </c>
      <c r="S118" s="163" t="str">
        <f t="shared" si="121"/>
        <v/>
      </c>
      <c r="T118" s="163" t="str">
        <f t="shared" si="121"/>
        <v/>
      </c>
      <c r="U118" s="163" t="str">
        <f t="shared" si="121"/>
        <v/>
      </c>
      <c r="V118" s="163" t="str">
        <f t="shared" si="121"/>
        <v/>
      </c>
      <c r="W118" s="163" t="str">
        <f t="shared" si="121"/>
        <v/>
      </c>
      <c r="X118" s="163" t="str">
        <f t="shared" si="121"/>
        <v/>
      </c>
      <c r="Y118" s="163" t="str">
        <f t="shared" si="121"/>
        <v/>
      </c>
      <c r="Z118" s="163" t="str">
        <f t="shared" si="121"/>
        <v/>
      </c>
      <c r="AA118" s="163" t="str">
        <f t="shared" si="121"/>
        <v/>
      </c>
      <c r="AB118" s="163" t="str">
        <f t="shared" si="121"/>
        <v/>
      </c>
      <c r="AC118" s="163" t="str">
        <f t="shared" si="121"/>
        <v/>
      </c>
      <c r="AD118" s="163" t="str">
        <f t="shared" si="121"/>
        <v/>
      </c>
      <c r="AE118" s="163" t="str">
        <f t="shared" si="121"/>
        <v/>
      </c>
      <c r="AF118" s="163" t="str">
        <f t="shared" si="121"/>
        <v/>
      </c>
      <c r="AG118" s="163" t="str">
        <f t="shared" si="121"/>
        <v/>
      </c>
      <c r="AH118" s="163" t="str">
        <f t="shared" si="121"/>
        <v/>
      </c>
      <c r="AI118" s="163" t="str">
        <f t="shared" si="121"/>
        <v/>
      </c>
      <c r="AJ118" s="163" t="str">
        <f t="shared" si="121"/>
        <v/>
      </c>
      <c r="AK118" s="163" t="str">
        <f t="shared" si="121"/>
        <v/>
      </c>
      <c r="AL118" s="163" t="str">
        <f t="shared" si="121"/>
        <v/>
      </c>
      <c r="AM118" s="163" t="str">
        <f t="shared" si="121"/>
        <v/>
      </c>
      <c r="AN118" s="163">
        <f t="shared" si="121"/>
        <v>1704</v>
      </c>
      <c r="AO118" s="163" t="str">
        <f t="shared" si="121"/>
        <v/>
      </c>
      <c r="AP118" s="163" t="str">
        <f t="shared" si="121"/>
        <v/>
      </c>
      <c r="AQ118" s="163" t="str">
        <f t="shared" si="121"/>
        <v/>
      </c>
      <c r="AR118" s="163" t="str">
        <f t="shared" si="121"/>
        <v/>
      </c>
      <c r="AS118" s="163" t="str">
        <f t="shared" si="121"/>
        <v/>
      </c>
      <c r="AT118" s="163" t="str">
        <f t="shared" si="121"/>
        <v/>
      </c>
      <c r="AU118" s="163" t="str">
        <f t="shared" si="121"/>
        <v/>
      </c>
      <c r="AV118" s="163" t="str">
        <f t="shared" si="121"/>
        <v/>
      </c>
      <c r="AW118" s="163" t="str">
        <f t="shared" si="121"/>
        <v/>
      </c>
    </row>
    <row r="119">
      <c r="A119" s="108"/>
      <c r="B119" s="134" t="s">
        <v>1777</v>
      </c>
      <c r="C119" s="134"/>
      <c r="D119" s="134" t="s">
        <v>1648</v>
      </c>
      <c r="E119" s="134" t="str">
        <f>vlookup(D119,CNPJ!A108:B305,2,FAlse)</f>
        <v>04.329.668/0001-38</v>
      </c>
      <c r="F119" s="246">
        <v>232091.0</v>
      </c>
      <c r="G119" s="148">
        <v>4933.77</v>
      </c>
      <c r="H119" s="221">
        <v>45267.0</v>
      </c>
      <c r="I119" s="134" t="s">
        <v>1775</v>
      </c>
      <c r="J119" s="220"/>
      <c r="K119" s="134" t="b">
        <v>1</v>
      </c>
      <c r="L119" s="247">
        <f t="shared" si="3"/>
        <v>4933.77</v>
      </c>
      <c r="M119" s="248"/>
      <c r="N119" s="108" t="b">
        <f t="shared" si="108"/>
        <v>1</v>
      </c>
      <c r="O119" s="229">
        <f t="shared" si="5"/>
        <v>2</v>
      </c>
      <c r="P119" s="163">
        <f t="shared" ref="P119:AW119" si="122">iferror(if(P$9=FALSE,, if(if(search(P$11,$B119,1)&gt;0,1,0)=1,$G119/$O119,0)),"")</f>
        <v>2466.885</v>
      </c>
      <c r="Q119" s="163" t="str">
        <f t="shared" si="122"/>
        <v/>
      </c>
      <c r="R119" s="163" t="str">
        <f t="shared" si="122"/>
        <v/>
      </c>
      <c r="S119" s="163" t="str">
        <f t="shared" si="122"/>
        <v/>
      </c>
      <c r="T119" s="163" t="str">
        <f t="shared" si="122"/>
        <v/>
      </c>
      <c r="U119" s="163" t="str">
        <f t="shared" si="122"/>
        <v/>
      </c>
      <c r="V119" s="163" t="str">
        <f t="shared" si="122"/>
        <v/>
      </c>
      <c r="W119" s="163" t="str">
        <f t="shared" si="122"/>
        <v/>
      </c>
      <c r="X119" s="163" t="str">
        <f t="shared" si="122"/>
        <v/>
      </c>
      <c r="Y119" s="163" t="str">
        <f t="shared" si="122"/>
        <v/>
      </c>
      <c r="Z119" s="163" t="str">
        <f t="shared" si="122"/>
        <v/>
      </c>
      <c r="AA119" s="163" t="str">
        <f t="shared" si="122"/>
        <v/>
      </c>
      <c r="AB119" s="163" t="str">
        <f t="shared" si="122"/>
        <v/>
      </c>
      <c r="AC119" s="163" t="str">
        <f t="shared" si="122"/>
        <v/>
      </c>
      <c r="AD119" s="163" t="str">
        <f t="shared" si="122"/>
        <v/>
      </c>
      <c r="AE119" s="163" t="str">
        <f t="shared" si="122"/>
        <v/>
      </c>
      <c r="AF119" s="163" t="str">
        <f t="shared" si="122"/>
        <v/>
      </c>
      <c r="AG119" s="163" t="str">
        <f t="shared" si="122"/>
        <v/>
      </c>
      <c r="AH119" s="163" t="str">
        <f t="shared" si="122"/>
        <v/>
      </c>
      <c r="AI119" s="163" t="str">
        <f t="shared" si="122"/>
        <v/>
      </c>
      <c r="AJ119" s="163" t="str">
        <f t="shared" si="122"/>
        <v/>
      </c>
      <c r="AK119" s="163" t="str">
        <f t="shared" si="122"/>
        <v/>
      </c>
      <c r="AL119" s="163" t="str">
        <f t="shared" si="122"/>
        <v/>
      </c>
      <c r="AM119" s="163" t="str">
        <f t="shared" si="122"/>
        <v/>
      </c>
      <c r="AN119" s="163">
        <f t="shared" si="122"/>
        <v>2466.885</v>
      </c>
      <c r="AO119" s="163" t="str">
        <f t="shared" si="122"/>
        <v/>
      </c>
      <c r="AP119" s="163" t="str">
        <f t="shared" si="122"/>
        <v/>
      </c>
      <c r="AQ119" s="163" t="str">
        <f t="shared" si="122"/>
        <v/>
      </c>
      <c r="AR119" s="163" t="str">
        <f t="shared" si="122"/>
        <v/>
      </c>
      <c r="AS119" s="163" t="str">
        <f t="shared" si="122"/>
        <v/>
      </c>
      <c r="AT119" s="163" t="str">
        <f t="shared" si="122"/>
        <v/>
      </c>
      <c r="AU119" s="163" t="str">
        <f t="shared" si="122"/>
        <v/>
      </c>
      <c r="AV119" s="163" t="str">
        <f t="shared" si="122"/>
        <v/>
      </c>
      <c r="AW119" s="163" t="str">
        <f t="shared" si="122"/>
        <v/>
      </c>
    </row>
    <row r="120">
      <c r="A120" s="108"/>
      <c r="B120" s="134" t="s">
        <v>54</v>
      </c>
      <c r="C120" s="134"/>
      <c r="D120" s="134" t="s">
        <v>1652</v>
      </c>
      <c r="E120" s="134" t="str">
        <f>vlookup(D120,CNPJ!A109:B306,2,FAlse)</f>
        <v>68.314.830/0001-27</v>
      </c>
      <c r="F120" s="246">
        <v>58941.0</v>
      </c>
      <c r="G120" s="148">
        <v>280.0</v>
      </c>
      <c r="H120" s="221">
        <v>45275.0</v>
      </c>
      <c r="I120" s="134" t="s">
        <v>1778</v>
      </c>
      <c r="J120" s="220"/>
      <c r="K120" s="134" t="b">
        <v>1</v>
      </c>
      <c r="L120" s="247">
        <f t="shared" si="3"/>
        <v>280</v>
      </c>
      <c r="M120" s="248"/>
      <c r="N120" s="108" t="b">
        <f t="shared" si="108"/>
        <v>1</v>
      </c>
      <c r="O120" s="229">
        <f t="shared" si="5"/>
        <v>1</v>
      </c>
      <c r="P120" s="163" t="str">
        <f t="shared" ref="P120:AW120" si="123">iferror(if(P$9=FALSE,, if(if(search(P$11,$B120,1)&gt;0,1,0)=1,$G120/$O120,0)),"")</f>
        <v/>
      </c>
      <c r="Q120" s="163" t="str">
        <f t="shared" si="123"/>
        <v/>
      </c>
      <c r="R120" s="163" t="str">
        <f t="shared" si="123"/>
        <v/>
      </c>
      <c r="S120" s="163" t="str">
        <f t="shared" si="123"/>
        <v/>
      </c>
      <c r="T120" s="163" t="str">
        <f t="shared" si="123"/>
        <v/>
      </c>
      <c r="U120" s="163" t="str">
        <f t="shared" si="123"/>
        <v/>
      </c>
      <c r="V120" s="163" t="str">
        <f t="shared" si="123"/>
        <v/>
      </c>
      <c r="W120" s="163" t="str">
        <f t="shared" si="123"/>
        <v/>
      </c>
      <c r="X120" s="163" t="str">
        <f t="shared" si="123"/>
        <v/>
      </c>
      <c r="Y120" s="163">
        <f t="shared" si="123"/>
        <v>280</v>
      </c>
      <c r="Z120" s="163" t="str">
        <f t="shared" si="123"/>
        <v/>
      </c>
      <c r="AA120" s="163" t="str">
        <f t="shared" si="123"/>
        <v/>
      </c>
      <c r="AB120" s="163" t="str">
        <f t="shared" si="123"/>
        <v/>
      </c>
      <c r="AC120" s="163" t="str">
        <f t="shared" si="123"/>
        <v/>
      </c>
      <c r="AD120" s="163" t="str">
        <f t="shared" si="123"/>
        <v/>
      </c>
      <c r="AE120" s="163" t="str">
        <f t="shared" si="123"/>
        <v/>
      </c>
      <c r="AF120" s="163" t="str">
        <f t="shared" si="123"/>
        <v/>
      </c>
      <c r="AG120" s="163" t="str">
        <f t="shared" si="123"/>
        <v/>
      </c>
      <c r="AH120" s="163" t="str">
        <f t="shared" si="123"/>
        <v/>
      </c>
      <c r="AI120" s="163" t="str">
        <f t="shared" si="123"/>
        <v/>
      </c>
      <c r="AJ120" s="163" t="str">
        <f t="shared" si="123"/>
        <v/>
      </c>
      <c r="AK120" s="163" t="str">
        <f t="shared" si="123"/>
        <v/>
      </c>
      <c r="AL120" s="163" t="str">
        <f t="shared" si="123"/>
        <v/>
      </c>
      <c r="AM120" s="163" t="str">
        <f t="shared" si="123"/>
        <v/>
      </c>
      <c r="AN120" s="163" t="str">
        <f t="shared" si="123"/>
        <v/>
      </c>
      <c r="AO120" s="163" t="str">
        <f t="shared" si="123"/>
        <v/>
      </c>
      <c r="AP120" s="163" t="str">
        <f t="shared" si="123"/>
        <v/>
      </c>
      <c r="AQ120" s="163" t="str">
        <f t="shared" si="123"/>
        <v/>
      </c>
      <c r="AR120" s="163" t="str">
        <f t="shared" si="123"/>
        <v/>
      </c>
      <c r="AS120" s="163" t="str">
        <f t="shared" si="123"/>
        <v/>
      </c>
      <c r="AT120" s="163" t="str">
        <f t="shared" si="123"/>
        <v/>
      </c>
      <c r="AU120" s="163" t="str">
        <f t="shared" si="123"/>
        <v/>
      </c>
      <c r="AV120" s="163" t="str">
        <f t="shared" si="123"/>
        <v/>
      </c>
      <c r="AW120" s="163" t="str">
        <f t="shared" si="123"/>
        <v/>
      </c>
    </row>
    <row r="121">
      <c r="A121" s="108"/>
      <c r="B121" s="134" t="s">
        <v>446</v>
      </c>
      <c r="C121" s="134"/>
      <c r="D121" s="134" t="s">
        <v>1762</v>
      </c>
      <c r="E121" s="134" t="str">
        <f>vlookup(D121,CNPJ!A110:B307,2,FAlse)</f>
        <v>61.528.030/0001-60</v>
      </c>
      <c r="F121" s="246">
        <v>27612.0</v>
      </c>
      <c r="G121" s="148">
        <v>36000.0</v>
      </c>
      <c r="H121" s="221">
        <v>45279.0</v>
      </c>
      <c r="I121" s="134" t="s">
        <v>1779</v>
      </c>
      <c r="J121" s="220"/>
      <c r="K121" s="134" t="b">
        <v>1</v>
      </c>
      <c r="L121" s="247">
        <f t="shared" si="3"/>
        <v>0</v>
      </c>
      <c r="M121" s="248"/>
      <c r="N121" s="108" t="b">
        <f t="shared" si="108"/>
        <v>0</v>
      </c>
      <c r="O121" s="229">
        <f t="shared" si="5"/>
        <v>1</v>
      </c>
      <c r="P121" s="163" t="str">
        <f t="shared" ref="P121:AW121" si="124">iferror(if(P$9=FALSE,, if(if(search(P$11,$B121,1)&gt;0,1,0)=1,$G121/$O121,0)),"")</f>
        <v/>
      </c>
      <c r="Q121" s="163" t="str">
        <f t="shared" si="124"/>
        <v/>
      </c>
      <c r="R121" s="163" t="str">
        <f t="shared" si="124"/>
        <v/>
      </c>
      <c r="S121" s="163" t="str">
        <f t="shared" si="124"/>
        <v/>
      </c>
      <c r="T121" s="163" t="str">
        <f t="shared" si="124"/>
        <v/>
      </c>
      <c r="U121" s="163" t="str">
        <f t="shared" si="124"/>
        <v/>
      </c>
      <c r="V121" s="163" t="str">
        <f t="shared" si="124"/>
        <v/>
      </c>
      <c r="W121" s="163" t="str">
        <f t="shared" si="124"/>
        <v/>
      </c>
      <c r="X121" s="163" t="str">
        <f t="shared" si="124"/>
        <v/>
      </c>
      <c r="Y121" s="163" t="str">
        <f t="shared" si="124"/>
        <v/>
      </c>
      <c r="Z121" s="163" t="str">
        <f t="shared" si="124"/>
        <v/>
      </c>
      <c r="AA121" s="163" t="str">
        <f t="shared" si="124"/>
        <v/>
      </c>
      <c r="AB121" s="163" t="str">
        <f t="shared" si="124"/>
        <v/>
      </c>
      <c r="AC121" s="163" t="str">
        <f t="shared" si="124"/>
        <v/>
      </c>
      <c r="AD121" s="163" t="str">
        <f t="shared" si="124"/>
        <v/>
      </c>
      <c r="AE121" s="163" t="str">
        <f t="shared" si="124"/>
        <v/>
      </c>
      <c r="AF121" s="163" t="str">
        <f t="shared" si="124"/>
        <v/>
      </c>
      <c r="AG121" s="163" t="str">
        <f t="shared" si="124"/>
        <v/>
      </c>
      <c r="AH121" s="163" t="str">
        <f t="shared" si="124"/>
        <v/>
      </c>
      <c r="AI121" s="163" t="str">
        <f t="shared" si="124"/>
        <v/>
      </c>
      <c r="AJ121" s="163" t="str">
        <f t="shared" si="124"/>
        <v/>
      </c>
      <c r="AK121" s="163" t="str">
        <f t="shared" si="124"/>
        <v/>
      </c>
      <c r="AL121" s="163" t="str">
        <f t="shared" si="124"/>
        <v/>
      </c>
      <c r="AM121" s="163" t="str">
        <f t="shared" si="124"/>
        <v/>
      </c>
      <c r="AN121" s="163" t="str">
        <f t="shared" si="124"/>
        <v/>
      </c>
      <c r="AO121" s="163" t="str">
        <f t="shared" si="124"/>
        <v/>
      </c>
      <c r="AP121" s="163" t="str">
        <f t="shared" si="124"/>
        <v/>
      </c>
      <c r="AQ121" s="163" t="str">
        <f t="shared" si="124"/>
        <v/>
      </c>
      <c r="AR121" s="163" t="str">
        <f t="shared" si="124"/>
        <v/>
      </c>
      <c r="AS121" s="163" t="str">
        <f t="shared" si="124"/>
        <v/>
      </c>
      <c r="AT121" s="163" t="str">
        <f t="shared" si="124"/>
        <v/>
      </c>
      <c r="AU121" s="163" t="str">
        <f t="shared" si="124"/>
        <v/>
      </c>
      <c r="AV121" s="163" t="str">
        <f t="shared" si="124"/>
        <v/>
      </c>
      <c r="AW121" s="163" t="str">
        <f t="shared" si="124"/>
        <v/>
      </c>
    </row>
    <row r="122">
      <c r="A122" s="108"/>
      <c r="B122" s="134" t="s">
        <v>446</v>
      </c>
      <c r="C122" s="134"/>
      <c r="D122" s="134" t="s">
        <v>1762</v>
      </c>
      <c r="E122" s="134" t="str">
        <f>vlookup(D122,CNPJ!A111:B308,2,FAlse)</f>
        <v>61.528.030/0001-60</v>
      </c>
      <c r="F122" s="246">
        <v>27615.0</v>
      </c>
      <c r="G122" s="148">
        <v>25148.69</v>
      </c>
      <c r="H122" s="221">
        <v>45279.0</v>
      </c>
      <c r="I122" s="134" t="s">
        <v>1779</v>
      </c>
      <c r="J122" s="220"/>
      <c r="K122" s="134" t="b">
        <v>1</v>
      </c>
      <c r="L122" s="247">
        <f t="shared" si="3"/>
        <v>0</v>
      </c>
      <c r="M122" s="248"/>
      <c r="N122" s="108" t="b">
        <f t="shared" si="108"/>
        <v>0</v>
      </c>
      <c r="O122" s="229">
        <f t="shared" si="5"/>
        <v>1</v>
      </c>
      <c r="P122" s="163" t="str">
        <f t="shared" ref="P122:AW122" si="125">iferror(if(P$9=FALSE,, if(if(search(P$11,$B122,1)&gt;0,1,0)=1,$G122/$O122,0)),"")</f>
        <v/>
      </c>
      <c r="Q122" s="163" t="str">
        <f t="shared" si="125"/>
        <v/>
      </c>
      <c r="R122" s="163" t="str">
        <f t="shared" si="125"/>
        <v/>
      </c>
      <c r="S122" s="163" t="str">
        <f t="shared" si="125"/>
        <v/>
      </c>
      <c r="T122" s="163" t="str">
        <f t="shared" si="125"/>
        <v/>
      </c>
      <c r="U122" s="163" t="str">
        <f t="shared" si="125"/>
        <v/>
      </c>
      <c r="V122" s="163" t="str">
        <f t="shared" si="125"/>
        <v/>
      </c>
      <c r="W122" s="163" t="str">
        <f t="shared" si="125"/>
        <v/>
      </c>
      <c r="X122" s="163" t="str">
        <f t="shared" si="125"/>
        <v/>
      </c>
      <c r="Y122" s="163" t="str">
        <f t="shared" si="125"/>
        <v/>
      </c>
      <c r="Z122" s="163" t="str">
        <f t="shared" si="125"/>
        <v/>
      </c>
      <c r="AA122" s="163" t="str">
        <f t="shared" si="125"/>
        <v/>
      </c>
      <c r="AB122" s="163" t="str">
        <f t="shared" si="125"/>
        <v/>
      </c>
      <c r="AC122" s="163" t="str">
        <f t="shared" si="125"/>
        <v/>
      </c>
      <c r="AD122" s="163" t="str">
        <f t="shared" si="125"/>
        <v/>
      </c>
      <c r="AE122" s="163" t="str">
        <f t="shared" si="125"/>
        <v/>
      </c>
      <c r="AF122" s="163" t="str">
        <f t="shared" si="125"/>
        <v/>
      </c>
      <c r="AG122" s="163" t="str">
        <f t="shared" si="125"/>
        <v/>
      </c>
      <c r="AH122" s="163" t="str">
        <f t="shared" si="125"/>
        <v/>
      </c>
      <c r="AI122" s="163" t="str">
        <f t="shared" si="125"/>
        <v/>
      </c>
      <c r="AJ122" s="163" t="str">
        <f t="shared" si="125"/>
        <v/>
      </c>
      <c r="AK122" s="163" t="str">
        <f t="shared" si="125"/>
        <v/>
      </c>
      <c r="AL122" s="163" t="str">
        <f t="shared" si="125"/>
        <v/>
      </c>
      <c r="AM122" s="163" t="str">
        <f t="shared" si="125"/>
        <v/>
      </c>
      <c r="AN122" s="163" t="str">
        <f t="shared" si="125"/>
        <v/>
      </c>
      <c r="AO122" s="163" t="str">
        <f t="shared" si="125"/>
        <v/>
      </c>
      <c r="AP122" s="163" t="str">
        <f t="shared" si="125"/>
        <v/>
      </c>
      <c r="AQ122" s="163" t="str">
        <f t="shared" si="125"/>
        <v/>
      </c>
      <c r="AR122" s="163" t="str">
        <f t="shared" si="125"/>
        <v/>
      </c>
      <c r="AS122" s="163" t="str">
        <f t="shared" si="125"/>
        <v/>
      </c>
      <c r="AT122" s="163" t="str">
        <f t="shared" si="125"/>
        <v/>
      </c>
      <c r="AU122" s="163" t="str">
        <f t="shared" si="125"/>
        <v/>
      </c>
      <c r="AV122" s="163" t="str">
        <f t="shared" si="125"/>
        <v/>
      </c>
      <c r="AW122" s="163" t="str">
        <f t="shared" si="125"/>
        <v/>
      </c>
    </row>
    <row r="123">
      <c r="A123" s="108"/>
      <c r="B123" s="134" t="s">
        <v>290</v>
      </c>
      <c r="C123" s="134"/>
      <c r="D123" s="134" t="s">
        <v>1650</v>
      </c>
      <c r="E123" s="134" t="str">
        <f>vlookup(D123,CNPJ!A112:B309,2,FAlse)</f>
        <v>20.618.029/0001-49</v>
      </c>
      <c r="F123" s="246">
        <v>74614.0</v>
      </c>
      <c r="G123" s="148">
        <v>47.43</v>
      </c>
      <c r="H123" s="221">
        <v>45279.0</v>
      </c>
      <c r="I123" s="134" t="s">
        <v>1651</v>
      </c>
      <c r="J123" s="220"/>
      <c r="K123" s="134" t="b">
        <v>0</v>
      </c>
      <c r="L123" s="247">
        <f t="shared" si="3"/>
        <v>0</v>
      </c>
      <c r="M123" s="248" t="s">
        <v>1772</v>
      </c>
      <c r="N123" s="108" t="b">
        <f t="shared" si="108"/>
        <v>0</v>
      </c>
      <c r="O123" s="229">
        <f t="shared" si="5"/>
        <v>0</v>
      </c>
      <c r="P123" s="163" t="str">
        <f t="shared" ref="P123:AW123" si="126">iferror(if(P$9=FALSE,, if(if(search(P$11,$B123,1)&gt;0,1,0)=1,$G123/$O123,0)),"")</f>
        <v/>
      </c>
      <c r="Q123" s="163" t="str">
        <f t="shared" si="126"/>
        <v/>
      </c>
      <c r="R123" s="163" t="str">
        <f t="shared" si="126"/>
        <v/>
      </c>
      <c r="S123" s="163" t="str">
        <f t="shared" si="126"/>
        <v/>
      </c>
      <c r="T123" s="163" t="str">
        <f t="shared" si="126"/>
        <v/>
      </c>
      <c r="U123" s="163" t="str">
        <f t="shared" si="126"/>
        <v/>
      </c>
      <c r="V123" s="163" t="str">
        <f t="shared" si="126"/>
        <v/>
      </c>
      <c r="W123" s="163" t="str">
        <f t="shared" si="126"/>
        <v/>
      </c>
      <c r="X123" s="163" t="str">
        <f t="shared" si="126"/>
        <v/>
      </c>
      <c r="Y123" s="163" t="str">
        <f t="shared" si="126"/>
        <v/>
      </c>
      <c r="Z123" s="163" t="str">
        <f t="shared" si="126"/>
        <v/>
      </c>
      <c r="AA123" s="163" t="str">
        <f t="shared" si="126"/>
        <v/>
      </c>
      <c r="AB123" s="163" t="str">
        <f t="shared" si="126"/>
        <v/>
      </c>
      <c r="AC123" s="163" t="str">
        <f t="shared" si="126"/>
        <v/>
      </c>
      <c r="AD123" s="163" t="str">
        <f t="shared" si="126"/>
        <v/>
      </c>
      <c r="AE123" s="163" t="str">
        <f t="shared" si="126"/>
        <v/>
      </c>
      <c r="AF123" s="163" t="str">
        <f t="shared" si="126"/>
        <v/>
      </c>
      <c r="AG123" s="163" t="str">
        <f t="shared" si="126"/>
        <v/>
      </c>
      <c r="AH123" s="163" t="str">
        <f t="shared" si="126"/>
        <v/>
      </c>
      <c r="AI123" s="163" t="str">
        <f t="shared" si="126"/>
        <v/>
      </c>
      <c r="AJ123" s="163" t="str">
        <f t="shared" si="126"/>
        <v/>
      </c>
      <c r="AK123" s="163" t="str">
        <f t="shared" si="126"/>
        <v/>
      </c>
      <c r="AL123" s="163" t="str">
        <f t="shared" si="126"/>
        <v/>
      </c>
      <c r="AM123" s="163" t="str">
        <f t="shared" si="126"/>
        <v/>
      </c>
      <c r="AN123" s="163" t="str">
        <f t="shared" si="126"/>
        <v/>
      </c>
      <c r="AO123" s="163" t="str">
        <f t="shared" si="126"/>
        <v/>
      </c>
      <c r="AP123" s="163" t="str">
        <f t="shared" si="126"/>
        <v/>
      </c>
      <c r="AQ123" s="163" t="str">
        <f t="shared" si="126"/>
        <v/>
      </c>
      <c r="AR123" s="163" t="str">
        <f t="shared" si="126"/>
        <v/>
      </c>
      <c r="AS123" s="163" t="str">
        <f t="shared" si="126"/>
        <v/>
      </c>
      <c r="AT123" s="163" t="str">
        <f t="shared" si="126"/>
        <v/>
      </c>
      <c r="AU123" s="163" t="str">
        <f t="shared" si="126"/>
        <v/>
      </c>
      <c r="AV123" s="163" t="str">
        <f t="shared" si="126"/>
        <v/>
      </c>
      <c r="AW123" s="163" t="str">
        <f t="shared" si="126"/>
        <v/>
      </c>
    </row>
    <row r="124">
      <c r="A124" s="108"/>
      <c r="B124" s="134" t="s">
        <v>290</v>
      </c>
      <c r="C124" s="134"/>
      <c r="D124" s="134" t="s">
        <v>1648</v>
      </c>
      <c r="E124" s="134" t="str">
        <f>vlookup(D124,CNPJ!A113:B310,2,FAlse)</f>
        <v>04.329.668/0001-38</v>
      </c>
      <c r="F124" s="246">
        <v>233530.0</v>
      </c>
      <c r="G124" s="148">
        <v>8217.84</v>
      </c>
      <c r="H124" s="221">
        <v>45288.0</v>
      </c>
      <c r="I124" s="134" t="s">
        <v>1775</v>
      </c>
      <c r="J124" s="220"/>
      <c r="K124" s="134" t="b">
        <v>1</v>
      </c>
      <c r="L124" s="247">
        <f t="shared" si="3"/>
        <v>8217.84</v>
      </c>
      <c r="M124" s="248"/>
      <c r="N124" s="108" t="b">
        <f t="shared" si="108"/>
        <v>1</v>
      </c>
      <c r="O124" s="229">
        <f t="shared" si="5"/>
        <v>1</v>
      </c>
      <c r="P124" s="163">
        <f t="shared" ref="P124:AW124" si="127">iferror(if(P$9=FALSE,, if(if(search(P$11,$B124,1)&gt;0,1,0)=1,$G124/$O124,0)),"")</f>
        <v>8217.84</v>
      </c>
      <c r="Q124" s="163" t="str">
        <f t="shared" si="127"/>
        <v/>
      </c>
      <c r="R124" s="163" t="str">
        <f t="shared" si="127"/>
        <v/>
      </c>
      <c r="S124" s="163" t="str">
        <f t="shared" si="127"/>
        <v/>
      </c>
      <c r="T124" s="163" t="str">
        <f t="shared" si="127"/>
        <v/>
      </c>
      <c r="U124" s="163" t="str">
        <f t="shared" si="127"/>
        <v/>
      </c>
      <c r="V124" s="163" t="str">
        <f t="shared" si="127"/>
        <v/>
      </c>
      <c r="W124" s="163" t="str">
        <f t="shared" si="127"/>
        <v/>
      </c>
      <c r="X124" s="163" t="str">
        <f t="shared" si="127"/>
        <v/>
      </c>
      <c r="Y124" s="163" t="str">
        <f t="shared" si="127"/>
        <v/>
      </c>
      <c r="Z124" s="163" t="str">
        <f t="shared" si="127"/>
        <v/>
      </c>
      <c r="AA124" s="163" t="str">
        <f t="shared" si="127"/>
        <v/>
      </c>
      <c r="AB124" s="163" t="str">
        <f t="shared" si="127"/>
        <v/>
      </c>
      <c r="AC124" s="163" t="str">
        <f t="shared" si="127"/>
        <v/>
      </c>
      <c r="AD124" s="163" t="str">
        <f t="shared" si="127"/>
        <v/>
      </c>
      <c r="AE124" s="163" t="str">
        <f t="shared" si="127"/>
        <v/>
      </c>
      <c r="AF124" s="163" t="str">
        <f t="shared" si="127"/>
        <v/>
      </c>
      <c r="AG124" s="163" t="str">
        <f t="shared" si="127"/>
        <v/>
      </c>
      <c r="AH124" s="163" t="str">
        <f t="shared" si="127"/>
        <v/>
      </c>
      <c r="AI124" s="163" t="str">
        <f t="shared" si="127"/>
        <v/>
      </c>
      <c r="AJ124" s="163" t="str">
        <f t="shared" si="127"/>
        <v/>
      </c>
      <c r="AK124" s="163" t="str">
        <f t="shared" si="127"/>
        <v/>
      </c>
      <c r="AL124" s="163" t="str">
        <f t="shared" si="127"/>
        <v/>
      </c>
      <c r="AM124" s="163" t="str">
        <f t="shared" si="127"/>
        <v/>
      </c>
      <c r="AN124" s="163" t="str">
        <f t="shared" si="127"/>
        <v/>
      </c>
      <c r="AO124" s="163" t="str">
        <f t="shared" si="127"/>
        <v/>
      </c>
      <c r="AP124" s="163" t="str">
        <f t="shared" si="127"/>
        <v/>
      </c>
      <c r="AQ124" s="163" t="str">
        <f t="shared" si="127"/>
        <v/>
      </c>
      <c r="AR124" s="163" t="str">
        <f t="shared" si="127"/>
        <v/>
      </c>
      <c r="AS124" s="163" t="str">
        <f t="shared" si="127"/>
        <v/>
      </c>
      <c r="AT124" s="163" t="str">
        <f t="shared" si="127"/>
        <v/>
      </c>
      <c r="AU124" s="163" t="str">
        <f t="shared" si="127"/>
        <v/>
      </c>
      <c r="AV124" s="163" t="str">
        <f t="shared" si="127"/>
        <v/>
      </c>
      <c r="AW124" s="163" t="str">
        <f t="shared" si="127"/>
        <v/>
      </c>
    </row>
    <row r="125">
      <c r="A125" s="108"/>
      <c r="B125" s="134" t="s">
        <v>65</v>
      </c>
      <c r="C125" s="134"/>
      <c r="D125" s="134" t="s">
        <v>1667</v>
      </c>
      <c r="E125" s="134" t="str">
        <f>vlookup(D125,CNPJ!A114:B311,2,FAlse)</f>
        <v>08.183.359/0003-15</v>
      </c>
      <c r="F125" s="246">
        <v>78616.0</v>
      </c>
      <c r="G125" s="148">
        <v>4536.0</v>
      </c>
      <c r="H125" s="221">
        <v>45210.0</v>
      </c>
      <c r="I125" s="134" t="s">
        <v>1780</v>
      </c>
      <c r="J125" s="220"/>
      <c r="K125" s="134" t="b">
        <v>0</v>
      </c>
      <c r="L125" s="247">
        <f t="shared" si="3"/>
        <v>0</v>
      </c>
      <c r="M125" s="248"/>
      <c r="N125" s="108" t="b">
        <f>sum(P125:AO125)=G125</f>
        <v>0</v>
      </c>
      <c r="O125" s="229">
        <f t="shared" si="5"/>
        <v>0</v>
      </c>
      <c r="P125" s="163" t="str">
        <f t="shared" ref="P125:AW125" si="128">iferror(if(P$9=FALSE,, if(if(search(P$11,$B125,1)&gt;0,1,0)=1,$G125/$O125,0)),"")</f>
        <v/>
      </c>
      <c r="Q125" s="163" t="str">
        <f t="shared" si="128"/>
        <v/>
      </c>
      <c r="R125" s="163" t="str">
        <f t="shared" si="128"/>
        <v/>
      </c>
      <c r="S125" s="163" t="str">
        <f t="shared" si="128"/>
        <v/>
      </c>
      <c r="T125" s="163" t="str">
        <f t="shared" si="128"/>
        <v/>
      </c>
      <c r="U125" s="163" t="str">
        <f t="shared" si="128"/>
        <v/>
      </c>
      <c r="V125" s="163" t="str">
        <f t="shared" si="128"/>
        <v/>
      </c>
      <c r="W125" s="163" t="str">
        <f t="shared" si="128"/>
        <v/>
      </c>
      <c r="X125" s="163" t="str">
        <f t="shared" si="128"/>
        <v/>
      </c>
      <c r="Y125" s="163" t="str">
        <f t="shared" si="128"/>
        <v/>
      </c>
      <c r="Z125" s="163" t="str">
        <f t="shared" si="128"/>
        <v/>
      </c>
      <c r="AA125" s="163" t="str">
        <f t="shared" si="128"/>
        <v/>
      </c>
      <c r="AB125" s="163" t="str">
        <f t="shared" si="128"/>
        <v/>
      </c>
      <c r="AC125" s="163" t="str">
        <f t="shared" si="128"/>
        <v/>
      </c>
      <c r="AD125" s="163" t="str">
        <f t="shared" si="128"/>
        <v/>
      </c>
      <c r="AE125" s="163" t="str">
        <f t="shared" si="128"/>
        <v/>
      </c>
      <c r="AF125" s="163" t="str">
        <f t="shared" si="128"/>
        <v/>
      </c>
      <c r="AG125" s="163" t="str">
        <f t="shared" si="128"/>
        <v/>
      </c>
      <c r="AH125" s="163" t="str">
        <f t="shared" si="128"/>
        <v/>
      </c>
      <c r="AI125" s="163" t="str">
        <f t="shared" si="128"/>
        <v/>
      </c>
      <c r="AJ125" s="163" t="str">
        <f t="shared" si="128"/>
        <v/>
      </c>
      <c r="AK125" s="163" t="str">
        <f t="shared" si="128"/>
        <v/>
      </c>
      <c r="AL125" s="163" t="str">
        <f t="shared" si="128"/>
        <v/>
      </c>
      <c r="AM125" s="163" t="str">
        <f t="shared" si="128"/>
        <v/>
      </c>
      <c r="AN125" s="163" t="str">
        <f t="shared" si="128"/>
        <v/>
      </c>
      <c r="AO125" s="163" t="str">
        <f t="shared" si="128"/>
        <v/>
      </c>
      <c r="AP125" s="163" t="str">
        <f t="shared" si="128"/>
        <v/>
      </c>
      <c r="AQ125" s="163" t="str">
        <f t="shared" si="128"/>
        <v/>
      </c>
      <c r="AR125" s="163" t="str">
        <f t="shared" si="128"/>
        <v/>
      </c>
      <c r="AS125" s="163" t="str">
        <f t="shared" si="128"/>
        <v/>
      </c>
      <c r="AT125" s="163" t="str">
        <f t="shared" si="128"/>
        <v/>
      </c>
      <c r="AU125" s="163" t="str">
        <f t="shared" si="128"/>
        <v/>
      </c>
      <c r="AV125" s="163" t="str">
        <f t="shared" si="128"/>
        <v/>
      </c>
      <c r="AW125" s="163" t="str">
        <f t="shared" si="128"/>
        <v/>
      </c>
    </row>
    <row r="126">
      <c r="A126" s="108"/>
      <c r="B126" s="134" t="s">
        <v>290</v>
      </c>
      <c r="C126" s="134"/>
      <c r="D126" s="134" t="s">
        <v>1746</v>
      </c>
      <c r="E126" s="134" t="str">
        <f>vlookup(D126,CNPJ!A115:B312,2,FAlse)</f>
        <v>#N/A</v>
      </c>
      <c r="F126" s="246">
        <v>133123.0</v>
      </c>
      <c r="G126" s="148">
        <v>601.61</v>
      </c>
      <c r="H126" s="221">
        <v>45288.0</v>
      </c>
      <c r="I126" s="134" t="s">
        <v>1781</v>
      </c>
      <c r="J126" s="220"/>
      <c r="K126" s="134" t="b">
        <v>1</v>
      </c>
      <c r="L126" s="247">
        <f t="shared" si="3"/>
        <v>601.61</v>
      </c>
      <c r="M126" s="248"/>
      <c r="N126" s="108" t="b">
        <f>sum(P126:AW126)=G126</f>
        <v>1</v>
      </c>
      <c r="O126" s="229">
        <f t="shared" si="5"/>
        <v>1</v>
      </c>
      <c r="P126" s="163">
        <f t="shared" ref="P126:AW126" si="129">iferror(if(P$9=FALSE,, if(if(search(P$11,$B126,1)&gt;0,1,0)=1,$G126/$O126,0)),"")</f>
        <v>601.61</v>
      </c>
      <c r="Q126" s="163" t="str">
        <f t="shared" si="129"/>
        <v/>
      </c>
      <c r="R126" s="163" t="str">
        <f t="shared" si="129"/>
        <v/>
      </c>
      <c r="S126" s="163" t="str">
        <f t="shared" si="129"/>
        <v/>
      </c>
      <c r="T126" s="163" t="str">
        <f t="shared" si="129"/>
        <v/>
      </c>
      <c r="U126" s="163" t="str">
        <f t="shared" si="129"/>
        <v/>
      </c>
      <c r="V126" s="163" t="str">
        <f t="shared" si="129"/>
        <v/>
      </c>
      <c r="W126" s="163" t="str">
        <f t="shared" si="129"/>
        <v/>
      </c>
      <c r="X126" s="163" t="str">
        <f t="shared" si="129"/>
        <v/>
      </c>
      <c r="Y126" s="163" t="str">
        <f t="shared" si="129"/>
        <v/>
      </c>
      <c r="Z126" s="163" t="str">
        <f t="shared" si="129"/>
        <v/>
      </c>
      <c r="AA126" s="163" t="str">
        <f t="shared" si="129"/>
        <v/>
      </c>
      <c r="AB126" s="163" t="str">
        <f t="shared" si="129"/>
        <v/>
      </c>
      <c r="AC126" s="163" t="str">
        <f t="shared" si="129"/>
        <v/>
      </c>
      <c r="AD126" s="163" t="str">
        <f t="shared" si="129"/>
        <v/>
      </c>
      <c r="AE126" s="163" t="str">
        <f t="shared" si="129"/>
        <v/>
      </c>
      <c r="AF126" s="163" t="str">
        <f t="shared" si="129"/>
        <v/>
      </c>
      <c r="AG126" s="163" t="str">
        <f t="shared" si="129"/>
        <v/>
      </c>
      <c r="AH126" s="163" t="str">
        <f t="shared" si="129"/>
        <v/>
      </c>
      <c r="AI126" s="163" t="str">
        <f t="shared" si="129"/>
        <v/>
      </c>
      <c r="AJ126" s="163" t="str">
        <f t="shared" si="129"/>
        <v/>
      </c>
      <c r="AK126" s="163" t="str">
        <f t="shared" si="129"/>
        <v/>
      </c>
      <c r="AL126" s="163" t="str">
        <f t="shared" si="129"/>
        <v/>
      </c>
      <c r="AM126" s="163" t="str">
        <f t="shared" si="129"/>
        <v/>
      </c>
      <c r="AN126" s="163" t="str">
        <f t="shared" si="129"/>
        <v/>
      </c>
      <c r="AO126" s="163" t="str">
        <f t="shared" si="129"/>
        <v/>
      </c>
      <c r="AP126" s="163" t="str">
        <f t="shared" si="129"/>
        <v/>
      </c>
      <c r="AQ126" s="163" t="str">
        <f t="shared" si="129"/>
        <v/>
      </c>
      <c r="AR126" s="163" t="str">
        <f t="shared" si="129"/>
        <v/>
      </c>
      <c r="AS126" s="163" t="str">
        <f t="shared" si="129"/>
        <v/>
      </c>
      <c r="AT126" s="163" t="str">
        <f t="shared" si="129"/>
        <v/>
      </c>
      <c r="AU126" s="163" t="str">
        <f t="shared" si="129"/>
        <v/>
      </c>
      <c r="AV126" s="163" t="str">
        <f t="shared" si="129"/>
        <v/>
      </c>
      <c r="AW126" s="163" t="str">
        <f t="shared" si="129"/>
        <v/>
      </c>
    </row>
    <row r="127">
      <c r="A127" s="108"/>
      <c r="B127" s="134" t="s">
        <v>59</v>
      </c>
      <c r="C127" s="134"/>
      <c r="D127" s="134" t="s">
        <v>1667</v>
      </c>
      <c r="E127" s="134" t="str">
        <f>vlookup(D127,CNPJ!A116:B313,2,FAlse)</f>
        <v>08.183.359/0003-15</v>
      </c>
      <c r="F127" s="246">
        <v>80029.0</v>
      </c>
      <c r="G127" s="148">
        <v>1055.0</v>
      </c>
      <c r="H127" s="221">
        <v>45250.0</v>
      </c>
      <c r="I127" s="134" t="s">
        <v>1782</v>
      </c>
      <c r="J127" s="220"/>
      <c r="K127" s="134" t="b">
        <v>0</v>
      </c>
      <c r="L127" s="247">
        <f t="shared" si="3"/>
        <v>0</v>
      </c>
      <c r="M127" s="248"/>
      <c r="N127" s="108" t="b">
        <f t="shared" ref="N127:N131" si="131">sum(P127:AO127)=G127</f>
        <v>0</v>
      </c>
      <c r="O127" s="229">
        <f t="shared" si="5"/>
        <v>0</v>
      </c>
      <c r="P127" s="163" t="str">
        <f t="shared" ref="P127:AW127" si="130">iferror(if(P$9=FALSE,, if(if(search(P$11,$B127,1)&gt;0,1,0)=1,$G127/$O127,0)),"")</f>
        <v/>
      </c>
      <c r="Q127" s="163" t="str">
        <f t="shared" si="130"/>
        <v/>
      </c>
      <c r="R127" s="163" t="str">
        <f t="shared" si="130"/>
        <v/>
      </c>
      <c r="S127" s="163" t="str">
        <f t="shared" si="130"/>
        <v/>
      </c>
      <c r="T127" s="163" t="str">
        <f t="shared" si="130"/>
        <v/>
      </c>
      <c r="U127" s="163" t="str">
        <f t="shared" si="130"/>
        <v/>
      </c>
      <c r="V127" s="163" t="str">
        <f t="shared" si="130"/>
        <v/>
      </c>
      <c r="W127" s="163" t="str">
        <f t="shared" si="130"/>
        <v/>
      </c>
      <c r="X127" s="163" t="str">
        <f t="shared" si="130"/>
        <v/>
      </c>
      <c r="Y127" s="163" t="str">
        <f t="shared" si="130"/>
        <v/>
      </c>
      <c r="Z127" s="163" t="str">
        <f t="shared" si="130"/>
        <v/>
      </c>
      <c r="AA127" s="163" t="str">
        <f t="shared" si="130"/>
        <v/>
      </c>
      <c r="AB127" s="163" t="str">
        <f t="shared" si="130"/>
        <v/>
      </c>
      <c r="AC127" s="163" t="str">
        <f t="shared" si="130"/>
        <v/>
      </c>
      <c r="AD127" s="163" t="str">
        <f t="shared" si="130"/>
        <v/>
      </c>
      <c r="AE127" s="163" t="str">
        <f t="shared" si="130"/>
        <v/>
      </c>
      <c r="AF127" s="163" t="str">
        <f t="shared" si="130"/>
        <v/>
      </c>
      <c r="AG127" s="163" t="str">
        <f t="shared" si="130"/>
        <v/>
      </c>
      <c r="AH127" s="163" t="str">
        <f t="shared" si="130"/>
        <v/>
      </c>
      <c r="AI127" s="163" t="str">
        <f t="shared" si="130"/>
        <v/>
      </c>
      <c r="AJ127" s="163" t="str">
        <f t="shared" si="130"/>
        <v/>
      </c>
      <c r="AK127" s="163" t="str">
        <f t="shared" si="130"/>
        <v/>
      </c>
      <c r="AL127" s="163" t="str">
        <f t="shared" si="130"/>
        <v/>
      </c>
      <c r="AM127" s="163" t="str">
        <f t="shared" si="130"/>
        <v/>
      </c>
      <c r="AN127" s="163" t="str">
        <f t="shared" si="130"/>
        <v/>
      </c>
      <c r="AO127" s="163" t="str">
        <f t="shared" si="130"/>
        <v/>
      </c>
      <c r="AP127" s="163" t="str">
        <f t="shared" si="130"/>
        <v/>
      </c>
      <c r="AQ127" s="163" t="str">
        <f t="shared" si="130"/>
        <v/>
      </c>
      <c r="AR127" s="163" t="str">
        <f t="shared" si="130"/>
        <v/>
      </c>
      <c r="AS127" s="163" t="str">
        <f t="shared" si="130"/>
        <v/>
      </c>
      <c r="AT127" s="163" t="str">
        <f t="shared" si="130"/>
        <v/>
      </c>
      <c r="AU127" s="163" t="str">
        <f t="shared" si="130"/>
        <v/>
      </c>
      <c r="AV127" s="163" t="str">
        <f t="shared" si="130"/>
        <v/>
      </c>
      <c r="AW127" s="163" t="str">
        <f t="shared" si="130"/>
        <v/>
      </c>
    </row>
    <row r="128">
      <c r="A128" s="108"/>
      <c r="B128" s="134" t="s">
        <v>59</v>
      </c>
      <c r="C128" s="134"/>
      <c r="D128" s="134" t="s">
        <v>1667</v>
      </c>
      <c r="E128" s="134" t="str">
        <f>vlookup(D128,CNPJ!A117:B314,2,FAlse)</f>
        <v>08.183.359/0003-15</v>
      </c>
      <c r="F128" s="246">
        <v>80030.0</v>
      </c>
      <c r="G128" s="148">
        <v>972.0</v>
      </c>
      <c r="H128" s="221">
        <v>45250.0</v>
      </c>
      <c r="I128" s="134" t="s">
        <v>1783</v>
      </c>
      <c r="J128" s="220"/>
      <c r="K128" s="134" t="b">
        <v>0</v>
      </c>
      <c r="L128" s="247">
        <f t="shared" si="3"/>
        <v>0</v>
      </c>
      <c r="M128" s="248"/>
      <c r="N128" s="108" t="b">
        <f t="shared" si="131"/>
        <v>0</v>
      </c>
      <c r="O128" s="229">
        <f t="shared" si="5"/>
        <v>0</v>
      </c>
      <c r="P128" s="163" t="str">
        <f t="shared" ref="P128:AW128" si="132">iferror(if(P$9=FALSE,, if(if(search(P$11,$B128,1)&gt;0,1,0)=1,$G128/$O128,0)),"")</f>
        <v/>
      </c>
      <c r="Q128" s="163" t="str">
        <f t="shared" si="132"/>
        <v/>
      </c>
      <c r="R128" s="163" t="str">
        <f t="shared" si="132"/>
        <v/>
      </c>
      <c r="S128" s="163" t="str">
        <f t="shared" si="132"/>
        <v/>
      </c>
      <c r="T128" s="163" t="str">
        <f t="shared" si="132"/>
        <v/>
      </c>
      <c r="U128" s="163" t="str">
        <f t="shared" si="132"/>
        <v/>
      </c>
      <c r="V128" s="163" t="str">
        <f t="shared" si="132"/>
        <v/>
      </c>
      <c r="W128" s="163" t="str">
        <f t="shared" si="132"/>
        <v/>
      </c>
      <c r="X128" s="163" t="str">
        <f t="shared" si="132"/>
        <v/>
      </c>
      <c r="Y128" s="163" t="str">
        <f t="shared" si="132"/>
        <v/>
      </c>
      <c r="Z128" s="163" t="str">
        <f t="shared" si="132"/>
        <v/>
      </c>
      <c r="AA128" s="163" t="str">
        <f t="shared" si="132"/>
        <v/>
      </c>
      <c r="AB128" s="163" t="str">
        <f t="shared" si="132"/>
        <v/>
      </c>
      <c r="AC128" s="163" t="str">
        <f t="shared" si="132"/>
        <v/>
      </c>
      <c r="AD128" s="163" t="str">
        <f t="shared" si="132"/>
        <v/>
      </c>
      <c r="AE128" s="163" t="str">
        <f t="shared" si="132"/>
        <v/>
      </c>
      <c r="AF128" s="163" t="str">
        <f t="shared" si="132"/>
        <v/>
      </c>
      <c r="AG128" s="163" t="str">
        <f t="shared" si="132"/>
        <v/>
      </c>
      <c r="AH128" s="163" t="str">
        <f t="shared" si="132"/>
        <v/>
      </c>
      <c r="AI128" s="163" t="str">
        <f t="shared" si="132"/>
        <v/>
      </c>
      <c r="AJ128" s="163" t="str">
        <f t="shared" si="132"/>
        <v/>
      </c>
      <c r="AK128" s="163" t="str">
        <f t="shared" si="132"/>
        <v/>
      </c>
      <c r="AL128" s="163" t="str">
        <f t="shared" si="132"/>
        <v/>
      </c>
      <c r="AM128" s="163" t="str">
        <f t="shared" si="132"/>
        <v/>
      </c>
      <c r="AN128" s="163" t="str">
        <f t="shared" si="132"/>
        <v/>
      </c>
      <c r="AO128" s="163" t="str">
        <f t="shared" si="132"/>
        <v/>
      </c>
      <c r="AP128" s="163" t="str">
        <f t="shared" si="132"/>
        <v/>
      </c>
      <c r="AQ128" s="163" t="str">
        <f t="shared" si="132"/>
        <v/>
      </c>
      <c r="AR128" s="163" t="str">
        <f t="shared" si="132"/>
        <v/>
      </c>
      <c r="AS128" s="163" t="str">
        <f t="shared" si="132"/>
        <v/>
      </c>
      <c r="AT128" s="163" t="str">
        <f t="shared" si="132"/>
        <v/>
      </c>
      <c r="AU128" s="163" t="str">
        <f t="shared" si="132"/>
        <v/>
      </c>
      <c r="AV128" s="163" t="str">
        <f t="shared" si="132"/>
        <v/>
      </c>
      <c r="AW128" s="163" t="str">
        <f t="shared" si="132"/>
        <v/>
      </c>
    </row>
    <row r="129">
      <c r="A129" s="108"/>
      <c r="B129" s="134" t="s">
        <v>59</v>
      </c>
      <c r="C129" s="134"/>
      <c r="D129" s="134" t="s">
        <v>1667</v>
      </c>
      <c r="E129" s="134" t="str">
        <f>vlookup(D129,CNPJ!A118:B315,2,FAlse)</f>
        <v>08.183.359/0003-15</v>
      </c>
      <c r="F129" s="246">
        <v>81401.0</v>
      </c>
      <c r="G129" s="148">
        <v>434.0</v>
      </c>
      <c r="H129" s="221">
        <v>45286.0</v>
      </c>
      <c r="I129" s="134" t="s">
        <v>1784</v>
      </c>
      <c r="J129" s="220"/>
      <c r="K129" s="134" t="b">
        <v>0</v>
      </c>
      <c r="L129" s="247">
        <f t="shared" si="3"/>
        <v>0</v>
      </c>
      <c r="M129" s="248"/>
      <c r="N129" s="108" t="b">
        <f t="shared" si="131"/>
        <v>0</v>
      </c>
      <c r="O129" s="229">
        <f t="shared" si="5"/>
        <v>0</v>
      </c>
      <c r="P129" s="163" t="str">
        <f t="shared" ref="P129:AW129" si="133">iferror(if(P$9=FALSE,, if(if(search(P$11,$B129,1)&gt;0,1,0)=1,$G129/$O129,0)),"")</f>
        <v/>
      </c>
      <c r="Q129" s="163" t="str">
        <f t="shared" si="133"/>
        <v/>
      </c>
      <c r="R129" s="163" t="str">
        <f t="shared" si="133"/>
        <v/>
      </c>
      <c r="S129" s="163" t="str">
        <f t="shared" si="133"/>
        <v/>
      </c>
      <c r="T129" s="163" t="str">
        <f t="shared" si="133"/>
        <v/>
      </c>
      <c r="U129" s="163" t="str">
        <f t="shared" si="133"/>
        <v/>
      </c>
      <c r="V129" s="163" t="str">
        <f t="shared" si="133"/>
        <v/>
      </c>
      <c r="W129" s="163" t="str">
        <f t="shared" si="133"/>
        <v/>
      </c>
      <c r="X129" s="163" t="str">
        <f t="shared" si="133"/>
        <v/>
      </c>
      <c r="Y129" s="163" t="str">
        <f t="shared" si="133"/>
        <v/>
      </c>
      <c r="Z129" s="163" t="str">
        <f t="shared" si="133"/>
        <v/>
      </c>
      <c r="AA129" s="163" t="str">
        <f t="shared" si="133"/>
        <v/>
      </c>
      <c r="AB129" s="163" t="str">
        <f t="shared" si="133"/>
        <v/>
      </c>
      <c r="AC129" s="163" t="str">
        <f t="shared" si="133"/>
        <v/>
      </c>
      <c r="AD129" s="163" t="str">
        <f t="shared" si="133"/>
        <v/>
      </c>
      <c r="AE129" s="163" t="str">
        <f t="shared" si="133"/>
        <v/>
      </c>
      <c r="AF129" s="163" t="str">
        <f t="shared" si="133"/>
        <v/>
      </c>
      <c r="AG129" s="163" t="str">
        <f t="shared" si="133"/>
        <v/>
      </c>
      <c r="AH129" s="163" t="str">
        <f t="shared" si="133"/>
        <v/>
      </c>
      <c r="AI129" s="163" t="str">
        <f t="shared" si="133"/>
        <v/>
      </c>
      <c r="AJ129" s="163" t="str">
        <f t="shared" si="133"/>
        <v/>
      </c>
      <c r="AK129" s="163" t="str">
        <f t="shared" si="133"/>
        <v/>
      </c>
      <c r="AL129" s="163" t="str">
        <f t="shared" si="133"/>
        <v/>
      </c>
      <c r="AM129" s="163" t="str">
        <f t="shared" si="133"/>
        <v/>
      </c>
      <c r="AN129" s="163" t="str">
        <f t="shared" si="133"/>
        <v/>
      </c>
      <c r="AO129" s="163" t="str">
        <f t="shared" si="133"/>
        <v/>
      </c>
      <c r="AP129" s="163" t="str">
        <f t="shared" si="133"/>
        <v/>
      </c>
      <c r="AQ129" s="163" t="str">
        <f t="shared" si="133"/>
        <v/>
      </c>
      <c r="AR129" s="163" t="str">
        <f t="shared" si="133"/>
        <v/>
      </c>
      <c r="AS129" s="163" t="str">
        <f t="shared" si="133"/>
        <v/>
      </c>
      <c r="AT129" s="163" t="str">
        <f t="shared" si="133"/>
        <v/>
      </c>
      <c r="AU129" s="163" t="str">
        <f t="shared" si="133"/>
        <v/>
      </c>
      <c r="AV129" s="163" t="str">
        <f t="shared" si="133"/>
        <v/>
      </c>
      <c r="AW129" s="163" t="str">
        <f t="shared" si="133"/>
        <v/>
      </c>
    </row>
    <row r="130">
      <c r="A130" s="108"/>
      <c r="B130" s="134" t="s">
        <v>67</v>
      </c>
      <c r="C130" s="134"/>
      <c r="D130" s="134" t="s">
        <v>1667</v>
      </c>
      <c r="E130" s="134" t="str">
        <f>vlookup(D130,CNPJ!A119:B316,2,FAlse)</f>
        <v>08.183.359/0003-15</v>
      </c>
      <c r="F130" s="246">
        <v>23141.0</v>
      </c>
      <c r="G130" s="148">
        <v>5.0</v>
      </c>
      <c r="H130" s="221">
        <v>45250.0</v>
      </c>
      <c r="I130" s="134" t="s">
        <v>1785</v>
      </c>
      <c r="J130" s="220"/>
      <c r="K130" s="134" t="b">
        <v>0</v>
      </c>
      <c r="L130" s="247">
        <f t="shared" si="3"/>
        <v>0</v>
      </c>
      <c r="M130" s="248"/>
      <c r="N130" s="108" t="b">
        <f t="shared" si="131"/>
        <v>0</v>
      </c>
      <c r="O130" s="229">
        <f t="shared" si="5"/>
        <v>0</v>
      </c>
      <c r="P130" s="163" t="str">
        <f t="shared" ref="P130:AW130" si="134">iferror(if(P$9=FALSE,, if(if(search(P$11,$B130,1)&gt;0,1,0)=1,$G130/$O130,0)),"")</f>
        <v/>
      </c>
      <c r="Q130" s="163" t="str">
        <f t="shared" si="134"/>
        <v/>
      </c>
      <c r="R130" s="163" t="str">
        <f t="shared" si="134"/>
        <v/>
      </c>
      <c r="S130" s="163" t="str">
        <f t="shared" si="134"/>
        <v/>
      </c>
      <c r="T130" s="163" t="str">
        <f t="shared" si="134"/>
        <v/>
      </c>
      <c r="U130" s="163" t="str">
        <f t="shared" si="134"/>
        <v/>
      </c>
      <c r="V130" s="163" t="str">
        <f t="shared" si="134"/>
        <v/>
      </c>
      <c r="W130" s="163" t="str">
        <f t="shared" si="134"/>
        <v/>
      </c>
      <c r="X130" s="163" t="str">
        <f t="shared" si="134"/>
        <v/>
      </c>
      <c r="Y130" s="163" t="str">
        <f t="shared" si="134"/>
        <v/>
      </c>
      <c r="Z130" s="163" t="str">
        <f t="shared" si="134"/>
        <v/>
      </c>
      <c r="AA130" s="163" t="str">
        <f t="shared" si="134"/>
        <v/>
      </c>
      <c r="AB130" s="163" t="str">
        <f t="shared" si="134"/>
        <v/>
      </c>
      <c r="AC130" s="163" t="str">
        <f t="shared" si="134"/>
        <v/>
      </c>
      <c r="AD130" s="163" t="str">
        <f t="shared" si="134"/>
        <v/>
      </c>
      <c r="AE130" s="163" t="str">
        <f t="shared" si="134"/>
        <v/>
      </c>
      <c r="AF130" s="163" t="str">
        <f t="shared" si="134"/>
        <v/>
      </c>
      <c r="AG130" s="163" t="str">
        <f t="shared" si="134"/>
        <v/>
      </c>
      <c r="AH130" s="163" t="str">
        <f t="shared" si="134"/>
        <v/>
      </c>
      <c r="AI130" s="163" t="str">
        <f t="shared" si="134"/>
        <v/>
      </c>
      <c r="AJ130" s="163" t="str">
        <f t="shared" si="134"/>
        <v/>
      </c>
      <c r="AK130" s="163" t="str">
        <f t="shared" si="134"/>
        <v/>
      </c>
      <c r="AL130" s="163" t="str">
        <f t="shared" si="134"/>
        <v/>
      </c>
      <c r="AM130" s="163" t="str">
        <f t="shared" si="134"/>
        <v/>
      </c>
      <c r="AN130" s="163" t="str">
        <f t="shared" si="134"/>
        <v/>
      </c>
      <c r="AO130" s="163" t="str">
        <f t="shared" si="134"/>
        <v/>
      </c>
      <c r="AP130" s="163" t="str">
        <f t="shared" si="134"/>
        <v/>
      </c>
      <c r="AQ130" s="163" t="str">
        <f t="shared" si="134"/>
        <v/>
      </c>
      <c r="AR130" s="163" t="str">
        <f t="shared" si="134"/>
        <v/>
      </c>
      <c r="AS130" s="163" t="str">
        <f t="shared" si="134"/>
        <v/>
      </c>
      <c r="AT130" s="163" t="str">
        <f t="shared" si="134"/>
        <v/>
      </c>
      <c r="AU130" s="163" t="str">
        <f t="shared" si="134"/>
        <v/>
      </c>
      <c r="AV130" s="163" t="str">
        <f t="shared" si="134"/>
        <v/>
      </c>
      <c r="AW130" s="163" t="str">
        <f t="shared" si="134"/>
        <v/>
      </c>
    </row>
    <row r="131">
      <c r="A131" s="108"/>
      <c r="B131" s="134" t="s">
        <v>67</v>
      </c>
      <c r="C131" s="134"/>
      <c r="D131" s="134" t="s">
        <v>1667</v>
      </c>
      <c r="E131" s="134" t="str">
        <f>vlookup(D131,CNPJ!A120:B317,2,FAlse)</f>
        <v>08.183.359/0001-53</v>
      </c>
      <c r="F131" s="246">
        <v>80077.0</v>
      </c>
      <c r="G131" s="148">
        <v>120.0</v>
      </c>
      <c r="H131" s="221">
        <v>45251.0</v>
      </c>
      <c r="I131" s="134" t="s">
        <v>1786</v>
      </c>
      <c r="J131" s="220"/>
      <c r="K131" s="134" t="b">
        <v>0</v>
      </c>
      <c r="L131" s="247">
        <f t="shared" si="3"/>
        <v>0</v>
      </c>
      <c r="M131" s="248"/>
      <c r="N131" s="108" t="b">
        <f t="shared" si="131"/>
        <v>0</v>
      </c>
      <c r="O131" s="229">
        <f t="shared" si="5"/>
        <v>0</v>
      </c>
      <c r="P131" s="163" t="str">
        <f t="shared" ref="P131:AW131" si="135">iferror(if(P$9=FALSE,, if(if(search(P$11,$B131,1)&gt;0,1,0)=1,$G131/$O131,0)),"")</f>
        <v/>
      </c>
      <c r="Q131" s="163" t="str">
        <f t="shared" si="135"/>
        <v/>
      </c>
      <c r="R131" s="163" t="str">
        <f t="shared" si="135"/>
        <v/>
      </c>
      <c r="S131" s="163" t="str">
        <f t="shared" si="135"/>
        <v/>
      </c>
      <c r="T131" s="163" t="str">
        <f t="shared" si="135"/>
        <v/>
      </c>
      <c r="U131" s="163" t="str">
        <f t="shared" si="135"/>
        <v/>
      </c>
      <c r="V131" s="163" t="str">
        <f t="shared" si="135"/>
        <v/>
      </c>
      <c r="W131" s="163" t="str">
        <f t="shared" si="135"/>
        <v/>
      </c>
      <c r="X131" s="163" t="str">
        <f t="shared" si="135"/>
        <v/>
      </c>
      <c r="Y131" s="163" t="str">
        <f t="shared" si="135"/>
        <v/>
      </c>
      <c r="Z131" s="163" t="str">
        <f t="shared" si="135"/>
        <v/>
      </c>
      <c r="AA131" s="163" t="str">
        <f t="shared" si="135"/>
        <v/>
      </c>
      <c r="AB131" s="163" t="str">
        <f t="shared" si="135"/>
        <v/>
      </c>
      <c r="AC131" s="163" t="str">
        <f t="shared" si="135"/>
        <v/>
      </c>
      <c r="AD131" s="163" t="str">
        <f t="shared" si="135"/>
        <v/>
      </c>
      <c r="AE131" s="163" t="str">
        <f t="shared" si="135"/>
        <v/>
      </c>
      <c r="AF131" s="163" t="str">
        <f t="shared" si="135"/>
        <v/>
      </c>
      <c r="AG131" s="163" t="str">
        <f t="shared" si="135"/>
        <v/>
      </c>
      <c r="AH131" s="163" t="str">
        <f t="shared" si="135"/>
        <v/>
      </c>
      <c r="AI131" s="163" t="str">
        <f t="shared" si="135"/>
        <v/>
      </c>
      <c r="AJ131" s="163" t="str">
        <f t="shared" si="135"/>
        <v/>
      </c>
      <c r="AK131" s="163" t="str">
        <f t="shared" si="135"/>
        <v/>
      </c>
      <c r="AL131" s="163" t="str">
        <f t="shared" si="135"/>
        <v/>
      </c>
      <c r="AM131" s="163" t="str">
        <f t="shared" si="135"/>
        <v/>
      </c>
      <c r="AN131" s="163" t="str">
        <f t="shared" si="135"/>
        <v/>
      </c>
      <c r="AO131" s="163" t="str">
        <f t="shared" si="135"/>
        <v/>
      </c>
      <c r="AP131" s="163" t="str">
        <f t="shared" si="135"/>
        <v/>
      </c>
      <c r="AQ131" s="163" t="str">
        <f t="shared" si="135"/>
        <v/>
      </c>
      <c r="AR131" s="163" t="str">
        <f t="shared" si="135"/>
        <v/>
      </c>
      <c r="AS131" s="163" t="str">
        <f t="shared" si="135"/>
        <v/>
      </c>
      <c r="AT131" s="163" t="str">
        <f t="shared" si="135"/>
        <v/>
      </c>
      <c r="AU131" s="163" t="str">
        <f t="shared" si="135"/>
        <v/>
      </c>
      <c r="AV131" s="163" t="str">
        <f t="shared" si="135"/>
        <v/>
      </c>
      <c r="AW131" s="163" t="str">
        <f t="shared" si="135"/>
        <v/>
      </c>
    </row>
    <row r="132">
      <c r="A132" s="108"/>
      <c r="B132" s="134" t="s">
        <v>67</v>
      </c>
      <c r="C132" s="134"/>
      <c r="D132" s="134" t="s">
        <v>1652</v>
      </c>
      <c r="E132" s="134" t="str">
        <f>vlookup(D132,CNPJ!A121:B318,2,FAlse)</f>
        <v>68.314.830/0001-27</v>
      </c>
      <c r="F132" s="246">
        <v>59793.0</v>
      </c>
      <c r="G132" s="148">
        <v>13000.0</v>
      </c>
      <c r="H132" s="221">
        <v>45274.0</v>
      </c>
      <c r="I132" s="134" t="s">
        <v>1787</v>
      </c>
      <c r="J132" s="220"/>
      <c r="K132" s="134" t="b">
        <v>1</v>
      </c>
      <c r="L132" s="247">
        <f t="shared" si="3"/>
        <v>13000</v>
      </c>
      <c r="M132" s="248"/>
      <c r="N132" s="108" t="b">
        <f t="shared" ref="N132:N133" si="137">sum(P132:AW132)=G132</f>
        <v>1</v>
      </c>
      <c r="O132" s="229">
        <f t="shared" si="5"/>
        <v>1</v>
      </c>
      <c r="P132" s="163" t="str">
        <f t="shared" ref="P132:AW132" si="136">iferror(if(P$9=FALSE,, if(if(search(P$11,$B132,1)&gt;0,1,0)=1,$G132/$O132,0)),"")</f>
        <v/>
      </c>
      <c r="Q132" s="163" t="str">
        <f t="shared" si="136"/>
        <v/>
      </c>
      <c r="R132" s="163" t="str">
        <f t="shared" si="136"/>
        <v/>
      </c>
      <c r="S132" s="163" t="str">
        <f t="shared" si="136"/>
        <v/>
      </c>
      <c r="T132" s="163" t="str">
        <f t="shared" si="136"/>
        <v/>
      </c>
      <c r="U132" s="163" t="str">
        <f t="shared" si="136"/>
        <v/>
      </c>
      <c r="V132" s="163" t="str">
        <f t="shared" si="136"/>
        <v/>
      </c>
      <c r="W132" s="163" t="str">
        <f t="shared" si="136"/>
        <v/>
      </c>
      <c r="X132" s="163" t="str">
        <f t="shared" si="136"/>
        <v/>
      </c>
      <c r="Y132" s="163" t="str">
        <f t="shared" si="136"/>
        <v/>
      </c>
      <c r="Z132" s="163" t="str">
        <f t="shared" si="136"/>
        <v/>
      </c>
      <c r="AA132" s="163" t="str">
        <f t="shared" si="136"/>
        <v/>
      </c>
      <c r="AB132" s="163" t="str">
        <f t="shared" si="136"/>
        <v/>
      </c>
      <c r="AC132" s="163" t="str">
        <f t="shared" si="136"/>
        <v/>
      </c>
      <c r="AD132" s="163" t="str">
        <f t="shared" si="136"/>
        <v/>
      </c>
      <c r="AE132" s="163" t="str">
        <f t="shared" si="136"/>
        <v/>
      </c>
      <c r="AF132" s="163" t="str">
        <f t="shared" si="136"/>
        <v/>
      </c>
      <c r="AG132" s="163" t="str">
        <f t="shared" si="136"/>
        <v/>
      </c>
      <c r="AH132" s="163" t="str">
        <f t="shared" si="136"/>
        <v/>
      </c>
      <c r="AI132" s="163" t="str">
        <f t="shared" si="136"/>
        <v/>
      </c>
      <c r="AJ132" s="163" t="str">
        <f t="shared" si="136"/>
        <v/>
      </c>
      <c r="AK132" s="163" t="str">
        <f t="shared" si="136"/>
        <v/>
      </c>
      <c r="AL132" s="163" t="str">
        <f t="shared" si="136"/>
        <v/>
      </c>
      <c r="AM132" s="163" t="str">
        <f t="shared" si="136"/>
        <v/>
      </c>
      <c r="AN132" s="163" t="str">
        <f t="shared" si="136"/>
        <v/>
      </c>
      <c r="AO132" s="163" t="str">
        <f t="shared" si="136"/>
        <v/>
      </c>
      <c r="AP132" s="163" t="str">
        <f t="shared" si="136"/>
        <v/>
      </c>
      <c r="AQ132" s="163" t="str">
        <f t="shared" si="136"/>
        <v/>
      </c>
      <c r="AR132" s="163" t="str">
        <f t="shared" si="136"/>
        <v/>
      </c>
      <c r="AS132" s="163" t="str">
        <f t="shared" si="136"/>
        <v/>
      </c>
      <c r="AT132" s="163" t="str">
        <f t="shared" si="136"/>
        <v/>
      </c>
      <c r="AU132" s="163">
        <f t="shared" si="136"/>
        <v>13000</v>
      </c>
      <c r="AV132" s="163" t="str">
        <f t="shared" si="136"/>
        <v/>
      </c>
      <c r="AW132" s="163" t="str">
        <f t="shared" si="136"/>
        <v/>
      </c>
    </row>
    <row r="133">
      <c r="A133" s="108"/>
      <c r="B133" s="134" t="s">
        <v>67</v>
      </c>
      <c r="C133" s="134"/>
      <c r="D133" s="134" t="s">
        <v>1788</v>
      </c>
      <c r="E133" s="134" t="s">
        <v>1789</v>
      </c>
      <c r="F133" s="246">
        <v>1820653.0</v>
      </c>
      <c r="G133" s="148">
        <v>18.0</v>
      </c>
      <c r="H133" s="221">
        <v>45247.0</v>
      </c>
      <c r="I133" s="134" t="s">
        <v>1790</v>
      </c>
      <c r="J133" s="220"/>
      <c r="K133" s="134" t="b">
        <v>1</v>
      </c>
      <c r="L133" s="247">
        <f t="shared" si="3"/>
        <v>18</v>
      </c>
      <c r="M133" s="248"/>
      <c r="N133" s="108" t="b">
        <f t="shared" si="137"/>
        <v>1</v>
      </c>
      <c r="O133" s="229">
        <f t="shared" si="5"/>
        <v>1</v>
      </c>
      <c r="P133" s="163" t="str">
        <f t="shared" ref="P133:AW133" si="138">iferror(if(P$9=FALSE,, if(if(search(P$11,$B133,1)&gt;0,1,0)=1,$G133/$O133,0)),"")</f>
        <v/>
      </c>
      <c r="Q133" s="163" t="str">
        <f t="shared" si="138"/>
        <v/>
      </c>
      <c r="R133" s="163" t="str">
        <f t="shared" si="138"/>
        <v/>
      </c>
      <c r="S133" s="163" t="str">
        <f t="shared" si="138"/>
        <v/>
      </c>
      <c r="T133" s="163" t="str">
        <f t="shared" si="138"/>
        <v/>
      </c>
      <c r="U133" s="163" t="str">
        <f t="shared" si="138"/>
        <v/>
      </c>
      <c r="V133" s="163" t="str">
        <f t="shared" si="138"/>
        <v/>
      </c>
      <c r="W133" s="163" t="str">
        <f t="shared" si="138"/>
        <v/>
      </c>
      <c r="X133" s="163" t="str">
        <f t="shared" si="138"/>
        <v/>
      </c>
      <c r="Y133" s="163" t="str">
        <f t="shared" si="138"/>
        <v/>
      </c>
      <c r="Z133" s="163" t="str">
        <f t="shared" si="138"/>
        <v/>
      </c>
      <c r="AA133" s="163" t="str">
        <f t="shared" si="138"/>
        <v/>
      </c>
      <c r="AB133" s="163" t="str">
        <f t="shared" si="138"/>
        <v/>
      </c>
      <c r="AC133" s="163" t="str">
        <f t="shared" si="138"/>
        <v/>
      </c>
      <c r="AD133" s="163" t="str">
        <f t="shared" si="138"/>
        <v/>
      </c>
      <c r="AE133" s="163" t="str">
        <f t="shared" si="138"/>
        <v/>
      </c>
      <c r="AF133" s="163" t="str">
        <f t="shared" si="138"/>
        <v/>
      </c>
      <c r="AG133" s="163" t="str">
        <f t="shared" si="138"/>
        <v/>
      </c>
      <c r="AH133" s="163" t="str">
        <f t="shared" si="138"/>
        <v/>
      </c>
      <c r="AI133" s="163" t="str">
        <f t="shared" si="138"/>
        <v/>
      </c>
      <c r="AJ133" s="163" t="str">
        <f t="shared" si="138"/>
        <v/>
      </c>
      <c r="AK133" s="163" t="str">
        <f t="shared" si="138"/>
        <v/>
      </c>
      <c r="AL133" s="163" t="str">
        <f t="shared" si="138"/>
        <v/>
      </c>
      <c r="AM133" s="163" t="str">
        <f t="shared" si="138"/>
        <v/>
      </c>
      <c r="AN133" s="163" t="str">
        <f t="shared" si="138"/>
        <v/>
      </c>
      <c r="AO133" s="163" t="str">
        <f t="shared" si="138"/>
        <v/>
      </c>
      <c r="AP133" s="163" t="str">
        <f t="shared" si="138"/>
        <v/>
      </c>
      <c r="AQ133" s="163" t="str">
        <f t="shared" si="138"/>
        <v/>
      </c>
      <c r="AR133" s="163" t="str">
        <f t="shared" si="138"/>
        <v/>
      </c>
      <c r="AS133" s="163" t="str">
        <f t="shared" si="138"/>
        <v/>
      </c>
      <c r="AT133" s="163" t="str">
        <f t="shared" si="138"/>
        <v/>
      </c>
      <c r="AU133" s="163">
        <f t="shared" si="138"/>
        <v>18</v>
      </c>
      <c r="AV133" s="163" t="str">
        <f t="shared" si="138"/>
        <v/>
      </c>
      <c r="AW133" s="163" t="str">
        <f t="shared" si="138"/>
        <v/>
      </c>
    </row>
    <row r="134">
      <c r="A134" s="108"/>
      <c r="B134" s="134" t="s">
        <v>59</v>
      </c>
      <c r="C134" s="134"/>
      <c r="D134" s="134" t="s">
        <v>1667</v>
      </c>
      <c r="E134" s="134" t="str">
        <f>vlookup(D134,CNPJ!A123:B320,2,FAlse)</f>
        <v>08.183.359/0001-53</v>
      </c>
      <c r="F134" s="246">
        <v>78716.0</v>
      </c>
      <c r="G134" s="148">
        <v>185.0</v>
      </c>
      <c r="H134" s="221">
        <v>45212.0</v>
      </c>
      <c r="I134" s="134" t="s">
        <v>1791</v>
      </c>
      <c r="J134" s="220"/>
      <c r="K134" s="134" t="b">
        <v>0</v>
      </c>
      <c r="L134" s="247">
        <f t="shared" si="3"/>
        <v>0</v>
      </c>
      <c r="M134" s="248"/>
      <c r="N134" s="108" t="b">
        <f t="shared" ref="N134:N135" si="140">sum(P134:AO134)=G134</f>
        <v>0</v>
      </c>
      <c r="O134" s="229">
        <f t="shared" si="5"/>
        <v>0</v>
      </c>
      <c r="P134" s="163" t="str">
        <f t="shared" ref="P134:AW134" si="139">iferror(if(P$9=FALSE,, if(if(search(P$11,$B134,1)&gt;0,1,0)=1,$G134/$O134,0)),"")</f>
        <v/>
      </c>
      <c r="Q134" s="163" t="str">
        <f t="shared" si="139"/>
        <v/>
      </c>
      <c r="R134" s="163" t="str">
        <f t="shared" si="139"/>
        <v/>
      </c>
      <c r="S134" s="163" t="str">
        <f t="shared" si="139"/>
        <v/>
      </c>
      <c r="T134" s="163" t="str">
        <f t="shared" si="139"/>
        <v/>
      </c>
      <c r="U134" s="163" t="str">
        <f t="shared" si="139"/>
        <v/>
      </c>
      <c r="V134" s="163" t="str">
        <f t="shared" si="139"/>
        <v/>
      </c>
      <c r="W134" s="163" t="str">
        <f t="shared" si="139"/>
        <v/>
      </c>
      <c r="X134" s="163" t="str">
        <f t="shared" si="139"/>
        <v/>
      </c>
      <c r="Y134" s="163" t="str">
        <f t="shared" si="139"/>
        <v/>
      </c>
      <c r="Z134" s="163" t="str">
        <f t="shared" si="139"/>
        <v/>
      </c>
      <c r="AA134" s="163" t="str">
        <f t="shared" si="139"/>
        <v/>
      </c>
      <c r="AB134" s="163" t="str">
        <f t="shared" si="139"/>
        <v/>
      </c>
      <c r="AC134" s="163" t="str">
        <f t="shared" si="139"/>
        <v/>
      </c>
      <c r="AD134" s="163" t="str">
        <f t="shared" si="139"/>
        <v/>
      </c>
      <c r="AE134" s="163" t="str">
        <f t="shared" si="139"/>
        <v/>
      </c>
      <c r="AF134" s="163" t="str">
        <f t="shared" si="139"/>
        <v/>
      </c>
      <c r="AG134" s="163" t="str">
        <f t="shared" si="139"/>
        <v/>
      </c>
      <c r="AH134" s="163" t="str">
        <f t="shared" si="139"/>
        <v/>
      </c>
      <c r="AI134" s="163" t="str">
        <f t="shared" si="139"/>
        <v/>
      </c>
      <c r="AJ134" s="163" t="str">
        <f t="shared" si="139"/>
        <v/>
      </c>
      <c r="AK134" s="163" t="str">
        <f t="shared" si="139"/>
        <v/>
      </c>
      <c r="AL134" s="163" t="str">
        <f t="shared" si="139"/>
        <v/>
      </c>
      <c r="AM134" s="163" t="str">
        <f t="shared" si="139"/>
        <v/>
      </c>
      <c r="AN134" s="163" t="str">
        <f t="shared" si="139"/>
        <v/>
      </c>
      <c r="AO134" s="163" t="str">
        <f t="shared" si="139"/>
        <v/>
      </c>
      <c r="AP134" s="163" t="str">
        <f t="shared" si="139"/>
        <v/>
      </c>
      <c r="AQ134" s="163" t="str">
        <f t="shared" si="139"/>
        <v/>
      </c>
      <c r="AR134" s="163" t="str">
        <f t="shared" si="139"/>
        <v/>
      </c>
      <c r="AS134" s="163" t="str">
        <f t="shared" si="139"/>
        <v/>
      </c>
      <c r="AT134" s="163" t="str">
        <f t="shared" si="139"/>
        <v/>
      </c>
      <c r="AU134" s="163" t="str">
        <f t="shared" si="139"/>
        <v/>
      </c>
      <c r="AV134" s="163" t="str">
        <f t="shared" si="139"/>
        <v/>
      </c>
      <c r="AW134" s="163" t="str">
        <f t="shared" si="139"/>
        <v/>
      </c>
    </row>
    <row r="135">
      <c r="A135" s="108"/>
      <c r="B135" s="134" t="s">
        <v>59</v>
      </c>
      <c r="C135" s="134"/>
      <c r="D135" s="134" t="s">
        <v>1667</v>
      </c>
      <c r="E135" s="134" t="str">
        <f>vlookup(D135,CNPJ!A124:B321,2,FAlse)</f>
        <v>08.183.359/0001-53</v>
      </c>
      <c r="F135" s="246">
        <v>79608.0</v>
      </c>
      <c r="G135" s="148">
        <v>2058.0</v>
      </c>
      <c r="H135" s="221">
        <v>45237.0</v>
      </c>
      <c r="I135" s="134" t="s">
        <v>1792</v>
      </c>
      <c r="J135" s="220"/>
      <c r="K135" s="134" t="b">
        <v>0</v>
      </c>
      <c r="L135" s="247">
        <f t="shared" si="3"/>
        <v>0</v>
      </c>
      <c r="M135" s="248"/>
      <c r="N135" s="108" t="b">
        <f t="shared" si="140"/>
        <v>0</v>
      </c>
      <c r="O135" s="229">
        <f t="shared" si="5"/>
        <v>0</v>
      </c>
      <c r="P135" s="163" t="str">
        <f t="shared" ref="P135:AW135" si="141">iferror(if(P$9=FALSE,, if(if(search(P$11,$B135,1)&gt;0,1,0)=1,$G135/$O135,0)),"")</f>
        <v/>
      </c>
      <c r="Q135" s="163" t="str">
        <f t="shared" si="141"/>
        <v/>
      </c>
      <c r="R135" s="163" t="str">
        <f t="shared" si="141"/>
        <v/>
      </c>
      <c r="S135" s="163" t="str">
        <f t="shared" si="141"/>
        <v/>
      </c>
      <c r="T135" s="163" t="str">
        <f t="shared" si="141"/>
        <v/>
      </c>
      <c r="U135" s="163" t="str">
        <f t="shared" si="141"/>
        <v/>
      </c>
      <c r="V135" s="163" t="str">
        <f t="shared" si="141"/>
        <v/>
      </c>
      <c r="W135" s="163" t="str">
        <f t="shared" si="141"/>
        <v/>
      </c>
      <c r="X135" s="163" t="str">
        <f t="shared" si="141"/>
        <v/>
      </c>
      <c r="Y135" s="163" t="str">
        <f t="shared" si="141"/>
        <v/>
      </c>
      <c r="Z135" s="163" t="str">
        <f t="shared" si="141"/>
        <v/>
      </c>
      <c r="AA135" s="163" t="str">
        <f t="shared" si="141"/>
        <v/>
      </c>
      <c r="AB135" s="163" t="str">
        <f t="shared" si="141"/>
        <v/>
      </c>
      <c r="AC135" s="163" t="str">
        <f t="shared" si="141"/>
        <v/>
      </c>
      <c r="AD135" s="163" t="str">
        <f t="shared" si="141"/>
        <v/>
      </c>
      <c r="AE135" s="163" t="str">
        <f t="shared" si="141"/>
        <v/>
      </c>
      <c r="AF135" s="163" t="str">
        <f t="shared" si="141"/>
        <v/>
      </c>
      <c r="AG135" s="163" t="str">
        <f t="shared" si="141"/>
        <v/>
      </c>
      <c r="AH135" s="163" t="str">
        <f t="shared" si="141"/>
        <v/>
      </c>
      <c r="AI135" s="163" t="str">
        <f t="shared" si="141"/>
        <v/>
      </c>
      <c r="AJ135" s="163" t="str">
        <f t="shared" si="141"/>
        <v/>
      </c>
      <c r="AK135" s="163" t="str">
        <f t="shared" si="141"/>
        <v/>
      </c>
      <c r="AL135" s="163" t="str">
        <f t="shared" si="141"/>
        <v/>
      </c>
      <c r="AM135" s="163" t="str">
        <f t="shared" si="141"/>
        <v/>
      </c>
      <c r="AN135" s="163" t="str">
        <f t="shared" si="141"/>
        <v/>
      </c>
      <c r="AO135" s="163" t="str">
        <f t="shared" si="141"/>
        <v/>
      </c>
      <c r="AP135" s="163" t="str">
        <f t="shared" si="141"/>
        <v/>
      </c>
      <c r="AQ135" s="163" t="str">
        <f t="shared" si="141"/>
        <v/>
      </c>
      <c r="AR135" s="163" t="str">
        <f t="shared" si="141"/>
        <v/>
      </c>
      <c r="AS135" s="163" t="str">
        <f t="shared" si="141"/>
        <v/>
      </c>
      <c r="AT135" s="163" t="str">
        <f t="shared" si="141"/>
        <v/>
      </c>
      <c r="AU135" s="163" t="str">
        <f t="shared" si="141"/>
        <v/>
      </c>
      <c r="AV135" s="163" t="str">
        <f t="shared" si="141"/>
        <v/>
      </c>
      <c r="AW135" s="163" t="str">
        <f t="shared" si="141"/>
        <v/>
      </c>
    </row>
  </sheetData>
  <autoFilter ref="$A$11:$AW$135"/>
  <mergeCells count="1">
    <mergeCell ref="B5:D6"/>
  </mergeCell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64" t="s">
        <v>1648</v>
      </c>
      <c r="B1" s="264" t="s">
        <v>1793</v>
      </c>
    </row>
    <row r="2">
      <c r="A2" s="265" t="s">
        <v>1650</v>
      </c>
      <c r="B2" s="265" t="s">
        <v>1794</v>
      </c>
    </row>
    <row r="3">
      <c r="A3" s="265" t="s">
        <v>1652</v>
      </c>
      <c r="B3" s="265" t="s">
        <v>1795</v>
      </c>
    </row>
    <row r="4">
      <c r="A4" s="265" t="s">
        <v>1654</v>
      </c>
      <c r="B4" s="265" t="s">
        <v>1796</v>
      </c>
    </row>
    <row r="5">
      <c r="A5" s="265" t="s">
        <v>1656</v>
      </c>
      <c r="B5" s="265" t="s">
        <v>1797</v>
      </c>
    </row>
    <row r="6">
      <c r="A6" s="265" t="s">
        <v>1658</v>
      </c>
      <c r="B6" s="265" t="s">
        <v>1798</v>
      </c>
    </row>
    <row r="7">
      <c r="A7" s="265" t="s">
        <v>1661</v>
      </c>
      <c r="B7" s="265" t="s">
        <v>1799</v>
      </c>
    </row>
    <row r="8">
      <c r="A8" s="265" t="s">
        <v>1650</v>
      </c>
      <c r="B8" s="265" t="s">
        <v>1794</v>
      </c>
    </row>
    <row r="9">
      <c r="A9" s="265" t="s">
        <v>1665</v>
      </c>
      <c r="B9" s="265" t="s">
        <v>1800</v>
      </c>
    </row>
    <row r="10">
      <c r="A10" s="265" t="s">
        <v>1667</v>
      </c>
      <c r="B10" s="265" t="s">
        <v>1801</v>
      </c>
    </row>
    <row r="11">
      <c r="A11" s="265" t="s">
        <v>1648</v>
      </c>
      <c r="B11" s="265" t="s">
        <v>1793</v>
      </c>
    </row>
    <row r="12">
      <c r="A12" s="265" t="s">
        <v>1648</v>
      </c>
      <c r="B12" s="265" t="s">
        <v>1793</v>
      </c>
    </row>
    <row r="13">
      <c r="A13" s="265" t="s">
        <v>1650</v>
      </c>
      <c r="B13" s="265" t="s">
        <v>1794</v>
      </c>
    </row>
    <row r="14">
      <c r="A14" s="265" t="s">
        <v>1650</v>
      </c>
      <c r="B14" s="265" t="s">
        <v>1794</v>
      </c>
    </row>
    <row r="15">
      <c r="A15" s="265" t="s">
        <v>1648</v>
      </c>
      <c r="B15" s="265" t="s">
        <v>1793</v>
      </c>
    </row>
    <row r="16">
      <c r="A16" s="265" t="s">
        <v>1676</v>
      </c>
      <c r="B16" s="265" t="s">
        <v>1802</v>
      </c>
    </row>
    <row r="17">
      <c r="A17" s="265" t="s">
        <v>1678</v>
      </c>
      <c r="B17" s="265" t="s">
        <v>1803</v>
      </c>
    </row>
    <row r="18">
      <c r="A18" s="265" t="s">
        <v>1678</v>
      </c>
      <c r="B18" s="265" t="s">
        <v>1803</v>
      </c>
    </row>
    <row r="19">
      <c r="A19" s="265" t="s">
        <v>1678</v>
      </c>
      <c r="B19" s="265" t="s">
        <v>1803</v>
      </c>
    </row>
    <row r="20">
      <c r="A20" s="265" t="s">
        <v>1650</v>
      </c>
      <c r="B20" s="265" t="s">
        <v>1794</v>
      </c>
    </row>
    <row r="21">
      <c r="A21" s="265" t="s">
        <v>1652</v>
      </c>
      <c r="B21" s="265" t="s">
        <v>1795</v>
      </c>
    </row>
    <row r="22">
      <c r="A22" s="265" t="s">
        <v>1683</v>
      </c>
      <c r="B22" s="265" t="s">
        <v>1804</v>
      </c>
    </row>
    <row r="23">
      <c r="A23" s="265" t="s">
        <v>1687</v>
      </c>
      <c r="B23" s="265" t="s">
        <v>1805</v>
      </c>
    </row>
    <row r="24">
      <c r="A24" s="265" t="s">
        <v>1678</v>
      </c>
      <c r="B24" s="265" t="s">
        <v>1803</v>
      </c>
    </row>
    <row r="25">
      <c r="A25" s="265" t="s">
        <v>1648</v>
      </c>
      <c r="B25" s="265" t="s">
        <v>1793</v>
      </c>
    </row>
    <row r="26">
      <c r="A26" s="265" t="s">
        <v>1667</v>
      </c>
      <c r="B26" s="265" t="s">
        <v>1801</v>
      </c>
    </row>
    <row r="27">
      <c r="A27" s="265" t="s">
        <v>1665</v>
      </c>
      <c r="B27" s="265" t="s">
        <v>1800</v>
      </c>
    </row>
    <row r="28">
      <c r="A28" s="265" t="s">
        <v>1678</v>
      </c>
      <c r="B28" s="265" t="s">
        <v>1803</v>
      </c>
    </row>
    <row r="29">
      <c r="A29" s="265" t="s">
        <v>1648</v>
      </c>
      <c r="B29" s="265" t="s">
        <v>1793</v>
      </c>
    </row>
    <row r="30">
      <c r="A30" s="265" t="s">
        <v>1694</v>
      </c>
      <c r="B30" s="265" t="s">
        <v>1684</v>
      </c>
    </row>
    <row r="31">
      <c r="A31" s="265" t="s">
        <v>1696</v>
      </c>
      <c r="B31" s="265" t="s">
        <v>1684</v>
      </c>
    </row>
    <row r="32">
      <c r="A32" s="265" t="s">
        <v>1806</v>
      </c>
      <c r="B32" s="265" t="s">
        <v>1684</v>
      </c>
    </row>
    <row r="33">
      <c r="A33" s="265" t="s">
        <v>1807</v>
      </c>
      <c r="B33" s="265" t="s">
        <v>1684</v>
      </c>
    </row>
    <row r="34">
      <c r="A34" s="265" t="s">
        <v>1656</v>
      </c>
      <c r="B34" s="265" t="s">
        <v>1797</v>
      </c>
    </row>
    <row r="35">
      <c r="A35" s="265" t="s">
        <v>1667</v>
      </c>
      <c r="B35" s="265" t="s">
        <v>1808</v>
      </c>
    </row>
    <row r="36">
      <c r="A36" s="265" t="s">
        <v>1667</v>
      </c>
      <c r="B36" s="265" t="s">
        <v>1808</v>
      </c>
    </row>
    <row r="37">
      <c r="A37" s="265" t="s">
        <v>1702</v>
      </c>
      <c r="B37" s="265" t="s">
        <v>1809</v>
      </c>
    </row>
    <row r="38">
      <c r="A38" s="265" t="s">
        <v>1652</v>
      </c>
      <c r="B38" s="265" t="s">
        <v>1795</v>
      </c>
    </row>
    <row r="39">
      <c r="A39" s="265" t="s">
        <v>1650</v>
      </c>
      <c r="B39" s="265" t="s">
        <v>1794</v>
      </c>
    </row>
    <row r="40">
      <c r="A40" s="265" t="s">
        <v>1705</v>
      </c>
      <c r="B40" s="265" t="s">
        <v>1810</v>
      </c>
    </row>
    <row r="41">
      <c r="A41" s="265" t="s">
        <v>1667</v>
      </c>
      <c r="B41" s="265" t="s">
        <v>1801</v>
      </c>
    </row>
    <row r="42">
      <c r="A42" s="265" t="s">
        <v>1709</v>
      </c>
      <c r="B42" s="266"/>
    </row>
    <row r="43">
      <c r="A43" s="265" t="s">
        <v>1665</v>
      </c>
      <c r="B43" s="265" t="s">
        <v>1800</v>
      </c>
    </row>
    <row r="44">
      <c r="A44" s="265" t="s">
        <v>1711</v>
      </c>
      <c r="B44" s="265" t="s">
        <v>1811</v>
      </c>
    </row>
    <row r="45">
      <c r="A45" s="265" t="s">
        <v>1713</v>
      </c>
      <c r="B45" s="265" t="s">
        <v>1812</v>
      </c>
    </row>
    <row r="46">
      <c r="A46" s="265" t="s">
        <v>1650</v>
      </c>
      <c r="B46" s="265" t="s">
        <v>1794</v>
      </c>
    </row>
    <row r="47">
      <c r="A47" s="265" t="s">
        <v>1667</v>
      </c>
      <c r="B47" s="265" t="s">
        <v>1808</v>
      </c>
    </row>
    <row r="48">
      <c r="A48" s="265" t="s">
        <v>1650</v>
      </c>
      <c r="B48" s="265" t="s">
        <v>1794</v>
      </c>
    </row>
    <row r="49">
      <c r="A49" s="265" t="s">
        <v>1648</v>
      </c>
      <c r="B49" s="265" t="s">
        <v>1793</v>
      </c>
    </row>
    <row r="50">
      <c r="A50" s="265" t="s">
        <v>1648</v>
      </c>
      <c r="B50" s="265" t="s">
        <v>1793</v>
      </c>
    </row>
    <row r="51">
      <c r="A51" s="265" t="s">
        <v>1667</v>
      </c>
      <c r="B51" s="265" t="s">
        <v>1801</v>
      </c>
    </row>
    <row r="52">
      <c r="A52" s="265" t="s">
        <v>1648</v>
      </c>
      <c r="B52" s="265" t="s">
        <v>1793</v>
      </c>
    </row>
    <row r="53">
      <c r="A53" s="265" t="s">
        <v>1722</v>
      </c>
      <c r="B53" s="265" t="s">
        <v>1813</v>
      </c>
    </row>
    <row r="54">
      <c r="A54" s="265" t="s">
        <v>1678</v>
      </c>
      <c r="B54" s="265" t="s">
        <v>1803</v>
      </c>
    </row>
    <row r="55">
      <c r="A55" s="265" t="s">
        <v>1667</v>
      </c>
      <c r="B55" s="265" t="s">
        <v>1801</v>
      </c>
    </row>
    <row r="56">
      <c r="A56" s="265" t="s">
        <v>1678</v>
      </c>
      <c r="B56" s="265" t="s">
        <v>1803</v>
      </c>
    </row>
    <row r="57">
      <c r="A57" s="265" t="s">
        <v>1648</v>
      </c>
      <c r="B57" s="265" t="s">
        <v>1793</v>
      </c>
    </row>
    <row r="58">
      <c r="A58" s="265" t="s">
        <v>1665</v>
      </c>
      <c r="B58" s="265" t="s">
        <v>1800</v>
      </c>
    </row>
    <row r="59">
      <c r="A59" s="265" t="s">
        <v>1665</v>
      </c>
      <c r="B59" s="265" t="s">
        <v>1800</v>
      </c>
    </row>
    <row r="60">
      <c r="A60" s="265" t="s">
        <v>1814</v>
      </c>
      <c r="B60" s="265" t="s">
        <v>1815</v>
      </c>
    </row>
    <row r="61">
      <c r="A61" s="265" t="s">
        <v>1667</v>
      </c>
      <c r="B61" s="265" t="s">
        <v>1801</v>
      </c>
    </row>
    <row r="62">
      <c r="A62" s="265" t="s">
        <v>1667</v>
      </c>
      <c r="B62" s="265" t="s">
        <v>1801</v>
      </c>
    </row>
    <row r="63">
      <c r="A63" s="265" t="s">
        <v>1667</v>
      </c>
      <c r="B63" s="265" t="s">
        <v>1801</v>
      </c>
    </row>
    <row r="64">
      <c r="A64" s="265" t="s">
        <v>1816</v>
      </c>
      <c r="B64" s="266"/>
    </row>
    <row r="65">
      <c r="A65" s="265" t="s">
        <v>1678</v>
      </c>
      <c r="B65" s="265" t="s">
        <v>1803</v>
      </c>
    </row>
    <row r="66">
      <c r="A66" s="265" t="s">
        <v>1733</v>
      </c>
      <c r="B66" s="265" t="s">
        <v>1817</v>
      </c>
    </row>
    <row r="67">
      <c r="A67" s="265" t="s">
        <v>1667</v>
      </c>
      <c r="B67" s="265" t="s">
        <v>1801</v>
      </c>
    </row>
    <row r="68">
      <c r="A68" s="265" t="s">
        <v>1722</v>
      </c>
      <c r="B68" s="265" t="s">
        <v>1813</v>
      </c>
    </row>
    <row r="69">
      <c r="A69" s="265" t="s">
        <v>1683</v>
      </c>
      <c r="B69" s="265" t="s">
        <v>1804</v>
      </c>
    </row>
    <row r="70">
      <c r="A70" s="265" t="s">
        <v>1667</v>
      </c>
      <c r="B70" s="265" t="s">
        <v>1801</v>
      </c>
    </row>
    <row r="71">
      <c r="A71" s="265" t="s">
        <v>1648</v>
      </c>
      <c r="B71" s="265" t="s">
        <v>1793</v>
      </c>
    </row>
    <row r="72">
      <c r="A72" s="265" t="s">
        <v>1648</v>
      </c>
      <c r="B72" s="265" t="s">
        <v>1793</v>
      </c>
    </row>
    <row r="73">
      <c r="A73" s="265" t="s">
        <v>1650</v>
      </c>
      <c r="B73" s="265" t="s">
        <v>1794</v>
      </c>
    </row>
    <row r="74">
      <c r="A74" s="265" t="s">
        <v>1665</v>
      </c>
      <c r="B74" s="265" t="s">
        <v>1800</v>
      </c>
    </row>
    <row r="75">
      <c r="A75" s="265" t="s">
        <v>1667</v>
      </c>
      <c r="B75" s="265" t="s">
        <v>1801</v>
      </c>
    </row>
    <row r="76">
      <c r="A76" s="265" t="s">
        <v>1648</v>
      </c>
      <c r="B76" s="265" t="s">
        <v>1793</v>
      </c>
    </row>
    <row r="77">
      <c r="A77" s="265" t="s">
        <v>1733</v>
      </c>
      <c r="B77" s="265" t="s">
        <v>1817</v>
      </c>
    </row>
    <row r="78">
      <c r="A78" s="264" t="s">
        <v>1678</v>
      </c>
      <c r="B78" s="264" t="s">
        <v>1803</v>
      </c>
    </row>
    <row r="79">
      <c r="A79" s="265" t="s">
        <v>1713</v>
      </c>
      <c r="B79" s="265" t="s">
        <v>1812</v>
      </c>
    </row>
    <row r="80">
      <c r="A80" s="265" t="s">
        <v>1650</v>
      </c>
      <c r="B80" s="265" t="s">
        <v>1794</v>
      </c>
    </row>
    <row r="81">
      <c r="A81" s="265" t="s">
        <v>1652</v>
      </c>
      <c r="B81" s="265" t="s">
        <v>1795</v>
      </c>
    </row>
    <row r="82">
      <c r="A82" s="265" t="s">
        <v>1818</v>
      </c>
      <c r="B82" s="265" t="s">
        <v>1819</v>
      </c>
    </row>
    <row r="83">
      <c r="A83" s="265" t="s">
        <v>1676</v>
      </c>
      <c r="B83" s="265" t="s">
        <v>1802</v>
      </c>
    </row>
    <row r="84">
      <c r="A84" s="265" t="s">
        <v>146</v>
      </c>
      <c r="B84" s="265" t="s">
        <v>347</v>
      </c>
    </row>
    <row r="85">
      <c r="A85" s="265" t="s">
        <v>110</v>
      </c>
      <c r="B85" s="265" t="s">
        <v>349</v>
      </c>
    </row>
    <row r="86">
      <c r="A86" s="265" t="s">
        <v>1722</v>
      </c>
      <c r="B86" s="265" t="s">
        <v>1813</v>
      </c>
    </row>
    <row r="87">
      <c r="A87" s="265" t="s">
        <v>1661</v>
      </c>
      <c r="B87" s="265" t="s">
        <v>1799</v>
      </c>
    </row>
    <row r="88">
      <c r="A88" s="265" t="s">
        <v>1661</v>
      </c>
      <c r="B88" s="265" t="s">
        <v>1799</v>
      </c>
    </row>
    <row r="89">
      <c r="A89" s="265" t="s">
        <v>1650</v>
      </c>
      <c r="B89" s="265" t="s">
        <v>1794</v>
      </c>
    </row>
    <row r="90">
      <c r="A90" s="265" t="s">
        <v>1678</v>
      </c>
      <c r="B90" s="265" t="s">
        <v>1803</v>
      </c>
    </row>
    <row r="91">
      <c r="A91" s="265" t="s">
        <v>1665</v>
      </c>
      <c r="B91" s="265" t="s">
        <v>1800</v>
      </c>
    </row>
    <row r="92">
      <c r="A92" s="265" t="s">
        <v>1722</v>
      </c>
      <c r="B92" s="265" t="s">
        <v>1813</v>
      </c>
    </row>
    <row r="93">
      <c r="A93" s="265" t="s">
        <v>1820</v>
      </c>
      <c r="B93" s="265" t="s">
        <v>1808</v>
      </c>
    </row>
    <row r="94">
      <c r="A94" s="265" t="s">
        <v>1648</v>
      </c>
      <c r="B94" s="265" t="s">
        <v>1793</v>
      </c>
    </row>
    <row r="95">
      <c r="A95" s="265" t="s">
        <v>1648</v>
      </c>
      <c r="B95" s="265" t="s">
        <v>1793</v>
      </c>
    </row>
    <row r="96">
      <c r="A96" s="265" t="s">
        <v>1648</v>
      </c>
      <c r="B96" s="265" t="s">
        <v>1793</v>
      </c>
    </row>
    <row r="97">
      <c r="A97" s="265" t="s">
        <v>1667</v>
      </c>
      <c r="B97" s="265" t="s">
        <v>1808</v>
      </c>
    </row>
    <row r="98">
      <c r="A98" s="265" t="s">
        <v>1650</v>
      </c>
      <c r="B98" s="265" t="s">
        <v>1794</v>
      </c>
    </row>
    <row r="99">
      <c r="A99" s="265" t="s">
        <v>1678</v>
      </c>
      <c r="B99" s="265" t="s">
        <v>1803</v>
      </c>
    </row>
    <row r="100">
      <c r="A100" s="265" t="s">
        <v>1676</v>
      </c>
      <c r="B100" s="265" t="s">
        <v>1802</v>
      </c>
    </row>
    <row r="101">
      <c r="A101" s="265" t="s">
        <v>1648</v>
      </c>
      <c r="B101" s="265" t="s">
        <v>1793</v>
      </c>
    </row>
    <row r="102">
      <c r="A102" s="265" t="s">
        <v>1818</v>
      </c>
      <c r="B102" s="265" t="s">
        <v>1819</v>
      </c>
    </row>
    <row r="103">
      <c r="A103" s="265" t="s">
        <v>1678</v>
      </c>
      <c r="B103" s="265" t="s">
        <v>1803</v>
      </c>
    </row>
    <row r="104">
      <c r="A104" s="265" t="s">
        <v>1713</v>
      </c>
      <c r="B104" s="265" t="s">
        <v>1812</v>
      </c>
    </row>
    <row r="105">
      <c r="A105" s="265" t="s">
        <v>1665</v>
      </c>
      <c r="B105" s="265" t="s">
        <v>1800</v>
      </c>
    </row>
    <row r="106">
      <c r="A106" s="267" t="s">
        <v>1654</v>
      </c>
      <c r="B106" s="267" t="s">
        <v>1796</v>
      </c>
    </row>
    <row r="107">
      <c r="A107" s="267" t="s">
        <v>1821</v>
      </c>
      <c r="B107" s="267" t="s">
        <v>1822</v>
      </c>
    </row>
    <row r="108">
      <c r="A108" s="265" t="s">
        <v>1648</v>
      </c>
      <c r="B108" s="265" t="s">
        <v>1793</v>
      </c>
    </row>
    <row r="109">
      <c r="A109" s="265" t="s">
        <v>1678</v>
      </c>
      <c r="B109" s="265" t="s">
        <v>1803</v>
      </c>
    </row>
    <row r="110">
      <c r="A110" s="265" t="s">
        <v>1650</v>
      </c>
      <c r="B110" s="265" t="s">
        <v>1794</v>
      </c>
    </row>
    <row r="111">
      <c r="A111" s="265" t="s">
        <v>1650</v>
      </c>
      <c r="B111" s="265" t="s">
        <v>1794</v>
      </c>
    </row>
    <row r="112">
      <c r="A112" s="265" t="s">
        <v>1654</v>
      </c>
      <c r="B112" s="265" t="s">
        <v>1796</v>
      </c>
    </row>
    <row r="113">
      <c r="A113" s="265" t="s">
        <v>1722</v>
      </c>
      <c r="B113" s="265" t="s">
        <v>1813</v>
      </c>
    </row>
    <row r="114">
      <c r="A114" s="265" t="s">
        <v>1648</v>
      </c>
      <c r="B114" s="265" t="s">
        <v>1793</v>
      </c>
    </row>
    <row r="115">
      <c r="A115" s="265" t="s">
        <v>1648</v>
      </c>
      <c r="B115" s="265" t="s">
        <v>1793</v>
      </c>
    </row>
    <row r="116">
      <c r="A116" s="265" t="s">
        <v>1650</v>
      </c>
      <c r="B116" s="265" t="s">
        <v>1794</v>
      </c>
    </row>
    <row r="117">
      <c r="A117" s="265" t="s">
        <v>1665</v>
      </c>
      <c r="B117" s="265" t="s">
        <v>1800</v>
      </c>
    </row>
    <row r="118">
      <c r="A118" s="265" t="s">
        <v>1823</v>
      </c>
      <c r="B118" s="265" t="s">
        <v>1824</v>
      </c>
    </row>
    <row r="119">
      <c r="A119" s="265" t="s">
        <v>1667</v>
      </c>
      <c r="B119" s="265" t="s">
        <v>1801</v>
      </c>
    </row>
    <row r="120">
      <c r="A120" s="265" t="s">
        <v>1648</v>
      </c>
      <c r="B120" s="265" t="s">
        <v>1793</v>
      </c>
    </row>
    <row r="121">
      <c r="A121" s="265" t="s">
        <v>1648</v>
      </c>
      <c r="B121" s="265" t="s">
        <v>1793</v>
      </c>
    </row>
    <row r="122">
      <c r="A122" s="265" t="s">
        <v>1661</v>
      </c>
      <c r="B122" s="265" t="s">
        <v>1799</v>
      </c>
    </row>
    <row r="123">
      <c r="A123" s="265" t="s">
        <v>1661</v>
      </c>
      <c r="B123" s="265" t="s">
        <v>1799</v>
      </c>
    </row>
    <row r="124">
      <c r="A124" s="265" t="s">
        <v>1650</v>
      </c>
      <c r="B124" s="265" t="s">
        <v>1794</v>
      </c>
    </row>
    <row r="125">
      <c r="A125" s="265" t="s">
        <v>1678</v>
      </c>
      <c r="B125" s="265" t="s">
        <v>1803</v>
      </c>
    </row>
    <row r="126">
      <c r="A126" s="265" t="s">
        <v>1648</v>
      </c>
      <c r="B126" s="265" t="s">
        <v>1793</v>
      </c>
    </row>
    <row r="127">
      <c r="A127" s="265" t="s">
        <v>1821</v>
      </c>
      <c r="B127" s="265" t="s">
        <v>1822</v>
      </c>
    </row>
    <row r="128">
      <c r="A128" s="265" t="s">
        <v>1667</v>
      </c>
      <c r="B128" s="265" t="s">
        <v>1808</v>
      </c>
    </row>
    <row r="129">
      <c r="A129" s="265" t="s">
        <v>1825</v>
      </c>
      <c r="B129" s="265" t="s">
        <v>1826</v>
      </c>
    </row>
    <row r="130">
      <c r="A130" s="265" t="s">
        <v>1652</v>
      </c>
      <c r="B130" s="265" t="s">
        <v>1795</v>
      </c>
    </row>
    <row r="131">
      <c r="A131" s="265" t="s">
        <v>1648</v>
      </c>
      <c r="B131" s="265" t="s">
        <v>1793</v>
      </c>
    </row>
    <row r="132">
      <c r="A132" s="265" t="s">
        <v>1648</v>
      </c>
      <c r="B132" s="265" t="s">
        <v>1793</v>
      </c>
    </row>
    <row r="133">
      <c r="A133" s="265" t="s">
        <v>1667</v>
      </c>
      <c r="B133" s="265" t="s">
        <v>1808</v>
      </c>
    </row>
    <row r="134">
      <c r="A134" s="265" t="s">
        <v>1650</v>
      </c>
      <c r="B134" s="265" t="s">
        <v>1794</v>
      </c>
    </row>
    <row r="135">
      <c r="A135" s="265" t="s">
        <v>1654</v>
      </c>
      <c r="B135" s="265" t="s">
        <v>1796</v>
      </c>
    </row>
    <row r="136">
      <c r="A136" s="265" t="s">
        <v>1827</v>
      </c>
      <c r="B136" s="265" t="s">
        <v>1828</v>
      </c>
    </row>
    <row r="137">
      <c r="A137" s="265" t="s">
        <v>1648</v>
      </c>
      <c r="B137" s="265" t="s">
        <v>1793</v>
      </c>
    </row>
    <row r="138">
      <c r="A138" s="265" t="s">
        <v>1713</v>
      </c>
      <c r="B138" s="265" t="s">
        <v>1812</v>
      </c>
    </row>
    <row r="139">
      <c r="A139" s="265" t="s">
        <v>1648</v>
      </c>
      <c r="B139" s="265" t="s">
        <v>1793</v>
      </c>
    </row>
    <row r="140">
      <c r="A140" s="265" t="s">
        <v>1678</v>
      </c>
      <c r="B140" s="265" t="s">
        <v>1803</v>
      </c>
    </row>
    <row r="141">
      <c r="A141" s="265" t="s">
        <v>1678</v>
      </c>
      <c r="B141" s="265" t="s">
        <v>1803</v>
      </c>
    </row>
    <row r="142">
      <c r="A142" s="265" t="s">
        <v>1678</v>
      </c>
      <c r="B142" s="265" t="s">
        <v>1803</v>
      </c>
    </row>
    <row r="143">
      <c r="A143" s="265" t="s">
        <v>1648</v>
      </c>
      <c r="B143" s="265" t="s">
        <v>1793</v>
      </c>
    </row>
    <row r="144">
      <c r="A144" s="265" t="s">
        <v>1829</v>
      </c>
      <c r="B144" s="265" t="s">
        <v>1808</v>
      </c>
    </row>
    <row r="145">
      <c r="A145" s="265" t="s">
        <v>1830</v>
      </c>
      <c r="B145" s="265" t="s">
        <v>1811</v>
      </c>
    </row>
    <row r="146">
      <c r="A146" s="265" t="s">
        <v>1650</v>
      </c>
      <c r="B146" s="265" t="s">
        <v>1794</v>
      </c>
    </row>
    <row r="147">
      <c r="A147" s="265" t="s">
        <v>1678</v>
      </c>
      <c r="B147" s="265" t="s">
        <v>1803</v>
      </c>
    </row>
    <row r="148">
      <c r="A148" s="265" t="s">
        <v>1648</v>
      </c>
      <c r="B148" s="265" t="s">
        <v>1793</v>
      </c>
    </row>
    <row r="149">
      <c r="A149" s="265" t="s">
        <v>1654</v>
      </c>
      <c r="B149" s="265" t="s">
        <v>1796</v>
      </c>
    </row>
    <row r="150">
      <c r="A150" s="265" t="s">
        <v>1820</v>
      </c>
      <c r="B150" s="265" t="s">
        <v>1808</v>
      </c>
    </row>
    <row r="151">
      <c r="A151" s="265" t="s">
        <v>1665</v>
      </c>
      <c r="B151" s="265" t="s">
        <v>1800</v>
      </c>
    </row>
    <row r="152">
      <c r="A152" s="265" t="s">
        <v>1831</v>
      </c>
      <c r="B152" s="265" t="s">
        <v>1832</v>
      </c>
    </row>
    <row r="153">
      <c r="A153" s="265" t="s">
        <v>1667</v>
      </c>
      <c r="B153" s="265" t="s">
        <v>1801</v>
      </c>
    </row>
    <row r="154">
      <c r="A154" s="265" t="s">
        <v>1831</v>
      </c>
      <c r="B154" s="265" t="s">
        <v>1833</v>
      </c>
    </row>
    <row r="155">
      <c r="A155" s="265" t="s">
        <v>1831</v>
      </c>
      <c r="B155" s="265" t="s">
        <v>1832</v>
      </c>
    </row>
    <row r="156">
      <c r="A156" s="265" t="s">
        <v>1831</v>
      </c>
      <c r="B156" s="265" t="s">
        <v>1834</v>
      </c>
    </row>
    <row r="157">
      <c r="A157" s="265" t="s">
        <v>1831</v>
      </c>
      <c r="B157" s="265" t="s">
        <v>1834</v>
      </c>
    </row>
    <row r="158">
      <c r="A158" s="265" t="s">
        <v>1648</v>
      </c>
      <c r="B158" s="265" t="s">
        <v>1793</v>
      </c>
    </row>
    <row r="159">
      <c r="A159" s="265" t="s">
        <v>1831</v>
      </c>
      <c r="B159" s="265" t="s">
        <v>1834</v>
      </c>
    </row>
    <row r="160">
      <c r="A160" s="265" t="s">
        <v>1835</v>
      </c>
      <c r="B160" s="266"/>
    </row>
    <row r="161">
      <c r="A161" s="265" t="s">
        <v>1836</v>
      </c>
      <c r="B161" s="265" t="s">
        <v>1837</v>
      </c>
    </row>
    <row r="162">
      <c r="A162" s="265" t="s">
        <v>1831</v>
      </c>
      <c r="B162" s="265" t="s">
        <v>1834</v>
      </c>
    </row>
    <row r="163">
      <c r="A163" s="265" t="s">
        <v>1835</v>
      </c>
      <c r="B163" s="265" t="s">
        <v>1684</v>
      </c>
    </row>
    <row r="164">
      <c r="A164" s="265" t="s">
        <v>1838</v>
      </c>
      <c r="B164" s="265" t="s">
        <v>1684</v>
      </c>
    </row>
    <row r="165">
      <c r="A165" s="265" t="s">
        <v>1839</v>
      </c>
      <c r="B165" s="265" t="s">
        <v>1840</v>
      </c>
    </row>
    <row r="166">
      <c r="A166" s="265" t="s">
        <v>1841</v>
      </c>
      <c r="B166" s="265" t="s">
        <v>1842</v>
      </c>
    </row>
    <row r="167">
      <c r="A167" s="265" t="s">
        <v>1843</v>
      </c>
      <c r="B167" s="266"/>
    </row>
    <row r="168">
      <c r="A168" s="265" t="s">
        <v>1835</v>
      </c>
      <c r="B168" s="265" t="s">
        <v>1684</v>
      </c>
    </row>
    <row r="169">
      <c r="A169" s="265" t="s">
        <v>1758</v>
      </c>
      <c r="B169" s="265" t="s">
        <v>1844</v>
      </c>
    </row>
    <row r="170">
      <c r="A170" s="265" t="s">
        <v>1845</v>
      </c>
      <c r="B170" s="265" t="s">
        <v>1805</v>
      </c>
    </row>
    <row r="171">
      <c r="A171" s="265" t="s">
        <v>1846</v>
      </c>
      <c r="B171" s="265" t="s">
        <v>1801</v>
      </c>
    </row>
    <row r="172">
      <c r="A172" s="265" t="s">
        <v>1847</v>
      </c>
      <c r="B172" s="265" t="s">
        <v>1848</v>
      </c>
    </row>
    <row r="173">
      <c r="A173" s="265" t="s">
        <v>1849</v>
      </c>
      <c r="B173" s="265" t="s">
        <v>1684</v>
      </c>
    </row>
    <row r="174">
      <c r="A174" s="265" t="s">
        <v>1850</v>
      </c>
      <c r="B174" s="265" t="s">
        <v>1851</v>
      </c>
    </row>
    <row r="175">
      <c r="A175" s="265" t="s">
        <v>144</v>
      </c>
      <c r="B175" s="265" t="s">
        <v>337</v>
      </c>
    </row>
    <row r="176">
      <c r="A176" s="265" t="s">
        <v>1665</v>
      </c>
      <c r="B176" s="265" t="s">
        <v>1800</v>
      </c>
    </row>
    <row r="177">
      <c r="A177" s="265" t="s">
        <v>1648</v>
      </c>
      <c r="B177" s="265" t="s">
        <v>1793</v>
      </c>
    </row>
    <row r="178">
      <c r="A178" s="265" t="s">
        <v>1654</v>
      </c>
      <c r="B178" s="265" t="s">
        <v>1796</v>
      </c>
    </row>
    <row r="179">
      <c r="A179" s="265" t="s">
        <v>1648</v>
      </c>
      <c r="B179" s="265" t="s">
        <v>1793</v>
      </c>
    </row>
    <row r="180">
      <c r="A180" s="265" t="s">
        <v>1652</v>
      </c>
      <c r="B180" s="265" t="s">
        <v>1795</v>
      </c>
    </row>
    <row r="181">
      <c r="A181" s="265" t="s">
        <v>1650</v>
      </c>
      <c r="B181" s="265" t="s">
        <v>1794</v>
      </c>
    </row>
    <row r="182">
      <c r="A182" s="265" t="s">
        <v>1648</v>
      </c>
      <c r="B182" s="265" t="s">
        <v>1793</v>
      </c>
    </row>
    <row r="183">
      <c r="A183" s="265" t="s">
        <v>1678</v>
      </c>
      <c r="B183" s="265" t="s">
        <v>1803</v>
      </c>
    </row>
    <row r="184">
      <c r="A184" s="265" t="s">
        <v>1678</v>
      </c>
      <c r="B184" s="265" t="s">
        <v>1803</v>
      </c>
    </row>
    <row r="185">
      <c r="A185" s="265" t="s">
        <v>1678</v>
      </c>
      <c r="B185" s="265" t="s">
        <v>1803</v>
      </c>
    </row>
    <row r="186">
      <c r="A186" s="265" t="s">
        <v>1678</v>
      </c>
      <c r="B186" s="265" t="s">
        <v>1803</v>
      </c>
    </row>
    <row r="187">
      <c r="A187" s="265" t="s">
        <v>1665</v>
      </c>
      <c r="B187" s="265" t="s">
        <v>1800</v>
      </c>
    </row>
    <row r="188">
      <c r="A188" s="265" t="s">
        <v>1852</v>
      </c>
      <c r="B188" s="265" t="s">
        <v>1853</v>
      </c>
    </row>
    <row r="189">
      <c r="A189" s="265" t="s">
        <v>1854</v>
      </c>
      <c r="B189" s="265" t="s">
        <v>1811</v>
      </c>
    </row>
    <row r="190">
      <c r="A190" s="265" t="s">
        <v>1650</v>
      </c>
      <c r="B190" s="265" t="s">
        <v>1794</v>
      </c>
    </row>
    <row r="191">
      <c r="A191" s="265" t="s">
        <v>1648</v>
      </c>
      <c r="B191" s="265" t="s">
        <v>1793</v>
      </c>
    </row>
    <row r="192">
      <c r="A192" s="265" t="s">
        <v>1648</v>
      </c>
      <c r="B192" s="265" t="s">
        <v>1793</v>
      </c>
    </row>
    <row r="193">
      <c r="A193" s="265" t="s">
        <v>1648</v>
      </c>
      <c r="B193" s="265" t="s">
        <v>1793</v>
      </c>
    </row>
    <row r="194">
      <c r="A194" s="265" t="s">
        <v>1650</v>
      </c>
      <c r="B194" s="265" t="s">
        <v>1794</v>
      </c>
    </row>
    <row r="195">
      <c r="A195" s="265" t="s">
        <v>1652</v>
      </c>
      <c r="B195" s="265" t="s">
        <v>1795</v>
      </c>
    </row>
    <row r="196">
      <c r="A196" s="265" t="s">
        <v>1654</v>
      </c>
      <c r="B196" s="265" t="s">
        <v>1796</v>
      </c>
    </row>
    <row r="197">
      <c r="A197" s="265" t="s">
        <v>1656</v>
      </c>
      <c r="B197" s="265" t="s">
        <v>1797</v>
      </c>
    </row>
    <row r="198">
      <c r="A198" s="265" t="s">
        <v>1658</v>
      </c>
      <c r="B198" s="265" t="s">
        <v>1798</v>
      </c>
    </row>
    <row r="199">
      <c r="A199" s="99" t="s">
        <v>1806</v>
      </c>
    </row>
    <row r="200">
      <c r="A200" s="99" t="s">
        <v>1855</v>
      </c>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drawing r:id="rId2"/>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63"/>
    <col customWidth="1" min="2" max="3" width="18.88"/>
    <col customWidth="1" min="4" max="4" width="31.38"/>
    <col customWidth="1" min="5" max="5" width="39.25"/>
    <col customWidth="1" min="6" max="6" width="12.63"/>
    <col customWidth="1" min="7" max="7" width="14.13"/>
    <col customWidth="1" min="8" max="8" width="31.38"/>
    <col customWidth="1" min="9" max="25" width="5.13"/>
  </cols>
  <sheetData>
    <row r="1" ht="11.25" customHeight="1">
      <c r="A1" s="108"/>
      <c r="B1" s="108"/>
      <c r="C1" s="108"/>
      <c r="D1" s="108"/>
      <c r="E1" s="108"/>
      <c r="F1" s="205"/>
      <c r="G1" s="200"/>
      <c r="H1" s="108"/>
      <c r="I1" s="108"/>
      <c r="J1" s="108"/>
      <c r="K1" s="108"/>
      <c r="L1" s="108"/>
      <c r="M1" s="108"/>
      <c r="N1" s="108"/>
      <c r="O1" s="108"/>
      <c r="P1" s="108"/>
      <c r="Q1" s="108"/>
      <c r="R1" s="108"/>
      <c r="S1" s="108"/>
      <c r="T1" s="108"/>
      <c r="U1" s="108"/>
      <c r="V1" s="108"/>
      <c r="W1" s="108"/>
      <c r="X1" s="108"/>
      <c r="Y1" s="108"/>
    </row>
    <row r="2">
      <c r="A2" s="108"/>
      <c r="B2" s="110" t="s">
        <v>72</v>
      </c>
      <c r="C2" s="109"/>
      <c r="D2" s="109"/>
      <c r="E2" s="109"/>
      <c r="F2" s="207"/>
      <c r="G2" s="200"/>
      <c r="H2" s="108"/>
      <c r="I2" s="108"/>
      <c r="J2" s="108"/>
      <c r="K2" s="108"/>
      <c r="L2" s="108"/>
      <c r="M2" s="108"/>
      <c r="N2" s="108"/>
      <c r="O2" s="108"/>
      <c r="P2" s="108"/>
      <c r="Q2" s="108"/>
      <c r="R2" s="108"/>
      <c r="S2" s="108"/>
      <c r="T2" s="108"/>
      <c r="U2" s="108"/>
      <c r="V2" s="108"/>
      <c r="W2" s="108"/>
      <c r="X2" s="108"/>
      <c r="Y2" s="108"/>
    </row>
    <row r="3">
      <c r="A3" s="108"/>
      <c r="B3" s="111" t="s">
        <v>311</v>
      </c>
      <c r="C3" s="109"/>
      <c r="D3" s="109"/>
      <c r="E3" s="109"/>
      <c r="F3" s="207"/>
      <c r="G3" s="200"/>
      <c r="H3" s="108"/>
      <c r="I3" s="108"/>
      <c r="J3" s="108"/>
      <c r="K3" s="108"/>
      <c r="L3" s="108"/>
      <c r="M3" s="108"/>
      <c r="N3" s="108"/>
      <c r="O3" s="108"/>
      <c r="P3" s="108"/>
      <c r="Q3" s="108"/>
      <c r="R3" s="108"/>
      <c r="S3" s="108"/>
      <c r="T3" s="108"/>
      <c r="U3" s="108"/>
      <c r="V3" s="108"/>
      <c r="W3" s="108"/>
      <c r="X3" s="108"/>
      <c r="Y3" s="108"/>
    </row>
    <row r="4">
      <c r="A4" s="108"/>
      <c r="B4" s="67" t="s">
        <v>1881</v>
      </c>
      <c r="C4" s="109"/>
      <c r="D4" s="109"/>
      <c r="E4" s="109"/>
      <c r="F4" s="207"/>
      <c r="G4" s="200"/>
      <c r="H4" s="108"/>
      <c r="I4" s="108"/>
      <c r="J4" s="108"/>
      <c r="K4" s="108"/>
      <c r="L4" s="108"/>
      <c r="M4" s="108"/>
      <c r="N4" s="108"/>
      <c r="O4" s="108"/>
      <c r="P4" s="108"/>
      <c r="Q4" s="108"/>
      <c r="R4" s="108"/>
      <c r="S4" s="108"/>
      <c r="T4" s="108"/>
      <c r="U4" s="108"/>
      <c r="V4" s="108"/>
      <c r="W4" s="108"/>
      <c r="X4" s="108"/>
      <c r="Y4" s="108"/>
    </row>
    <row r="5">
      <c r="A5" s="108"/>
      <c r="B5" s="137" t="s">
        <v>313</v>
      </c>
      <c r="E5" s="114"/>
      <c r="F5" s="114"/>
      <c r="G5" s="230"/>
      <c r="H5" s="108"/>
      <c r="I5" s="108"/>
      <c r="J5" s="108"/>
      <c r="K5" s="108"/>
      <c r="L5" s="108"/>
      <c r="M5" s="108"/>
      <c r="N5" s="108"/>
      <c r="O5" s="108"/>
      <c r="P5" s="108"/>
      <c r="Q5" s="108"/>
      <c r="R5" s="108"/>
      <c r="S5" s="108"/>
      <c r="T5" s="108"/>
      <c r="U5" s="108"/>
      <c r="V5" s="108"/>
      <c r="W5" s="108"/>
      <c r="X5" s="108"/>
      <c r="Y5" s="108"/>
    </row>
    <row r="6">
      <c r="A6" s="108"/>
      <c r="E6" s="114"/>
      <c r="F6" s="114"/>
      <c r="G6" s="230"/>
      <c r="H6" s="108"/>
      <c r="I6" s="108"/>
      <c r="J6" s="108"/>
      <c r="K6" s="108"/>
      <c r="L6" s="108"/>
      <c r="M6" s="108"/>
      <c r="N6" s="108"/>
      <c r="O6" s="108"/>
      <c r="P6" s="108"/>
      <c r="Q6" s="108"/>
      <c r="R6" s="108"/>
      <c r="S6" s="108"/>
      <c r="T6" s="108"/>
      <c r="U6" s="108"/>
      <c r="V6" s="108"/>
      <c r="W6" s="108"/>
      <c r="X6" s="108"/>
      <c r="Y6" s="108"/>
    </row>
    <row r="7">
      <c r="A7" s="108"/>
      <c r="B7" s="109"/>
      <c r="C7" s="109"/>
      <c r="D7" s="109"/>
      <c r="E7" s="109"/>
      <c r="F7" s="207"/>
      <c r="G7" s="230"/>
      <c r="H7" s="108"/>
      <c r="I7" s="108"/>
      <c r="J7" s="108"/>
      <c r="K7" s="108"/>
      <c r="L7" s="108"/>
      <c r="M7" s="108"/>
      <c r="N7" s="108"/>
      <c r="O7" s="108"/>
      <c r="P7" s="108"/>
      <c r="Q7" s="108"/>
      <c r="R7" s="108"/>
      <c r="S7" s="108"/>
      <c r="T7" s="108"/>
      <c r="U7" s="108"/>
      <c r="V7" s="108"/>
      <c r="W7" s="108"/>
      <c r="X7" s="108"/>
      <c r="Y7" s="108"/>
    </row>
    <row r="8">
      <c r="A8" s="108"/>
      <c r="B8" s="110" t="s">
        <v>79</v>
      </c>
      <c r="C8" s="110"/>
      <c r="D8" s="109"/>
      <c r="E8" s="268" t="s">
        <v>1882</v>
      </c>
      <c r="F8" s="207"/>
      <c r="G8" s="268" t="s">
        <v>1883</v>
      </c>
      <c r="H8" s="108"/>
      <c r="I8" s="108"/>
      <c r="J8" s="108"/>
      <c r="K8" s="108"/>
      <c r="L8" s="108"/>
      <c r="M8" s="108"/>
      <c r="N8" s="108"/>
      <c r="O8" s="108"/>
      <c r="P8" s="108"/>
      <c r="Q8" s="108"/>
      <c r="R8" s="108"/>
      <c r="S8" s="108"/>
      <c r="T8" s="108"/>
      <c r="U8" s="108"/>
      <c r="V8" s="108"/>
      <c r="W8" s="108"/>
      <c r="X8" s="108"/>
      <c r="Y8" s="108"/>
    </row>
    <row r="9">
      <c r="A9" s="108"/>
      <c r="B9" s="111" t="s">
        <v>1884</v>
      </c>
      <c r="C9" s="111"/>
      <c r="D9" s="109"/>
      <c r="E9" s="269"/>
      <c r="F9" s="207"/>
      <c r="G9" s="270"/>
      <c r="H9" s="108"/>
      <c r="I9" s="108"/>
      <c r="J9" s="108"/>
      <c r="K9" s="108"/>
      <c r="L9" s="108"/>
      <c r="M9" s="108"/>
      <c r="N9" s="108"/>
      <c r="O9" s="108"/>
      <c r="P9" s="108"/>
      <c r="Q9" s="108"/>
      <c r="R9" s="108"/>
      <c r="S9" s="108"/>
      <c r="T9" s="108"/>
      <c r="U9" s="108"/>
      <c r="V9" s="108"/>
      <c r="W9" s="108"/>
      <c r="X9" s="108"/>
      <c r="Y9" s="108"/>
    </row>
    <row r="10">
      <c r="A10" s="108"/>
      <c r="B10" s="108"/>
      <c r="C10" s="108"/>
      <c r="D10" s="108"/>
      <c r="E10" s="271"/>
      <c r="F10" s="205"/>
      <c r="G10" s="271"/>
      <c r="H10" s="108"/>
      <c r="I10" s="108"/>
      <c r="J10" s="108"/>
      <c r="K10" s="108"/>
      <c r="L10" s="108"/>
      <c r="M10" s="108"/>
      <c r="N10" s="108"/>
      <c r="O10" s="108"/>
      <c r="P10" s="108"/>
      <c r="Q10" s="108"/>
      <c r="R10" s="108"/>
      <c r="S10" s="108"/>
      <c r="T10" s="108"/>
      <c r="U10" s="108"/>
      <c r="V10" s="108"/>
      <c r="W10" s="108"/>
      <c r="X10" s="108"/>
      <c r="Y10" s="108"/>
    </row>
    <row r="11">
      <c r="A11" s="108"/>
      <c r="B11" s="141" t="s">
        <v>414</v>
      </c>
      <c r="C11" s="141" t="s">
        <v>483</v>
      </c>
      <c r="D11" s="141" t="s">
        <v>1885</v>
      </c>
      <c r="E11" s="141" t="s">
        <v>1886</v>
      </c>
      <c r="F11" s="202" t="s">
        <v>1887</v>
      </c>
      <c r="G11" s="202" t="s">
        <v>1888</v>
      </c>
      <c r="H11" s="141" t="s">
        <v>1889</v>
      </c>
      <c r="I11" s="272"/>
      <c r="J11" s="108"/>
      <c r="K11" s="108"/>
      <c r="L11" s="108"/>
      <c r="M11" s="108"/>
      <c r="N11" s="108"/>
      <c r="O11" s="108"/>
      <c r="P11" s="108"/>
      <c r="Q11" s="108"/>
      <c r="R11" s="108"/>
      <c r="S11" s="108"/>
      <c r="T11" s="108"/>
      <c r="U11" s="108"/>
      <c r="V11" s="108"/>
      <c r="W11" s="108"/>
      <c r="X11" s="108"/>
      <c r="Y11" s="108"/>
    </row>
    <row r="12" hidden="1">
      <c r="A12" s="108"/>
      <c r="B12" s="134" t="s">
        <v>1890</v>
      </c>
      <c r="C12" s="134" t="s">
        <v>1891</v>
      </c>
      <c r="D12" s="145" t="s">
        <v>1892</v>
      </c>
      <c r="E12" s="134" t="s">
        <v>1893</v>
      </c>
      <c r="F12" s="221">
        <v>43221.0</v>
      </c>
      <c r="G12" s="246" t="s">
        <v>1894</v>
      </c>
      <c r="H12" s="273"/>
      <c r="I12" s="108"/>
      <c r="J12" s="108"/>
      <c r="K12" s="108"/>
      <c r="L12" s="108"/>
      <c r="M12" s="108"/>
      <c r="N12" s="108"/>
      <c r="O12" s="108"/>
      <c r="P12" s="108"/>
      <c r="Q12" s="108"/>
      <c r="R12" s="108"/>
      <c r="S12" s="108"/>
      <c r="T12" s="108"/>
      <c r="U12" s="108"/>
      <c r="V12" s="108"/>
      <c r="W12" s="108"/>
      <c r="X12" s="108"/>
      <c r="Y12" s="108"/>
    </row>
    <row r="13" hidden="1">
      <c r="A13" s="108"/>
      <c r="B13" s="134" t="s">
        <v>1890</v>
      </c>
      <c r="C13" s="134" t="s">
        <v>1895</v>
      </c>
      <c r="D13" s="145" t="s">
        <v>1896</v>
      </c>
      <c r="E13" s="134" t="s">
        <v>1897</v>
      </c>
      <c r="F13" s="221">
        <v>43313.0</v>
      </c>
      <c r="G13" s="246" t="s">
        <v>1894</v>
      </c>
      <c r="H13" s="273"/>
      <c r="I13" s="108"/>
      <c r="J13" s="108"/>
      <c r="K13" s="108"/>
      <c r="L13" s="108"/>
      <c r="M13" s="108"/>
      <c r="N13" s="108"/>
      <c r="O13" s="108"/>
      <c r="P13" s="108"/>
      <c r="Q13" s="108"/>
      <c r="R13" s="108"/>
      <c r="S13" s="108"/>
      <c r="T13" s="108"/>
      <c r="U13" s="108"/>
      <c r="V13" s="108"/>
      <c r="W13" s="108"/>
      <c r="X13" s="108"/>
      <c r="Y13" s="108"/>
    </row>
    <row r="14" hidden="1">
      <c r="A14" s="108"/>
      <c r="B14" s="134" t="s">
        <v>1890</v>
      </c>
      <c r="C14" s="134" t="s">
        <v>1898</v>
      </c>
      <c r="D14" s="145" t="s">
        <v>1899</v>
      </c>
      <c r="E14" s="134" t="s">
        <v>1900</v>
      </c>
      <c r="F14" s="221">
        <v>44621.0</v>
      </c>
      <c r="G14" s="246" t="s">
        <v>1894</v>
      </c>
      <c r="H14" s="273"/>
      <c r="I14" s="108"/>
      <c r="J14" s="108"/>
      <c r="K14" s="108"/>
      <c r="L14" s="108"/>
      <c r="M14" s="108"/>
      <c r="N14" s="108"/>
      <c r="O14" s="108"/>
      <c r="P14" s="108"/>
      <c r="Q14" s="108"/>
      <c r="R14" s="108"/>
      <c r="S14" s="108"/>
      <c r="T14" s="108"/>
      <c r="U14" s="108"/>
      <c r="V14" s="108"/>
      <c r="W14" s="108"/>
      <c r="X14" s="108"/>
      <c r="Y14" s="108"/>
    </row>
    <row r="15" hidden="1">
      <c r="A15" s="108"/>
      <c r="B15" s="134" t="s">
        <v>1890</v>
      </c>
      <c r="C15" s="134" t="s">
        <v>1901</v>
      </c>
      <c r="D15" s="145" t="s">
        <v>1902</v>
      </c>
      <c r="E15" s="134" t="s">
        <v>1903</v>
      </c>
      <c r="F15" s="221">
        <v>44805.0</v>
      </c>
      <c r="G15" s="246" t="s">
        <v>1904</v>
      </c>
      <c r="H15" s="273"/>
      <c r="I15" s="108"/>
      <c r="J15" s="108"/>
      <c r="K15" s="108"/>
      <c r="L15" s="108"/>
      <c r="M15" s="108"/>
      <c r="N15" s="108"/>
      <c r="O15" s="108"/>
      <c r="P15" s="108"/>
      <c r="Q15" s="108"/>
      <c r="R15" s="108"/>
      <c r="S15" s="108"/>
      <c r="T15" s="108"/>
      <c r="U15" s="108"/>
      <c r="V15" s="108"/>
      <c r="W15" s="108"/>
      <c r="X15" s="108"/>
      <c r="Y15" s="108"/>
    </row>
    <row r="16" hidden="1">
      <c r="A16" s="108"/>
      <c r="B16" s="134" t="s">
        <v>1890</v>
      </c>
      <c r="C16" s="134" t="s">
        <v>1905</v>
      </c>
      <c r="D16" s="145" t="s">
        <v>1906</v>
      </c>
      <c r="E16" s="134" t="s">
        <v>1907</v>
      </c>
      <c r="F16" s="221">
        <v>44835.0</v>
      </c>
      <c r="G16" s="221">
        <v>44958.0</v>
      </c>
      <c r="H16" s="273"/>
      <c r="I16" s="108"/>
      <c r="J16" s="108"/>
      <c r="K16" s="108"/>
      <c r="L16" s="108"/>
      <c r="M16" s="108"/>
      <c r="N16" s="108"/>
      <c r="O16" s="108"/>
      <c r="P16" s="108"/>
      <c r="Q16" s="108"/>
      <c r="R16" s="108"/>
      <c r="S16" s="108"/>
      <c r="T16" s="108"/>
      <c r="U16" s="108"/>
      <c r="V16" s="108"/>
      <c r="W16" s="108"/>
      <c r="X16" s="108"/>
      <c r="Y16" s="108"/>
    </row>
    <row r="17" hidden="1">
      <c r="A17" s="108"/>
      <c r="B17" s="134" t="s">
        <v>1890</v>
      </c>
      <c r="C17" s="134" t="s">
        <v>1905</v>
      </c>
      <c r="D17" s="145" t="s">
        <v>1908</v>
      </c>
      <c r="E17" s="134" t="s">
        <v>1909</v>
      </c>
      <c r="F17" s="221">
        <v>44866.0</v>
      </c>
      <c r="G17" s="221">
        <v>44986.0</v>
      </c>
      <c r="H17" s="273"/>
      <c r="I17" s="108"/>
      <c r="J17" s="108"/>
      <c r="K17" s="108"/>
      <c r="L17" s="108"/>
      <c r="M17" s="108"/>
      <c r="N17" s="108"/>
      <c r="O17" s="108"/>
      <c r="P17" s="108"/>
      <c r="Q17" s="108"/>
      <c r="R17" s="108"/>
      <c r="S17" s="108"/>
      <c r="T17" s="108"/>
      <c r="U17" s="108"/>
      <c r="V17" s="108"/>
      <c r="W17" s="108"/>
      <c r="X17" s="108"/>
      <c r="Y17" s="108"/>
    </row>
    <row r="18" hidden="1">
      <c r="A18" s="108"/>
      <c r="B18" s="134" t="s">
        <v>1890</v>
      </c>
      <c r="C18" s="134" t="s">
        <v>1905</v>
      </c>
      <c r="D18" s="145" t="s">
        <v>1908</v>
      </c>
      <c r="E18" s="134" t="s">
        <v>1910</v>
      </c>
      <c r="F18" s="221">
        <v>45017.0</v>
      </c>
      <c r="G18" s="221">
        <v>45047.0</v>
      </c>
      <c r="H18" s="273"/>
      <c r="I18" s="108"/>
      <c r="J18" s="108"/>
      <c r="K18" s="108"/>
      <c r="L18" s="108"/>
      <c r="M18" s="108"/>
      <c r="N18" s="108"/>
      <c r="O18" s="108"/>
      <c r="P18" s="108"/>
      <c r="Q18" s="108"/>
      <c r="R18" s="108"/>
      <c r="S18" s="108"/>
      <c r="T18" s="108"/>
      <c r="U18" s="108"/>
      <c r="V18" s="108"/>
      <c r="W18" s="108"/>
      <c r="X18" s="108"/>
      <c r="Y18" s="108"/>
    </row>
    <row r="19" hidden="1">
      <c r="A19" s="108"/>
      <c r="B19" s="134" t="s">
        <v>1890</v>
      </c>
      <c r="C19" s="134" t="s">
        <v>1911</v>
      </c>
      <c r="D19" s="145" t="s">
        <v>1912</v>
      </c>
      <c r="E19" s="134" t="s">
        <v>1913</v>
      </c>
      <c r="F19" s="221">
        <v>44866.0</v>
      </c>
      <c r="G19" s="221">
        <v>45078.0</v>
      </c>
      <c r="H19" s="273"/>
      <c r="I19" s="108"/>
      <c r="J19" s="108"/>
      <c r="K19" s="108"/>
      <c r="L19" s="108"/>
      <c r="M19" s="108"/>
      <c r="N19" s="108"/>
      <c r="O19" s="108"/>
      <c r="P19" s="108"/>
      <c r="Q19" s="108"/>
      <c r="R19" s="108"/>
      <c r="S19" s="108"/>
      <c r="T19" s="108"/>
      <c r="U19" s="108"/>
      <c r="V19" s="108"/>
      <c r="W19" s="108"/>
      <c r="X19" s="108"/>
      <c r="Y19" s="108"/>
    </row>
    <row r="20" hidden="1">
      <c r="A20" s="108"/>
      <c r="B20" s="134" t="s">
        <v>1914</v>
      </c>
      <c r="C20" s="134" t="s">
        <v>1915</v>
      </c>
      <c r="D20" s="145" t="s">
        <v>1916</v>
      </c>
      <c r="E20" s="134" t="s">
        <v>1917</v>
      </c>
      <c r="F20" s="221">
        <v>44927.0</v>
      </c>
      <c r="G20" s="221">
        <v>44927.0</v>
      </c>
      <c r="H20" s="273"/>
      <c r="I20" s="108"/>
      <c r="J20" s="108"/>
      <c r="K20" s="108"/>
      <c r="L20" s="108"/>
      <c r="M20" s="108"/>
      <c r="N20" s="108"/>
      <c r="O20" s="108"/>
      <c r="P20" s="108"/>
      <c r="Q20" s="108"/>
      <c r="R20" s="108"/>
      <c r="S20" s="108"/>
      <c r="T20" s="108"/>
      <c r="U20" s="108"/>
      <c r="V20" s="108"/>
      <c r="W20" s="108"/>
      <c r="X20" s="108"/>
      <c r="Y20" s="108"/>
    </row>
    <row r="21" hidden="1">
      <c r="A21" s="108"/>
      <c r="B21" s="134" t="s">
        <v>1914</v>
      </c>
      <c r="C21" s="134" t="s">
        <v>1918</v>
      </c>
      <c r="D21" s="145" t="s">
        <v>1919</v>
      </c>
      <c r="E21" s="134" t="s">
        <v>1920</v>
      </c>
      <c r="F21" s="221">
        <v>45008.0</v>
      </c>
      <c r="G21" s="221">
        <v>45069.0</v>
      </c>
      <c r="H21" s="273"/>
      <c r="I21" s="108"/>
      <c r="J21" s="108"/>
      <c r="K21" s="108"/>
      <c r="L21" s="108"/>
      <c r="M21" s="108"/>
      <c r="N21" s="108"/>
      <c r="O21" s="108"/>
      <c r="P21" s="108"/>
      <c r="Q21" s="108"/>
      <c r="R21" s="108"/>
      <c r="S21" s="108"/>
      <c r="T21" s="108"/>
      <c r="U21" s="108"/>
      <c r="V21" s="108"/>
      <c r="W21" s="108"/>
      <c r="X21" s="108"/>
      <c r="Y21" s="108"/>
    </row>
    <row r="22" hidden="1">
      <c r="A22" s="108"/>
      <c r="B22" s="134" t="s">
        <v>1914</v>
      </c>
      <c r="C22" s="134" t="s">
        <v>1921</v>
      </c>
      <c r="D22" s="145" t="s">
        <v>1922</v>
      </c>
      <c r="E22" s="134" t="s">
        <v>1923</v>
      </c>
      <c r="F22" s="221">
        <v>45100.0</v>
      </c>
      <c r="G22" s="221">
        <v>45100.0</v>
      </c>
      <c r="H22" s="273"/>
      <c r="I22" s="108"/>
      <c r="J22" s="108"/>
      <c r="K22" s="108"/>
      <c r="L22" s="108"/>
      <c r="M22" s="108"/>
      <c r="N22" s="108"/>
      <c r="O22" s="108"/>
      <c r="P22" s="108"/>
      <c r="Q22" s="108"/>
      <c r="R22" s="108"/>
      <c r="S22" s="108"/>
      <c r="T22" s="108"/>
      <c r="U22" s="108"/>
      <c r="V22" s="108"/>
      <c r="W22" s="108"/>
      <c r="X22" s="108"/>
      <c r="Y22" s="108"/>
    </row>
    <row r="23" hidden="1">
      <c r="A23" s="108"/>
      <c r="B23" s="134" t="s">
        <v>1924</v>
      </c>
      <c r="C23" s="134" t="s">
        <v>1925</v>
      </c>
      <c r="D23" s="145" t="s">
        <v>1926</v>
      </c>
      <c r="E23" s="134" t="s">
        <v>1927</v>
      </c>
      <c r="F23" s="221">
        <v>44805.0</v>
      </c>
      <c r="G23" s="246" t="s">
        <v>1904</v>
      </c>
      <c r="H23" s="273"/>
      <c r="I23" s="108"/>
      <c r="J23" s="108"/>
      <c r="K23" s="108"/>
      <c r="L23" s="108"/>
      <c r="M23" s="108"/>
      <c r="N23" s="108"/>
      <c r="O23" s="108"/>
      <c r="P23" s="108"/>
      <c r="Q23" s="108"/>
      <c r="R23" s="108"/>
      <c r="S23" s="108"/>
      <c r="T23" s="108"/>
      <c r="U23" s="108"/>
      <c r="V23" s="108"/>
      <c r="W23" s="108"/>
      <c r="X23" s="108"/>
      <c r="Y23" s="108"/>
    </row>
    <row r="24" hidden="1">
      <c r="A24" s="108"/>
      <c r="B24" s="134" t="s">
        <v>1924</v>
      </c>
      <c r="C24" s="134" t="s">
        <v>1928</v>
      </c>
      <c r="D24" s="145" t="s">
        <v>1929</v>
      </c>
      <c r="E24" s="134" t="s">
        <v>1930</v>
      </c>
      <c r="F24" s="221">
        <v>45078.0</v>
      </c>
      <c r="G24" s="246">
        <v>45139.0</v>
      </c>
      <c r="H24" s="273"/>
      <c r="I24" s="108"/>
      <c r="J24" s="108"/>
      <c r="K24" s="108"/>
      <c r="L24" s="108"/>
      <c r="M24" s="108"/>
      <c r="N24" s="108"/>
      <c r="O24" s="108"/>
      <c r="P24" s="108"/>
      <c r="Q24" s="108"/>
      <c r="R24" s="108"/>
      <c r="S24" s="108"/>
      <c r="T24" s="108"/>
      <c r="U24" s="108"/>
      <c r="V24" s="108"/>
      <c r="W24" s="108"/>
      <c r="X24" s="108"/>
      <c r="Y24" s="108"/>
    </row>
    <row r="25" hidden="1">
      <c r="A25" s="108"/>
      <c r="B25" s="134" t="s">
        <v>1924</v>
      </c>
      <c r="C25" s="134" t="s">
        <v>1931</v>
      </c>
      <c r="D25" s="145" t="s">
        <v>1932</v>
      </c>
      <c r="E25" s="134" t="s">
        <v>1933</v>
      </c>
      <c r="F25" s="221">
        <v>44986.0</v>
      </c>
      <c r="G25" s="246">
        <v>45139.0</v>
      </c>
      <c r="H25" s="273"/>
      <c r="I25" s="108"/>
      <c r="J25" s="108"/>
      <c r="K25" s="108"/>
      <c r="L25" s="108"/>
      <c r="M25" s="108"/>
      <c r="N25" s="108"/>
      <c r="O25" s="108"/>
      <c r="P25" s="108"/>
      <c r="Q25" s="108"/>
      <c r="R25" s="108"/>
      <c r="S25" s="108"/>
      <c r="T25" s="108"/>
      <c r="U25" s="108"/>
      <c r="V25" s="108"/>
      <c r="W25" s="108"/>
      <c r="X25" s="108"/>
      <c r="Y25" s="108"/>
    </row>
    <row r="26" hidden="1">
      <c r="A26" s="108"/>
      <c r="B26" s="134" t="s">
        <v>1924</v>
      </c>
      <c r="C26" s="134" t="s">
        <v>1931</v>
      </c>
      <c r="D26" s="145" t="s">
        <v>1934</v>
      </c>
      <c r="E26" s="134" t="s">
        <v>1935</v>
      </c>
      <c r="F26" s="221">
        <v>45108.0</v>
      </c>
      <c r="G26" s="246">
        <v>45139.0</v>
      </c>
      <c r="H26" s="273"/>
      <c r="I26" s="108"/>
      <c r="J26" s="108"/>
      <c r="K26" s="108"/>
      <c r="L26" s="108"/>
      <c r="M26" s="108"/>
      <c r="N26" s="108"/>
      <c r="O26" s="108"/>
      <c r="P26" s="108"/>
      <c r="Q26" s="108"/>
      <c r="R26" s="108"/>
      <c r="S26" s="108"/>
      <c r="T26" s="108"/>
      <c r="U26" s="108"/>
      <c r="V26" s="108"/>
      <c r="W26" s="108"/>
      <c r="X26" s="108"/>
      <c r="Y26" s="108"/>
    </row>
    <row r="27" hidden="1">
      <c r="A27" s="108"/>
      <c r="B27" s="134" t="s">
        <v>1936</v>
      </c>
      <c r="C27" s="134" t="s">
        <v>1937</v>
      </c>
      <c r="D27" s="145" t="s">
        <v>1938</v>
      </c>
      <c r="E27" s="134" t="s">
        <v>1939</v>
      </c>
      <c r="F27" s="221">
        <v>44930.0</v>
      </c>
      <c r="G27" s="246">
        <v>45046.0</v>
      </c>
      <c r="H27" s="273"/>
      <c r="I27" s="108"/>
      <c r="J27" s="108"/>
      <c r="K27" s="108"/>
      <c r="L27" s="108"/>
      <c r="M27" s="108"/>
      <c r="N27" s="108"/>
      <c r="O27" s="108"/>
      <c r="P27" s="108"/>
      <c r="Q27" s="108"/>
      <c r="R27" s="108"/>
      <c r="S27" s="108"/>
      <c r="T27" s="108"/>
      <c r="U27" s="108"/>
      <c r="V27" s="108"/>
      <c r="W27" s="108"/>
      <c r="X27" s="108"/>
      <c r="Y27" s="108"/>
    </row>
    <row r="28" hidden="1">
      <c r="A28" s="108"/>
      <c r="B28" s="134" t="s">
        <v>1936</v>
      </c>
      <c r="C28" s="134" t="s">
        <v>1940</v>
      </c>
      <c r="D28" s="145" t="s">
        <v>1941</v>
      </c>
      <c r="E28" s="134" t="s">
        <v>1942</v>
      </c>
      <c r="F28" s="221">
        <v>44931.0</v>
      </c>
      <c r="G28" s="246" t="s">
        <v>1904</v>
      </c>
      <c r="H28" s="273"/>
      <c r="I28" s="108"/>
      <c r="J28" s="108"/>
      <c r="K28" s="108"/>
      <c r="L28" s="108"/>
      <c r="M28" s="108"/>
      <c r="N28" s="108"/>
      <c r="O28" s="108"/>
      <c r="P28" s="108"/>
      <c r="Q28" s="108"/>
      <c r="R28" s="108"/>
      <c r="S28" s="108"/>
      <c r="T28" s="108"/>
      <c r="U28" s="108"/>
      <c r="V28" s="108"/>
      <c r="W28" s="108"/>
      <c r="X28" s="108"/>
      <c r="Y28" s="108"/>
    </row>
    <row r="29" hidden="1">
      <c r="A29" s="108"/>
      <c r="B29" s="134" t="s">
        <v>1943</v>
      </c>
      <c r="C29" s="134" t="s">
        <v>1944</v>
      </c>
      <c r="D29" s="145" t="s">
        <v>1945</v>
      </c>
      <c r="E29" s="134" t="s">
        <v>1946</v>
      </c>
      <c r="F29" s="221">
        <v>45007.0</v>
      </c>
      <c r="G29" s="274">
        <v>44980.0</v>
      </c>
      <c r="H29" s="273"/>
      <c r="I29" s="108"/>
      <c r="J29" s="108"/>
      <c r="K29" s="108"/>
      <c r="L29" s="108"/>
      <c r="M29" s="108"/>
      <c r="N29" s="108"/>
      <c r="O29" s="108"/>
      <c r="P29" s="108"/>
      <c r="Q29" s="108"/>
      <c r="R29" s="108"/>
      <c r="S29" s="108"/>
      <c r="T29" s="108"/>
      <c r="U29" s="108"/>
      <c r="V29" s="108"/>
      <c r="W29" s="108"/>
      <c r="X29" s="108"/>
      <c r="Y29" s="108"/>
    </row>
    <row r="30" hidden="1">
      <c r="A30" s="108"/>
      <c r="B30" s="134" t="s">
        <v>1943</v>
      </c>
      <c r="C30" s="134" t="s">
        <v>1947</v>
      </c>
      <c r="D30" s="145" t="s">
        <v>1948</v>
      </c>
      <c r="E30" s="134" t="s">
        <v>1949</v>
      </c>
      <c r="F30" s="221">
        <v>44980.0</v>
      </c>
      <c r="G30" s="274">
        <v>45039.0</v>
      </c>
      <c r="H30" s="273"/>
      <c r="I30" s="108"/>
      <c r="J30" s="108"/>
      <c r="K30" s="108"/>
      <c r="L30" s="108"/>
      <c r="M30" s="108"/>
      <c r="N30" s="108"/>
      <c r="O30" s="108"/>
      <c r="P30" s="108"/>
      <c r="Q30" s="108"/>
      <c r="R30" s="108"/>
      <c r="S30" s="108"/>
      <c r="T30" s="108"/>
      <c r="U30" s="108"/>
      <c r="V30" s="108"/>
      <c r="W30" s="108"/>
      <c r="X30" s="108"/>
      <c r="Y30" s="108"/>
    </row>
    <row r="31" hidden="1">
      <c r="A31" s="108"/>
      <c r="B31" s="134" t="s">
        <v>1943</v>
      </c>
      <c r="C31" s="134" t="s">
        <v>1947</v>
      </c>
      <c r="D31" s="145" t="s">
        <v>1950</v>
      </c>
      <c r="E31" s="134" t="s">
        <v>1951</v>
      </c>
      <c r="F31" s="221">
        <v>45069.0</v>
      </c>
      <c r="G31" s="274">
        <v>45069.0</v>
      </c>
      <c r="H31" s="273"/>
      <c r="I31" s="108"/>
      <c r="J31" s="108"/>
      <c r="K31" s="108"/>
      <c r="L31" s="108"/>
      <c r="M31" s="108"/>
      <c r="N31" s="108"/>
      <c r="O31" s="108"/>
      <c r="P31" s="108"/>
      <c r="Q31" s="108"/>
      <c r="R31" s="108"/>
      <c r="S31" s="108"/>
      <c r="T31" s="108"/>
      <c r="U31" s="108"/>
      <c r="V31" s="108"/>
      <c r="W31" s="108"/>
      <c r="X31" s="108"/>
      <c r="Y31" s="108"/>
    </row>
    <row r="32" hidden="1">
      <c r="A32" s="108"/>
      <c r="B32" s="134" t="s">
        <v>1943</v>
      </c>
      <c r="C32" s="134" t="s">
        <v>1952</v>
      </c>
      <c r="D32" s="145" t="s">
        <v>1953</v>
      </c>
      <c r="E32" s="134" t="s">
        <v>1954</v>
      </c>
      <c r="F32" s="221">
        <v>45100.0</v>
      </c>
      <c r="G32" s="274">
        <v>45100.0</v>
      </c>
      <c r="H32" s="273"/>
      <c r="I32" s="108"/>
      <c r="J32" s="108"/>
      <c r="K32" s="108"/>
      <c r="L32" s="108"/>
      <c r="M32" s="108"/>
      <c r="N32" s="108"/>
      <c r="O32" s="108"/>
      <c r="P32" s="108"/>
      <c r="Q32" s="108"/>
      <c r="R32" s="108"/>
      <c r="S32" s="108"/>
      <c r="T32" s="108"/>
      <c r="U32" s="108"/>
      <c r="V32" s="108"/>
      <c r="W32" s="108"/>
      <c r="X32" s="108"/>
      <c r="Y32" s="108"/>
    </row>
    <row r="33" hidden="1">
      <c r="A33" s="108"/>
      <c r="B33" s="134" t="s">
        <v>1943</v>
      </c>
      <c r="C33" s="134" t="s">
        <v>1955</v>
      </c>
      <c r="D33" s="145" t="s">
        <v>1956</v>
      </c>
      <c r="E33" s="134" t="s">
        <v>1957</v>
      </c>
      <c r="F33" s="221">
        <v>45100.0</v>
      </c>
      <c r="G33" s="274">
        <v>45130.0</v>
      </c>
      <c r="H33" s="273"/>
      <c r="I33" s="108"/>
      <c r="J33" s="108"/>
      <c r="K33" s="108"/>
      <c r="L33" s="108"/>
      <c r="M33" s="108"/>
      <c r="N33" s="108"/>
      <c r="O33" s="108"/>
      <c r="P33" s="108"/>
      <c r="Q33" s="108"/>
      <c r="R33" s="108"/>
      <c r="S33" s="108"/>
      <c r="T33" s="108"/>
      <c r="U33" s="108"/>
      <c r="V33" s="108"/>
      <c r="W33" s="108"/>
      <c r="X33" s="108"/>
      <c r="Y33" s="108"/>
    </row>
    <row r="34" hidden="1">
      <c r="A34" s="108"/>
      <c r="B34" s="134" t="s">
        <v>1958</v>
      </c>
      <c r="C34" s="134" t="s">
        <v>1918</v>
      </c>
      <c r="D34" s="145" t="s">
        <v>1919</v>
      </c>
      <c r="E34" s="134" t="s">
        <v>1904</v>
      </c>
      <c r="F34" s="221">
        <v>44927.0</v>
      </c>
      <c r="G34" s="246" t="s">
        <v>13</v>
      </c>
      <c r="H34" s="273"/>
      <c r="I34" s="108"/>
      <c r="J34" s="108"/>
      <c r="K34" s="108"/>
      <c r="L34" s="108"/>
      <c r="M34" s="108"/>
      <c r="N34" s="108"/>
      <c r="O34" s="108"/>
      <c r="P34" s="108"/>
      <c r="Q34" s="108"/>
      <c r="R34" s="108"/>
      <c r="S34" s="108"/>
      <c r="T34" s="108"/>
      <c r="U34" s="108"/>
      <c r="V34" s="108"/>
      <c r="W34" s="108"/>
      <c r="X34" s="108"/>
      <c r="Y34" s="108"/>
    </row>
    <row r="35" hidden="1">
      <c r="A35" s="108"/>
      <c r="B35" s="134" t="s">
        <v>1959</v>
      </c>
      <c r="C35" s="134" t="s">
        <v>1960</v>
      </c>
      <c r="D35" s="145" t="s">
        <v>1961</v>
      </c>
      <c r="E35" s="134" t="s">
        <v>1962</v>
      </c>
      <c r="F35" s="221">
        <v>44980.0</v>
      </c>
      <c r="G35" s="246">
        <v>45039.0</v>
      </c>
      <c r="H35" s="273"/>
      <c r="I35" s="108"/>
      <c r="J35" s="108"/>
      <c r="K35" s="108"/>
      <c r="L35" s="108"/>
      <c r="M35" s="108"/>
      <c r="N35" s="108"/>
      <c r="O35" s="108"/>
      <c r="P35" s="108"/>
      <c r="Q35" s="108"/>
      <c r="R35" s="108"/>
      <c r="S35" s="108"/>
      <c r="T35" s="108"/>
      <c r="U35" s="108"/>
      <c r="V35" s="108"/>
      <c r="W35" s="108"/>
      <c r="X35" s="108"/>
      <c r="Y35" s="108"/>
    </row>
    <row r="36" hidden="1">
      <c r="A36" s="108"/>
      <c r="B36" s="134" t="s">
        <v>1959</v>
      </c>
      <c r="C36" s="134" t="s">
        <v>1963</v>
      </c>
      <c r="D36" s="145" t="s">
        <v>1964</v>
      </c>
      <c r="E36" s="134" t="s">
        <v>1965</v>
      </c>
      <c r="F36" s="221">
        <v>45069.0</v>
      </c>
      <c r="G36" s="246">
        <v>45100.0</v>
      </c>
      <c r="H36" s="273"/>
      <c r="I36" s="108"/>
      <c r="J36" s="108"/>
      <c r="K36" s="108"/>
      <c r="L36" s="108"/>
      <c r="M36" s="108"/>
      <c r="N36" s="108"/>
      <c r="O36" s="108"/>
      <c r="P36" s="108"/>
      <c r="Q36" s="108"/>
      <c r="R36" s="108"/>
      <c r="S36" s="108"/>
      <c r="T36" s="108"/>
      <c r="U36" s="108"/>
      <c r="V36" s="108"/>
      <c r="W36" s="108"/>
      <c r="X36" s="108"/>
      <c r="Y36" s="108"/>
    </row>
    <row r="37" hidden="1">
      <c r="A37" s="108"/>
      <c r="B37" s="134" t="s">
        <v>1966</v>
      </c>
      <c r="C37" s="134" t="s">
        <v>1967</v>
      </c>
      <c r="D37" s="145" t="s">
        <v>1968</v>
      </c>
      <c r="E37" s="134"/>
      <c r="F37" s="221">
        <v>45282.0</v>
      </c>
      <c r="G37" s="246"/>
      <c r="H37" s="273"/>
      <c r="I37" s="108"/>
      <c r="J37" s="108"/>
      <c r="K37" s="108"/>
      <c r="L37" s="108"/>
      <c r="M37" s="108"/>
      <c r="N37" s="108"/>
      <c r="O37" s="108"/>
      <c r="P37" s="108"/>
      <c r="Q37" s="108"/>
      <c r="R37" s="108"/>
      <c r="S37" s="108"/>
      <c r="T37" s="108"/>
      <c r="U37" s="108"/>
      <c r="V37" s="108"/>
      <c r="W37" s="108"/>
      <c r="X37" s="108"/>
      <c r="Y37" s="108"/>
    </row>
    <row r="38" hidden="1">
      <c r="A38" s="108"/>
      <c r="B38" s="134" t="s">
        <v>1966</v>
      </c>
      <c r="C38" s="134" t="s">
        <v>1969</v>
      </c>
      <c r="D38" s="145" t="s">
        <v>1970</v>
      </c>
      <c r="E38" s="134"/>
      <c r="F38" s="221">
        <v>45282.0</v>
      </c>
      <c r="G38" s="246"/>
      <c r="H38" s="273"/>
      <c r="I38" s="108"/>
      <c r="J38" s="108"/>
      <c r="K38" s="108"/>
      <c r="L38" s="108"/>
      <c r="M38" s="108"/>
      <c r="N38" s="108"/>
      <c r="O38" s="108"/>
      <c r="P38" s="108"/>
      <c r="Q38" s="108"/>
      <c r="R38" s="108"/>
      <c r="S38" s="108"/>
      <c r="T38" s="108"/>
      <c r="U38" s="108"/>
      <c r="V38" s="108"/>
      <c r="W38" s="108"/>
      <c r="X38" s="108"/>
      <c r="Y38" s="108"/>
    </row>
    <row r="39" hidden="1">
      <c r="A39" s="108"/>
      <c r="B39" s="134" t="s">
        <v>1966</v>
      </c>
      <c r="C39" s="134" t="s">
        <v>514</v>
      </c>
      <c r="D39" s="145" t="s">
        <v>1971</v>
      </c>
      <c r="E39" s="134"/>
      <c r="F39" s="221" t="s">
        <v>1972</v>
      </c>
      <c r="G39" s="246"/>
      <c r="H39" s="273"/>
      <c r="I39" s="108"/>
      <c r="J39" s="108"/>
      <c r="K39" s="108"/>
      <c r="L39" s="108"/>
      <c r="M39" s="108"/>
      <c r="N39" s="108"/>
      <c r="O39" s="108"/>
      <c r="P39" s="108"/>
      <c r="Q39" s="108"/>
      <c r="R39" s="108"/>
      <c r="S39" s="108"/>
      <c r="T39" s="108"/>
      <c r="U39" s="108"/>
      <c r="V39" s="108"/>
      <c r="W39" s="108"/>
      <c r="X39" s="108"/>
      <c r="Y39" s="108"/>
    </row>
    <row r="40" ht="32.25" hidden="1" customHeight="1">
      <c r="A40" s="108"/>
      <c r="B40" s="134" t="s">
        <v>1973</v>
      </c>
      <c r="C40" s="134" t="s">
        <v>1974</v>
      </c>
      <c r="D40" s="145" t="s">
        <v>1975</v>
      </c>
      <c r="E40" s="134" t="s">
        <v>1976</v>
      </c>
      <c r="F40" s="221">
        <v>44566.0</v>
      </c>
      <c r="G40" s="246" t="s">
        <v>1977</v>
      </c>
      <c r="H40" s="273" t="s">
        <v>1978</v>
      </c>
      <c r="I40" s="108"/>
      <c r="J40" s="108"/>
      <c r="K40" s="108"/>
      <c r="L40" s="108"/>
      <c r="M40" s="108"/>
      <c r="N40" s="108"/>
      <c r="O40" s="108"/>
      <c r="P40" s="108"/>
      <c r="Q40" s="108"/>
      <c r="R40" s="108"/>
      <c r="S40" s="108"/>
      <c r="T40" s="108"/>
      <c r="U40" s="108"/>
      <c r="V40" s="108"/>
      <c r="W40" s="108"/>
      <c r="X40" s="108"/>
      <c r="Y40" s="108"/>
    </row>
    <row r="41" hidden="1">
      <c r="A41" s="108"/>
      <c r="B41" s="134" t="s">
        <v>1979</v>
      </c>
      <c r="C41" s="134" t="s">
        <v>1980</v>
      </c>
      <c r="D41" s="145" t="s">
        <v>1981</v>
      </c>
      <c r="E41" s="134" t="s">
        <v>1982</v>
      </c>
      <c r="F41" s="221">
        <v>44571.0</v>
      </c>
      <c r="G41" s="246">
        <v>44936.0</v>
      </c>
      <c r="H41" s="273" t="s">
        <v>1904</v>
      </c>
      <c r="I41" s="108"/>
      <c r="J41" s="108"/>
      <c r="K41" s="108"/>
      <c r="L41" s="108"/>
      <c r="M41" s="108"/>
      <c r="N41" s="108"/>
      <c r="O41" s="108"/>
      <c r="P41" s="108"/>
      <c r="Q41" s="108"/>
      <c r="R41" s="108"/>
      <c r="S41" s="108"/>
      <c r="T41" s="108"/>
      <c r="U41" s="108"/>
      <c r="V41" s="108"/>
      <c r="W41" s="108"/>
      <c r="X41" s="108"/>
      <c r="Y41" s="108"/>
    </row>
    <row r="42" hidden="1">
      <c r="A42" s="108"/>
      <c r="B42" s="134" t="s">
        <v>1979</v>
      </c>
      <c r="C42" s="134" t="s">
        <v>1983</v>
      </c>
      <c r="D42" s="145" t="s">
        <v>1984</v>
      </c>
      <c r="E42" s="134" t="s">
        <v>1985</v>
      </c>
      <c r="F42" s="221">
        <v>44571.0</v>
      </c>
      <c r="G42" s="246">
        <v>44936.0</v>
      </c>
      <c r="H42" s="273" t="s">
        <v>1904</v>
      </c>
      <c r="I42" s="108"/>
      <c r="J42" s="108"/>
      <c r="K42" s="108"/>
      <c r="L42" s="108"/>
      <c r="M42" s="108"/>
      <c r="N42" s="108"/>
      <c r="O42" s="108"/>
      <c r="P42" s="108"/>
      <c r="Q42" s="108"/>
      <c r="R42" s="108"/>
      <c r="S42" s="108"/>
      <c r="T42" s="108"/>
      <c r="U42" s="108"/>
      <c r="V42" s="108"/>
      <c r="W42" s="108"/>
      <c r="X42" s="108"/>
      <c r="Y42" s="108"/>
    </row>
    <row r="43" hidden="1">
      <c r="A43" s="108"/>
      <c r="B43" s="134" t="s">
        <v>1986</v>
      </c>
      <c r="C43" s="134" t="s">
        <v>1987</v>
      </c>
      <c r="D43" s="145" t="s">
        <v>1988</v>
      </c>
      <c r="E43" s="134" t="s">
        <v>1989</v>
      </c>
      <c r="F43" s="221">
        <v>44572.0</v>
      </c>
      <c r="G43" s="246">
        <v>45077.0</v>
      </c>
      <c r="H43" s="273" t="s">
        <v>1990</v>
      </c>
      <c r="I43" s="108"/>
      <c r="J43" s="108"/>
      <c r="K43" s="108"/>
      <c r="L43" s="108"/>
      <c r="M43" s="108"/>
      <c r="N43" s="108"/>
      <c r="O43" s="108"/>
      <c r="P43" s="108"/>
      <c r="Q43" s="108"/>
      <c r="R43" s="108"/>
      <c r="S43" s="108"/>
      <c r="T43" s="108"/>
      <c r="U43" s="108"/>
      <c r="V43" s="108"/>
      <c r="W43" s="108"/>
      <c r="X43" s="108"/>
      <c r="Y43" s="108"/>
    </row>
    <row r="44" hidden="1">
      <c r="A44" s="108"/>
      <c r="B44" s="134" t="s">
        <v>1986</v>
      </c>
      <c r="C44" s="134" t="s">
        <v>1991</v>
      </c>
      <c r="D44" s="145" t="s">
        <v>1992</v>
      </c>
      <c r="E44" s="134" t="s">
        <v>1989</v>
      </c>
      <c r="F44" s="221">
        <v>44927.0</v>
      </c>
      <c r="G44" s="246">
        <v>45093.0</v>
      </c>
      <c r="H44" s="273" t="s">
        <v>1993</v>
      </c>
      <c r="I44" s="108"/>
      <c r="J44" s="108"/>
      <c r="K44" s="108"/>
      <c r="L44" s="108"/>
      <c r="M44" s="108"/>
      <c r="N44" s="108"/>
      <c r="O44" s="108"/>
      <c r="P44" s="108"/>
      <c r="Q44" s="108"/>
      <c r="R44" s="108"/>
      <c r="S44" s="108"/>
      <c r="T44" s="108"/>
      <c r="U44" s="108"/>
      <c r="V44" s="108"/>
      <c r="W44" s="108"/>
      <c r="X44" s="108"/>
      <c r="Y44" s="108"/>
    </row>
    <row r="45" hidden="1">
      <c r="A45" s="108"/>
      <c r="B45" s="134" t="s">
        <v>1994</v>
      </c>
      <c r="C45" s="134" t="s">
        <v>1995</v>
      </c>
      <c r="D45" s="145" t="s">
        <v>1996</v>
      </c>
      <c r="E45" s="134" t="s">
        <v>1997</v>
      </c>
      <c r="F45" s="221">
        <v>44927.0</v>
      </c>
      <c r="G45" s="246" t="s">
        <v>1977</v>
      </c>
      <c r="H45" s="273"/>
      <c r="I45" s="108"/>
      <c r="J45" s="108"/>
      <c r="K45" s="108"/>
      <c r="L45" s="108"/>
      <c r="M45" s="108"/>
      <c r="N45" s="108"/>
      <c r="O45" s="108"/>
      <c r="P45" s="108"/>
      <c r="Q45" s="108"/>
      <c r="R45" s="108"/>
      <c r="S45" s="108"/>
      <c r="T45" s="108"/>
      <c r="U45" s="108"/>
      <c r="V45" s="108"/>
      <c r="W45" s="108"/>
      <c r="X45" s="108"/>
      <c r="Y45" s="108"/>
    </row>
    <row r="46" hidden="1">
      <c r="A46" s="108"/>
      <c r="B46" s="134" t="s">
        <v>1994</v>
      </c>
      <c r="C46" s="134" t="s">
        <v>1998</v>
      </c>
      <c r="D46" s="145" t="s">
        <v>1999</v>
      </c>
      <c r="E46" s="134" t="s">
        <v>2000</v>
      </c>
      <c r="F46" s="221">
        <v>44927.0</v>
      </c>
      <c r="G46" s="246" t="s">
        <v>1977</v>
      </c>
      <c r="H46" s="273"/>
      <c r="I46" s="108"/>
      <c r="J46" s="108"/>
      <c r="K46" s="108"/>
      <c r="L46" s="108"/>
      <c r="M46" s="108"/>
      <c r="N46" s="108"/>
      <c r="O46" s="108"/>
      <c r="P46" s="108"/>
      <c r="Q46" s="108"/>
      <c r="R46" s="108"/>
      <c r="S46" s="108"/>
      <c r="T46" s="108"/>
      <c r="U46" s="108"/>
      <c r="V46" s="108"/>
      <c r="W46" s="108"/>
      <c r="X46" s="108"/>
      <c r="Y46" s="108"/>
    </row>
    <row r="47" hidden="1">
      <c r="A47" s="108"/>
      <c r="B47" s="134" t="s">
        <v>2001</v>
      </c>
      <c r="C47" s="134" t="s">
        <v>2002</v>
      </c>
      <c r="D47" s="145" t="s">
        <v>2003</v>
      </c>
      <c r="E47" s="134" t="s">
        <v>523</v>
      </c>
      <c r="F47" s="221">
        <v>44949.0</v>
      </c>
      <c r="G47" s="246" t="s">
        <v>1904</v>
      </c>
      <c r="H47" s="273"/>
      <c r="I47" s="108"/>
      <c r="J47" s="108"/>
      <c r="K47" s="108"/>
      <c r="L47" s="108"/>
      <c r="M47" s="108"/>
      <c r="N47" s="108"/>
      <c r="O47" s="108"/>
      <c r="P47" s="108"/>
      <c r="Q47" s="108"/>
      <c r="R47" s="108"/>
      <c r="S47" s="108"/>
      <c r="T47" s="108"/>
      <c r="U47" s="108"/>
      <c r="V47" s="108"/>
      <c r="W47" s="108"/>
      <c r="X47" s="108"/>
      <c r="Y47" s="108"/>
    </row>
    <row r="48" hidden="1">
      <c r="A48" s="108"/>
      <c r="B48" s="134" t="s">
        <v>2001</v>
      </c>
      <c r="C48" s="134" t="s">
        <v>2004</v>
      </c>
      <c r="D48" s="145" t="s">
        <v>2005</v>
      </c>
      <c r="E48" s="134" t="s">
        <v>2006</v>
      </c>
      <c r="F48" s="221">
        <v>44949.0</v>
      </c>
      <c r="G48" s="246" t="s">
        <v>1904</v>
      </c>
      <c r="H48" s="273"/>
      <c r="I48" s="108"/>
      <c r="J48" s="108"/>
      <c r="K48" s="108"/>
      <c r="L48" s="108"/>
      <c r="M48" s="108"/>
      <c r="N48" s="108"/>
      <c r="O48" s="108"/>
      <c r="P48" s="108"/>
      <c r="Q48" s="108"/>
      <c r="R48" s="108"/>
      <c r="S48" s="108"/>
      <c r="T48" s="108"/>
      <c r="U48" s="108"/>
      <c r="V48" s="108"/>
      <c r="W48" s="108"/>
      <c r="X48" s="108"/>
      <c r="Y48" s="108"/>
    </row>
    <row r="49" hidden="1">
      <c r="A49" s="108"/>
      <c r="B49" s="134" t="s">
        <v>2007</v>
      </c>
      <c r="C49" s="134" t="s">
        <v>2008</v>
      </c>
      <c r="D49" s="145" t="s">
        <v>2009</v>
      </c>
      <c r="E49" s="134" t="s">
        <v>414</v>
      </c>
      <c r="F49" s="221">
        <v>45283.0</v>
      </c>
      <c r="G49" s="246">
        <v>45008.0</v>
      </c>
      <c r="H49" s="273"/>
      <c r="I49" s="108"/>
      <c r="J49" s="108"/>
      <c r="K49" s="108"/>
      <c r="L49" s="108"/>
      <c r="M49" s="108"/>
      <c r="N49" s="108"/>
      <c r="O49" s="108"/>
      <c r="P49" s="108"/>
      <c r="Q49" s="108"/>
      <c r="R49" s="108"/>
      <c r="S49" s="108"/>
      <c r="T49" s="108"/>
      <c r="U49" s="108"/>
      <c r="V49" s="108"/>
      <c r="W49" s="108"/>
      <c r="X49" s="108"/>
      <c r="Y49" s="108"/>
    </row>
    <row r="50" hidden="1">
      <c r="A50" s="108"/>
      <c r="B50" s="134" t="s">
        <v>2007</v>
      </c>
      <c r="C50" s="134" t="s">
        <v>2010</v>
      </c>
      <c r="D50" s="145" t="s">
        <v>2011</v>
      </c>
      <c r="E50" s="134" t="s">
        <v>2012</v>
      </c>
      <c r="F50" s="221">
        <v>45039.0</v>
      </c>
      <c r="G50" s="246"/>
      <c r="H50" s="273"/>
      <c r="I50" s="108"/>
      <c r="J50" s="108"/>
      <c r="K50" s="108"/>
      <c r="L50" s="108"/>
      <c r="M50" s="108"/>
      <c r="N50" s="108"/>
      <c r="O50" s="108"/>
      <c r="P50" s="108"/>
      <c r="Q50" s="108"/>
      <c r="R50" s="108"/>
      <c r="S50" s="108"/>
      <c r="T50" s="108"/>
      <c r="U50" s="108"/>
      <c r="V50" s="108"/>
      <c r="W50" s="108"/>
      <c r="X50" s="108"/>
      <c r="Y50" s="108"/>
    </row>
    <row r="51" hidden="1">
      <c r="A51" s="108"/>
      <c r="B51" s="134" t="s">
        <v>2013</v>
      </c>
      <c r="C51" s="134" t="s">
        <v>2014</v>
      </c>
      <c r="D51" s="145" t="s">
        <v>2015</v>
      </c>
      <c r="E51" s="134" t="s">
        <v>2016</v>
      </c>
      <c r="F51" s="221">
        <v>44927.0</v>
      </c>
      <c r="G51" s="246">
        <v>45046.0</v>
      </c>
      <c r="H51" s="273"/>
      <c r="I51" s="108"/>
      <c r="J51" s="108"/>
      <c r="K51" s="108"/>
      <c r="L51" s="108"/>
      <c r="M51" s="108"/>
      <c r="N51" s="108"/>
      <c r="O51" s="108"/>
      <c r="P51" s="108"/>
      <c r="Q51" s="108"/>
      <c r="R51" s="108"/>
      <c r="S51" s="108"/>
      <c r="T51" s="108"/>
      <c r="U51" s="108"/>
      <c r="V51" s="108"/>
      <c r="W51" s="108"/>
      <c r="X51" s="108"/>
      <c r="Y51" s="108"/>
    </row>
    <row r="52" hidden="1">
      <c r="A52" s="108"/>
      <c r="B52" s="134" t="s">
        <v>2013</v>
      </c>
      <c r="C52" s="134" t="s">
        <v>2017</v>
      </c>
      <c r="D52" s="145" t="s">
        <v>2018</v>
      </c>
      <c r="E52" s="134" t="s">
        <v>2019</v>
      </c>
      <c r="F52" s="221">
        <v>45039.0</v>
      </c>
      <c r="G52" s="246" t="s">
        <v>1904</v>
      </c>
      <c r="H52" s="273" t="s">
        <v>2020</v>
      </c>
      <c r="I52" s="108"/>
      <c r="J52" s="108"/>
      <c r="K52" s="108"/>
      <c r="L52" s="108"/>
      <c r="M52" s="108"/>
      <c r="N52" s="108"/>
      <c r="O52" s="108"/>
      <c r="P52" s="108"/>
      <c r="Q52" s="108"/>
      <c r="R52" s="108"/>
      <c r="S52" s="108"/>
      <c r="T52" s="108"/>
      <c r="U52" s="108"/>
      <c r="V52" s="108"/>
      <c r="W52" s="108"/>
      <c r="X52" s="108"/>
      <c r="Y52" s="108"/>
    </row>
    <row r="53" hidden="1">
      <c r="A53" s="108"/>
      <c r="B53" s="134" t="s">
        <v>2021</v>
      </c>
      <c r="C53" s="134" t="s">
        <v>2022</v>
      </c>
      <c r="D53" s="145" t="s">
        <v>2023</v>
      </c>
      <c r="E53" s="134" t="s">
        <v>2024</v>
      </c>
      <c r="F53" s="221">
        <v>44927.0</v>
      </c>
      <c r="G53" s="246">
        <v>44985.0</v>
      </c>
      <c r="H53" s="273"/>
      <c r="I53" s="108"/>
      <c r="J53" s="108"/>
      <c r="K53" s="108"/>
      <c r="L53" s="108"/>
      <c r="M53" s="108"/>
      <c r="N53" s="108"/>
      <c r="O53" s="108"/>
      <c r="P53" s="108"/>
      <c r="Q53" s="108"/>
      <c r="R53" s="108"/>
      <c r="S53" s="108"/>
      <c r="T53" s="108"/>
      <c r="U53" s="108"/>
      <c r="V53" s="108"/>
      <c r="W53" s="108"/>
      <c r="X53" s="108"/>
      <c r="Y53" s="108"/>
    </row>
    <row r="54" hidden="1">
      <c r="A54" s="108"/>
      <c r="B54" s="134" t="s">
        <v>2021</v>
      </c>
      <c r="C54" s="134" t="s">
        <v>2014</v>
      </c>
      <c r="D54" s="145" t="s">
        <v>2025</v>
      </c>
      <c r="E54" s="134" t="s">
        <v>2026</v>
      </c>
      <c r="F54" s="221">
        <v>44927.0</v>
      </c>
      <c r="G54" s="246">
        <v>44985.0</v>
      </c>
      <c r="H54" s="273"/>
      <c r="I54" s="108"/>
      <c r="J54" s="108"/>
      <c r="K54" s="108"/>
      <c r="L54" s="108"/>
      <c r="M54" s="108"/>
      <c r="N54" s="108"/>
      <c r="O54" s="108"/>
      <c r="P54" s="108"/>
      <c r="Q54" s="108"/>
      <c r="R54" s="108"/>
      <c r="S54" s="108"/>
      <c r="T54" s="108"/>
      <c r="U54" s="108"/>
      <c r="V54" s="108"/>
      <c r="W54" s="108"/>
      <c r="X54" s="108"/>
      <c r="Y54" s="108"/>
    </row>
    <row r="55" hidden="1">
      <c r="A55" s="108"/>
      <c r="B55" s="134" t="s">
        <v>2027</v>
      </c>
      <c r="C55" s="134" t="s">
        <v>2028</v>
      </c>
      <c r="D55" s="145" t="s">
        <v>2029</v>
      </c>
      <c r="E55" s="134" t="s">
        <v>2030</v>
      </c>
      <c r="F55" s="221">
        <v>44896.0</v>
      </c>
      <c r="G55" s="246" t="s">
        <v>1904</v>
      </c>
      <c r="H55" s="273"/>
      <c r="I55" s="108"/>
      <c r="J55" s="108"/>
      <c r="K55" s="108"/>
      <c r="L55" s="108"/>
      <c r="M55" s="108"/>
      <c r="N55" s="108"/>
      <c r="O55" s="108"/>
      <c r="P55" s="108"/>
      <c r="Q55" s="108"/>
      <c r="R55" s="108"/>
      <c r="S55" s="108"/>
      <c r="T55" s="108"/>
      <c r="U55" s="108"/>
      <c r="V55" s="108"/>
      <c r="W55" s="108"/>
      <c r="X55" s="108"/>
      <c r="Y55" s="108"/>
    </row>
    <row r="56" hidden="1">
      <c r="A56" s="108"/>
      <c r="B56" s="134" t="s">
        <v>2027</v>
      </c>
      <c r="C56" s="134" t="s">
        <v>2031</v>
      </c>
      <c r="D56" s="145" t="s">
        <v>2032</v>
      </c>
      <c r="E56" s="134" t="s">
        <v>2033</v>
      </c>
      <c r="F56" s="221">
        <v>44986.0</v>
      </c>
      <c r="G56" s="275">
        <v>45047.0</v>
      </c>
      <c r="H56" s="273"/>
      <c r="I56" s="108"/>
      <c r="J56" s="108"/>
      <c r="K56" s="108"/>
      <c r="L56" s="108"/>
      <c r="M56" s="108"/>
      <c r="N56" s="108"/>
      <c r="O56" s="108"/>
      <c r="P56" s="108"/>
      <c r="Q56" s="108"/>
      <c r="R56" s="108"/>
      <c r="S56" s="108"/>
      <c r="T56" s="108"/>
      <c r="U56" s="108"/>
      <c r="V56" s="108"/>
      <c r="W56" s="108"/>
      <c r="X56" s="108"/>
      <c r="Y56" s="108"/>
    </row>
    <row r="57" hidden="1">
      <c r="A57" s="108"/>
      <c r="B57" s="134" t="s">
        <v>2027</v>
      </c>
      <c r="C57" s="134" t="s">
        <v>2034</v>
      </c>
      <c r="D57" s="145" t="s">
        <v>2035</v>
      </c>
      <c r="E57" s="134" t="s">
        <v>2036</v>
      </c>
      <c r="F57" s="221">
        <v>44805.0</v>
      </c>
      <c r="G57" s="246" t="s">
        <v>1904</v>
      </c>
      <c r="H57" s="273"/>
      <c r="I57" s="108"/>
      <c r="J57" s="108"/>
      <c r="K57" s="108"/>
      <c r="L57" s="108"/>
      <c r="M57" s="108"/>
      <c r="N57" s="108"/>
      <c r="O57" s="108"/>
      <c r="P57" s="108"/>
      <c r="Q57" s="108"/>
      <c r="R57" s="108"/>
      <c r="S57" s="108"/>
      <c r="T57" s="108"/>
      <c r="U57" s="108"/>
      <c r="V57" s="108"/>
      <c r="W57" s="108"/>
      <c r="X57" s="108"/>
      <c r="Y57" s="108"/>
    </row>
    <row r="58" hidden="1">
      <c r="A58" s="108"/>
      <c r="B58" s="134" t="s">
        <v>2027</v>
      </c>
      <c r="C58" s="134" t="s">
        <v>2037</v>
      </c>
      <c r="D58" s="145" t="s">
        <v>2038</v>
      </c>
      <c r="E58" s="134" t="s">
        <v>2039</v>
      </c>
      <c r="F58" s="221">
        <v>44986.0</v>
      </c>
      <c r="G58" s="275">
        <v>44986.0</v>
      </c>
      <c r="H58" s="273"/>
      <c r="I58" s="108"/>
      <c r="J58" s="108"/>
      <c r="K58" s="108"/>
      <c r="L58" s="108"/>
      <c r="M58" s="108"/>
      <c r="N58" s="108"/>
      <c r="O58" s="108"/>
      <c r="P58" s="108"/>
      <c r="Q58" s="108"/>
      <c r="R58" s="108"/>
      <c r="S58" s="108"/>
      <c r="T58" s="108"/>
      <c r="U58" s="108"/>
      <c r="V58" s="108"/>
      <c r="W58" s="108"/>
      <c r="X58" s="108"/>
      <c r="Y58" s="108"/>
    </row>
    <row r="59" hidden="1">
      <c r="A59" s="108"/>
      <c r="B59" s="134" t="s">
        <v>2027</v>
      </c>
      <c r="C59" s="134" t="s">
        <v>2040</v>
      </c>
      <c r="D59" s="145" t="s">
        <v>2041</v>
      </c>
      <c r="E59" s="134" t="s">
        <v>2042</v>
      </c>
      <c r="F59" s="221">
        <v>44958.0</v>
      </c>
      <c r="G59" s="275">
        <v>45047.0</v>
      </c>
      <c r="H59" s="273"/>
      <c r="I59" s="108"/>
      <c r="J59" s="108"/>
      <c r="K59" s="108"/>
      <c r="L59" s="108"/>
      <c r="M59" s="108"/>
      <c r="N59" s="108"/>
      <c r="O59" s="108"/>
      <c r="P59" s="108"/>
      <c r="Q59" s="108"/>
      <c r="R59" s="108"/>
      <c r="S59" s="108"/>
      <c r="T59" s="108"/>
      <c r="U59" s="108"/>
      <c r="V59" s="108"/>
      <c r="W59" s="108"/>
      <c r="X59" s="108"/>
      <c r="Y59" s="108"/>
    </row>
    <row r="60" hidden="1">
      <c r="A60" s="108"/>
      <c r="B60" s="134" t="s">
        <v>2027</v>
      </c>
      <c r="C60" s="134" t="s">
        <v>1952</v>
      </c>
      <c r="D60" s="145" t="s">
        <v>2043</v>
      </c>
      <c r="E60" s="134" t="s">
        <v>2044</v>
      </c>
      <c r="F60" s="221">
        <v>45047.0</v>
      </c>
      <c r="G60" s="275">
        <v>45078.0</v>
      </c>
      <c r="H60" s="273"/>
      <c r="I60" s="108"/>
      <c r="J60" s="108"/>
      <c r="K60" s="108"/>
      <c r="L60" s="108"/>
      <c r="M60" s="108"/>
      <c r="N60" s="108"/>
      <c r="O60" s="108"/>
      <c r="P60" s="108"/>
      <c r="Q60" s="108"/>
      <c r="R60" s="108"/>
      <c r="S60" s="108"/>
      <c r="T60" s="108"/>
      <c r="U60" s="108"/>
      <c r="V60" s="108"/>
      <c r="W60" s="108"/>
      <c r="X60" s="108"/>
      <c r="Y60" s="108"/>
    </row>
    <row r="61" hidden="1">
      <c r="A61" s="108"/>
      <c r="B61" s="134" t="s">
        <v>2027</v>
      </c>
      <c r="C61" s="134" t="s">
        <v>2045</v>
      </c>
      <c r="D61" s="145" t="s">
        <v>2046</v>
      </c>
      <c r="E61" s="134" t="s">
        <v>2047</v>
      </c>
      <c r="F61" s="221">
        <v>45078.0</v>
      </c>
      <c r="G61" s="275">
        <v>45108.0</v>
      </c>
      <c r="H61" s="273"/>
      <c r="I61" s="108"/>
      <c r="J61" s="108"/>
      <c r="K61" s="108"/>
      <c r="L61" s="108"/>
      <c r="M61" s="108"/>
      <c r="N61" s="108"/>
      <c r="O61" s="108"/>
      <c r="P61" s="108"/>
      <c r="Q61" s="108"/>
      <c r="R61" s="108"/>
      <c r="S61" s="108"/>
      <c r="T61" s="108"/>
      <c r="U61" s="108"/>
      <c r="V61" s="108"/>
      <c r="W61" s="108"/>
      <c r="X61" s="108"/>
      <c r="Y61" s="108"/>
    </row>
    <row r="62">
      <c r="A62" s="108"/>
      <c r="B62" s="134" t="s">
        <v>2048</v>
      </c>
      <c r="C62" s="134" t="s">
        <v>1960</v>
      </c>
      <c r="D62" s="145" t="s">
        <v>2049</v>
      </c>
      <c r="E62" s="134" t="s">
        <v>2050</v>
      </c>
      <c r="F62" s="221">
        <v>44949.0</v>
      </c>
      <c r="G62" s="246">
        <v>45069.0</v>
      </c>
      <c r="H62" s="273" t="s">
        <v>2051</v>
      </c>
      <c r="I62" s="108"/>
      <c r="J62" s="108"/>
      <c r="K62" s="108"/>
      <c r="L62" s="108"/>
      <c r="M62" s="108"/>
      <c r="N62" s="108"/>
      <c r="O62" s="108"/>
      <c r="P62" s="108"/>
      <c r="Q62" s="108"/>
      <c r="R62" s="108"/>
      <c r="S62" s="108"/>
      <c r="T62" s="108"/>
      <c r="U62" s="108"/>
      <c r="V62" s="108"/>
      <c r="W62" s="108"/>
      <c r="X62" s="108"/>
      <c r="Y62" s="108"/>
    </row>
    <row r="63">
      <c r="A63" s="108"/>
      <c r="B63" s="134" t="s">
        <v>2048</v>
      </c>
      <c r="C63" s="134" t="s">
        <v>1960</v>
      </c>
      <c r="D63" s="145" t="s">
        <v>1961</v>
      </c>
      <c r="E63" s="134" t="s">
        <v>2052</v>
      </c>
      <c r="F63" s="221">
        <v>45008.0</v>
      </c>
      <c r="G63" s="246">
        <v>45069.0</v>
      </c>
      <c r="H63" s="273"/>
      <c r="I63" s="108"/>
      <c r="J63" s="108"/>
      <c r="K63" s="108"/>
      <c r="L63" s="108"/>
      <c r="M63" s="108"/>
      <c r="N63" s="108"/>
      <c r="O63" s="108"/>
      <c r="P63" s="108"/>
      <c r="Q63" s="108"/>
      <c r="R63" s="108"/>
      <c r="S63" s="108"/>
      <c r="T63" s="108"/>
      <c r="U63" s="108"/>
      <c r="V63" s="108"/>
      <c r="W63" s="108"/>
      <c r="X63" s="108"/>
      <c r="Y63" s="108"/>
    </row>
    <row r="64">
      <c r="A64" s="108"/>
      <c r="B64" s="134" t="s">
        <v>2048</v>
      </c>
      <c r="C64" s="134" t="s">
        <v>1963</v>
      </c>
      <c r="D64" s="145" t="s">
        <v>1964</v>
      </c>
      <c r="E64" s="134" t="s">
        <v>2053</v>
      </c>
      <c r="F64" s="221">
        <v>45069.0</v>
      </c>
      <c r="G64" s="246" t="s">
        <v>1904</v>
      </c>
      <c r="H64" s="273"/>
      <c r="I64" s="108"/>
      <c r="J64" s="108"/>
      <c r="K64" s="108"/>
      <c r="L64" s="108"/>
      <c r="M64" s="108"/>
      <c r="N64" s="108"/>
      <c r="O64" s="108"/>
      <c r="P64" s="108"/>
      <c r="Q64" s="108"/>
      <c r="R64" s="108"/>
      <c r="S64" s="108"/>
      <c r="T64" s="108"/>
      <c r="U64" s="108"/>
      <c r="V64" s="108"/>
      <c r="W64" s="108"/>
      <c r="X64" s="108"/>
      <c r="Y64" s="108"/>
    </row>
    <row r="65">
      <c r="A65" s="108"/>
      <c r="B65" s="134" t="s">
        <v>2048</v>
      </c>
      <c r="C65" s="134" t="s">
        <v>2054</v>
      </c>
      <c r="D65" s="145" t="s">
        <v>2055</v>
      </c>
      <c r="E65" s="134" t="s">
        <v>2056</v>
      </c>
      <c r="F65" s="221">
        <v>45078.0</v>
      </c>
      <c r="G65" s="246" t="s">
        <v>1904</v>
      </c>
      <c r="H65" s="273"/>
      <c r="I65" s="108"/>
      <c r="J65" s="108"/>
      <c r="K65" s="108"/>
      <c r="L65" s="108"/>
      <c r="M65" s="108"/>
      <c r="N65" s="108"/>
      <c r="O65" s="108"/>
      <c r="P65" s="108"/>
      <c r="Q65" s="108"/>
      <c r="R65" s="108"/>
      <c r="S65" s="108"/>
      <c r="T65" s="108"/>
      <c r="U65" s="108"/>
      <c r="V65" s="108"/>
      <c r="W65" s="108"/>
      <c r="X65" s="108"/>
      <c r="Y65" s="108"/>
    </row>
    <row r="66">
      <c r="A66" s="108"/>
      <c r="B66" s="134" t="s">
        <v>2048</v>
      </c>
      <c r="C66" s="134" t="s">
        <v>2054</v>
      </c>
      <c r="D66" s="145" t="s">
        <v>2057</v>
      </c>
      <c r="E66" s="134" t="s">
        <v>2058</v>
      </c>
      <c r="F66" s="221">
        <v>45108.0</v>
      </c>
      <c r="G66" s="246" t="s">
        <v>1904</v>
      </c>
      <c r="H66" s="273"/>
      <c r="I66" s="108"/>
      <c r="J66" s="108"/>
      <c r="K66" s="108"/>
      <c r="L66" s="108"/>
      <c r="M66" s="108"/>
      <c r="N66" s="108"/>
      <c r="O66" s="108"/>
      <c r="P66" s="108"/>
      <c r="Q66" s="108"/>
      <c r="R66" s="108"/>
      <c r="S66" s="108"/>
      <c r="T66" s="108"/>
      <c r="U66" s="108"/>
      <c r="V66" s="108"/>
      <c r="W66" s="108"/>
      <c r="X66" s="108"/>
      <c r="Y66" s="108"/>
    </row>
    <row r="67" hidden="1">
      <c r="A67" s="108"/>
      <c r="B67" s="134" t="s">
        <v>2059</v>
      </c>
      <c r="C67" s="134" t="s">
        <v>2060</v>
      </c>
      <c r="D67" s="145" t="s">
        <v>2061</v>
      </c>
      <c r="E67" s="134" t="s">
        <v>2062</v>
      </c>
      <c r="F67" s="221">
        <v>43344.0</v>
      </c>
      <c r="G67" s="276">
        <v>44348.0</v>
      </c>
      <c r="H67" s="273"/>
      <c r="I67" s="108"/>
      <c r="J67" s="108"/>
      <c r="K67" s="108"/>
      <c r="L67" s="108"/>
      <c r="M67" s="108"/>
      <c r="N67" s="108"/>
      <c r="O67" s="108"/>
      <c r="P67" s="108"/>
      <c r="Q67" s="108"/>
      <c r="R67" s="108"/>
      <c r="S67" s="108"/>
      <c r="T67" s="108"/>
      <c r="U67" s="108"/>
      <c r="V67" s="108"/>
      <c r="W67" s="108"/>
      <c r="X67" s="108"/>
      <c r="Y67" s="108"/>
    </row>
    <row r="68" hidden="1">
      <c r="A68" s="108"/>
      <c r="B68" s="134" t="s">
        <v>2059</v>
      </c>
      <c r="C68" s="134" t="s">
        <v>2063</v>
      </c>
      <c r="D68" s="145" t="s">
        <v>2064</v>
      </c>
      <c r="E68" s="134" t="s">
        <v>2065</v>
      </c>
      <c r="F68" s="221">
        <v>44197.0</v>
      </c>
      <c r="G68" s="276">
        <v>44621.0</v>
      </c>
      <c r="H68" s="273"/>
      <c r="I68" s="108"/>
      <c r="J68" s="108"/>
      <c r="K68" s="108"/>
      <c r="L68" s="108"/>
      <c r="M68" s="108"/>
      <c r="N68" s="108"/>
      <c r="O68" s="108"/>
      <c r="P68" s="108"/>
      <c r="Q68" s="108"/>
      <c r="R68" s="108"/>
      <c r="S68" s="108"/>
      <c r="T68" s="108"/>
      <c r="U68" s="108"/>
      <c r="V68" s="108"/>
      <c r="W68" s="108"/>
      <c r="X68" s="108"/>
      <c r="Y68" s="108"/>
    </row>
    <row r="69" hidden="1">
      <c r="A69" s="108"/>
      <c r="B69" s="134" t="s">
        <v>2059</v>
      </c>
      <c r="C69" s="134" t="s">
        <v>2066</v>
      </c>
      <c r="D69" s="145" t="s">
        <v>2067</v>
      </c>
      <c r="E69" s="134" t="s">
        <v>2068</v>
      </c>
      <c r="F69" s="221">
        <v>44652.0</v>
      </c>
      <c r="G69" s="276">
        <v>44713.0</v>
      </c>
      <c r="H69" s="273"/>
      <c r="I69" s="108"/>
      <c r="J69" s="108"/>
      <c r="K69" s="108"/>
      <c r="L69" s="108"/>
      <c r="M69" s="108"/>
      <c r="N69" s="108"/>
      <c r="O69" s="108"/>
      <c r="P69" s="108"/>
      <c r="Q69" s="108"/>
      <c r="R69" s="108"/>
      <c r="S69" s="108"/>
      <c r="T69" s="108"/>
      <c r="U69" s="108"/>
      <c r="V69" s="108"/>
      <c r="W69" s="108"/>
      <c r="X69" s="108"/>
      <c r="Y69" s="108"/>
    </row>
    <row r="70" hidden="1">
      <c r="A70" s="108"/>
      <c r="B70" s="134" t="s">
        <v>2059</v>
      </c>
      <c r="C70" s="134" t="s">
        <v>2069</v>
      </c>
      <c r="D70" s="145" t="s">
        <v>2070</v>
      </c>
      <c r="E70" s="134" t="s">
        <v>2071</v>
      </c>
      <c r="F70" s="221">
        <v>44713.0</v>
      </c>
      <c r="G70" s="276">
        <v>44743.0</v>
      </c>
      <c r="H70" s="273"/>
      <c r="I70" s="108"/>
      <c r="J70" s="108"/>
      <c r="K70" s="108"/>
      <c r="L70" s="108"/>
      <c r="M70" s="108"/>
      <c r="N70" s="108"/>
      <c r="O70" s="108"/>
      <c r="P70" s="108"/>
      <c r="Q70" s="108"/>
      <c r="R70" s="108"/>
      <c r="S70" s="108"/>
      <c r="T70" s="108"/>
      <c r="U70" s="108"/>
      <c r="V70" s="108"/>
      <c r="W70" s="108"/>
      <c r="X70" s="108"/>
      <c r="Y70" s="108"/>
    </row>
    <row r="71" hidden="1">
      <c r="A71" s="108"/>
      <c r="B71" s="134" t="s">
        <v>2059</v>
      </c>
      <c r="C71" s="134" t="s">
        <v>2072</v>
      </c>
      <c r="D71" s="145" t="s">
        <v>2073</v>
      </c>
      <c r="E71" s="134" t="s">
        <v>2074</v>
      </c>
      <c r="F71" s="221">
        <v>44652.0</v>
      </c>
      <c r="G71" s="276">
        <v>44713.0</v>
      </c>
      <c r="H71" s="273"/>
      <c r="I71" s="108"/>
      <c r="J71" s="108"/>
      <c r="K71" s="108"/>
      <c r="L71" s="108"/>
      <c r="M71" s="108"/>
      <c r="N71" s="108"/>
      <c r="O71" s="108"/>
      <c r="P71" s="108"/>
      <c r="Q71" s="108"/>
      <c r="R71" s="108"/>
      <c r="S71" s="108"/>
      <c r="T71" s="108"/>
      <c r="U71" s="108"/>
      <c r="V71" s="108"/>
      <c r="W71" s="108"/>
      <c r="X71" s="108"/>
      <c r="Y71" s="108"/>
    </row>
    <row r="72" hidden="1">
      <c r="A72" s="108"/>
      <c r="B72" s="134" t="s">
        <v>2059</v>
      </c>
      <c r="C72" s="134" t="s">
        <v>2072</v>
      </c>
      <c r="D72" s="145" t="s">
        <v>2075</v>
      </c>
      <c r="E72" s="134" t="s">
        <v>2076</v>
      </c>
      <c r="F72" s="221">
        <v>44571.0</v>
      </c>
      <c r="G72" s="277">
        <v>44930.0</v>
      </c>
      <c r="H72" s="273"/>
      <c r="I72" s="108"/>
      <c r="J72" s="108"/>
      <c r="K72" s="108"/>
      <c r="L72" s="108"/>
      <c r="M72" s="108"/>
      <c r="N72" s="108"/>
      <c r="O72" s="108"/>
      <c r="P72" s="108"/>
      <c r="Q72" s="108"/>
      <c r="R72" s="108"/>
      <c r="S72" s="108"/>
      <c r="T72" s="108"/>
      <c r="U72" s="108"/>
      <c r="V72" s="108"/>
      <c r="W72" s="108"/>
      <c r="X72" s="108"/>
      <c r="Y72" s="108"/>
    </row>
    <row r="73" hidden="1">
      <c r="A73" s="108"/>
      <c r="B73" s="134" t="s">
        <v>2059</v>
      </c>
      <c r="C73" s="134" t="s">
        <v>2077</v>
      </c>
      <c r="D73" s="145" t="s">
        <v>2078</v>
      </c>
      <c r="E73" s="134" t="s">
        <v>2079</v>
      </c>
      <c r="F73" s="221">
        <v>45008.0</v>
      </c>
      <c r="G73" s="278">
        <v>45039.0</v>
      </c>
      <c r="H73" s="273"/>
      <c r="I73" s="108"/>
      <c r="J73" s="108"/>
      <c r="K73" s="108"/>
      <c r="L73" s="108"/>
      <c r="M73" s="108"/>
      <c r="N73" s="108"/>
      <c r="O73" s="108"/>
      <c r="P73" s="108"/>
      <c r="Q73" s="108"/>
      <c r="R73" s="108"/>
      <c r="S73" s="108"/>
      <c r="T73" s="108"/>
      <c r="U73" s="108"/>
      <c r="V73" s="108"/>
      <c r="W73" s="108"/>
      <c r="X73" s="108"/>
      <c r="Y73" s="108"/>
    </row>
    <row r="74" hidden="1">
      <c r="A74" s="108"/>
      <c r="B74" s="134" t="s">
        <v>2059</v>
      </c>
      <c r="C74" s="134" t="s">
        <v>2080</v>
      </c>
      <c r="D74" s="145" t="s">
        <v>2081</v>
      </c>
      <c r="E74" s="134" t="s">
        <v>2082</v>
      </c>
      <c r="F74" s="221">
        <v>44930.0</v>
      </c>
      <c r="G74" s="246" t="s">
        <v>1904</v>
      </c>
      <c r="H74" s="273"/>
      <c r="I74" s="108"/>
      <c r="J74" s="108"/>
      <c r="K74" s="108"/>
      <c r="L74" s="108"/>
      <c r="M74" s="108"/>
      <c r="N74" s="108"/>
      <c r="O74" s="108"/>
      <c r="P74" s="108"/>
      <c r="Q74" s="108"/>
      <c r="R74" s="108"/>
      <c r="S74" s="108"/>
      <c r="T74" s="108"/>
      <c r="U74" s="108"/>
      <c r="V74" s="108"/>
      <c r="W74" s="108"/>
      <c r="X74" s="108"/>
      <c r="Y74" s="108"/>
    </row>
    <row r="75" hidden="1">
      <c r="A75" s="108"/>
      <c r="B75" s="134" t="s">
        <v>2059</v>
      </c>
      <c r="C75" s="134" t="s">
        <v>2083</v>
      </c>
      <c r="D75" s="145" t="s">
        <v>2084</v>
      </c>
      <c r="E75" s="134" t="s">
        <v>2085</v>
      </c>
      <c r="F75" s="246" t="s">
        <v>2086</v>
      </c>
      <c r="G75" s="277">
        <v>44963.0</v>
      </c>
      <c r="H75" s="273"/>
      <c r="I75" s="108"/>
      <c r="J75" s="108"/>
      <c r="K75" s="108"/>
      <c r="L75" s="108"/>
      <c r="M75" s="108"/>
      <c r="N75" s="108"/>
      <c r="O75" s="108"/>
      <c r="P75" s="108"/>
      <c r="Q75" s="108"/>
      <c r="R75" s="108"/>
      <c r="S75" s="108"/>
      <c r="T75" s="108"/>
      <c r="U75" s="108"/>
      <c r="V75" s="108"/>
      <c r="W75" s="108"/>
      <c r="X75" s="108"/>
      <c r="Y75" s="108"/>
    </row>
    <row r="76" hidden="1">
      <c r="A76" s="108"/>
      <c r="B76" s="134" t="s">
        <v>2059</v>
      </c>
      <c r="C76" s="134" t="s">
        <v>2072</v>
      </c>
      <c r="D76" s="145" t="s">
        <v>2087</v>
      </c>
      <c r="E76" s="134" t="s">
        <v>2088</v>
      </c>
      <c r="F76" s="221">
        <v>44963.0</v>
      </c>
      <c r="G76" s="246" t="s">
        <v>1904</v>
      </c>
      <c r="H76" s="273"/>
      <c r="I76" s="108"/>
      <c r="J76" s="108"/>
      <c r="K76" s="108"/>
      <c r="L76" s="108"/>
      <c r="M76" s="108"/>
      <c r="N76" s="108"/>
      <c r="O76" s="108"/>
      <c r="P76" s="108"/>
      <c r="Q76" s="108"/>
      <c r="R76" s="108"/>
      <c r="S76" s="108"/>
      <c r="T76" s="108"/>
      <c r="U76" s="108"/>
      <c r="V76" s="108"/>
      <c r="W76" s="108"/>
      <c r="X76" s="108"/>
      <c r="Y76" s="108"/>
    </row>
    <row r="77" hidden="1">
      <c r="A77" s="108"/>
      <c r="B77" s="134" t="s">
        <v>1943</v>
      </c>
      <c r="C77" s="134" t="s">
        <v>2089</v>
      </c>
      <c r="D77" s="145" t="s">
        <v>2090</v>
      </c>
      <c r="E77" s="134" t="s">
        <v>2091</v>
      </c>
      <c r="F77" s="221">
        <v>45006.0</v>
      </c>
      <c r="G77" s="274">
        <v>45006.0</v>
      </c>
      <c r="H77" s="273"/>
      <c r="I77" s="108"/>
      <c r="J77" s="108"/>
      <c r="K77" s="108"/>
      <c r="L77" s="108"/>
      <c r="M77" s="108"/>
      <c r="N77" s="108"/>
      <c r="O77" s="108"/>
      <c r="P77" s="108"/>
      <c r="Q77" s="108"/>
      <c r="R77" s="108"/>
      <c r="S77" s="108"/>
      <c r="T77" s="108"/>
      <c r="U77" s="108"/>
      <c r="V77" s="108"/>
      <c r="W77" s="108"/>
      <c r="X77" s="108"/>
      <c r="Y77" s="108"/>
    </row>
    <row r="78" hidden="1">
      <c r="A78" s="108"/>
      <c r="B78" s="134" t="s">
        <v>1943</v>
      </c>
      <c r="C78" s="134" t="s">
        <v>2092</v>
      </c>
      <c r="D78" s="145" t="s">
        <v>2093</v>
      </c>
      <c r="E78" s="134" t="s">
        <v>2094</v>
      </c>
      <c r="F78" s="221">
        <v>45006.0</v>
      </c>
      <c r="G78" s="274">
        <v>45098.0</v>
      </c>
      <c r="H78" s="273"/>
      <c r="I78" s="108"/>
      <c r="J78" s="108"/>
      <c r="K78" s="108"/>
      <c r="L78" s="108"/>
      <c r="M78" s="108"/>
      <c r="N78" s="108"/>
      <c r="O78" s="108"/>
      <c r="P78" s="108"/>
      <c r="Q78" s="108"/>
      <c r="R78" s="108"/>
      <c r="S78" s="108"/>
      <c r="T78" s="108"/>
      <c r="U78" s="108"/>
      <c r="V78" s="108"/>
      <c r="W78" s="108"/>
      <c r="X78" s="108"/>
      <c r="Y78" s="108"/>
    </row>
    <row r="79" hidden="1">
      <c r="A79" s="108"/>
      <c r="B79" s="134" t="s">
        <v>1943</v>
      </c>
      <c r="C79" s="134" t="s">
        <v>2089</v>
      </c>
      <c r="D79" s="145" t="s">
        <v>2095</v>
      </c>
      <c r="E79" s="134" t="s">
        <v>2096</v>
      </c>
      <c r="F79" s="221">
        <v>45098.0</v>
      </c>
      <c r="G79" s="274">
        <v>45159.0</v>
      </c>
      <c r="H79" s="273"/>
      <c r="I79" s="108"/>
      <c r="J79" s="108"/>
      <c r="K79" s="108"/>
      <c r="L79" s="108"/>
      <c r="M79" s="108"/>
      <c r="N79" s="108"/>
      <c r="O79" s="108"/>
      <c r="P79" s="108"/>
      <c r="Q79" s="108"/>
      <c r="R79" s="108"/>
      <c r="S79" s="108"/>
      <c r="T79" s="108"/>
      <c r="U79" s="108"/>
      <c r="V79" s="108"/>
      <c r="W79" s="108"/>
      <c r="X79" s="108"/>
      <c r="Y79" s="108"/>
    </row>
    <row r="80" hidden="1">
      <c r="A80" s="108"/>
      <c r="B80" s="134" t="s">
        <v>1943</v>
      </c>
      <c r="C80" s="134" t="s">
        <v>2097</v>
      </c>
      <c r="D80" s="145" t="s">
        <v>2098</v>
      </c>
      <c r="E80" s="134" t="s">
        <v>2099</v>
      </c>
      <c r="F80" s="221">
        <v>45006.0</v>
      </c>
      <c r="G80" s="274">
        <v>45190.0</v>
      </c>
      <c r="H80" s="145" t="s">
        <v>2100</v>
      </c>
      <c r="I80" s="108"/>
      <c r="J80" s="108"/>
      <c r="K80" s="108"/>
      <c r="L80" s="108"/>
      <c r="M80" s="108"/>
      <c r="N80" s="108"/>
      <c r="O80" s="108"/>
      <c r="P80" s="108"/>
      <c r="Q80" s="108"/>
      <c r="R80" s="108"/>
      <c r="S80" s="108"/>
      <c r="T80" s="108"/>
      <c r="U80" s="108"/>
      <c r="V80" s="108"/>
      <c r="W80" s="108"/>
      <c r="X80" s="108"/>
      <c r="Y80" s="108"/>
    </row>
    <row r="81" hidden="1">
      <c r="A81" s="108"/>
      <c r="B81" s="134" t="s">
        <v>1943</v>
      </c>
      <c r="C81" s="134" t="s">
        <v>2101</v>
      </c>
      <c r="D81" s="145" t="s">
        <v>2102</v>
      </c>
      <c r="E81" s="134" t="s">
        <v>2103</v>
      </c>
      <c r="F81" s="221">
        <v>45128.0</v>
      </c>
      <c r="G81" s="274">
        <v>45190.0</v>
      </c>
      <c r="H81" s="273"/>
      <c r="I81" s="108"/>
      <c r="J81" s="108"/>
      <c r="K81" s="108"/>
      <c r="L81" s="108"/>
      <c r="M81" s="108"/>
      <c r="N81" s="108"/>
      <c r="O81" s="108"/>
      <c r="P81" s="108"/>
      <c r="Q81" s="108"/>
      <c r="R81" s="108"/>
      <c r="S81" s="108"/>
      <c r="T81" s="108"/>
      <c r="U81" s="108"/>
      <c r="V81" s="108"/>
      <c r="W81" s="108"/>
      <c r="X81" s="108"/>
      <c r="Y81" s="108"/>
    </row>
    <row r="82" hidden="1">
      <c r="A82" s="108"/>
      <c r="B82" s="134" t="s">
        <v>1943</v>
      </c>
      <c r="C82" s="134" t="s">
        <v>2104</v>
      </c>
      <c r="D82" s="145" t="s">
        <v>2105</v>
      </c>
      <c r="E82" s="134" t="s">
        <v>2106</v>
      </c>
      <c r="F82" s="221">
        <v>45220.0</v>
      </c>
      <c r="G82" s="274">
        <v>45220.0</v>
      </c>
      <c r="H82" s="273"/>
      <c r="I82" s="108"/>
      <c r="J82" s="108"/>
      <c r="K82" s="108"/>
      <c r="L82" s="108"/>
      <c r="M82" s="108"/>
      <c r="N82" s="108"/>
      <c r="O82" s="108"/>
      <c r="P82" s="108"/>
      <c r="Q82" s="108"/>
      <c r="R82" s="108"/>
      <c r="S82" s="108"/>
      <c r="T82" s="108"/>
      <c r="U82" s="108"/>
      <c r="V82" s="108"/>
      <c r="W82" s="108"/>
      <c r="X82" s="108"/>
      <c r="Y82" s="108"/>
    </row>
    <row r="83" hidden="1">
      <c r="A83" s="108"/>
      <c r="B83" s="134" t="s">
        <v>1943</v>
      </c>
      <c r="C83" s="134" t="s">
        <v>2107</v>
      </c>
      <c r="D83" s="145" t="s">
        <v>2108</v>
      </c>
      <c r="E83" s="134" t="s">
        <v>2109</v>
      </c>
      <c r="F83" s="221">
        <v>45220.0</v>
      </c>
      <c r="G83" s="274">
        <v>44978.0</v>
      </c>
      <c r="H83" s="273"/>
      <c r="I83" s="108"/>
      <c r="J83" s="108"/>
      <c r="K83" s="108"/>
      <c r="L83" s="108"/>
      <c r="M83" s="108"/>
      <c r="N83" s="108"/>
      <c r="O83" s="108"/>
      <c r="P83" s="108"/>
      <c r="Q83" s="108"/>
      <c r="R83" s="108"/>
      <c r="S83" s="108"/>
      <c r="T83" s="108"/>
      <c r="U83" s="108"/>
      <c r="V83" s="108"/>
      <c r="W83" s="108"/>
      <c r="X83" s="108"/>
      <c r="Y83" s="108"/>
    </row>
    <row r="84" hidden="1">
      <c r="A84" s="108"/>
      <c r="B84" s="134" t="s">
        <v>1943</v>
      </c>
      <c r="C84" s="134" t="s">
        <v>2110</v>
      </c>
      <c r="D84" s="145" t="s">
        <v>2111</v>
      </c>
      <c r="E84" s="134" t="s">
        <v>2112</v>
      </c>
      <c r="F84" s="221">
        <v>45220.0</v>
      </c>
      <c r="G84" s="274">
        <v>45007.0</v>
      </c>
      <c r="H84" s="273"/>
      <c r="I84" s="108"/>
      <c r="J84" s="108"/>
      <c r="K84" s="108"/>
      <c r="L84" s="108"/>
      <c r="M84" s="108"/>
      <c r="N84" s="108"/>
      <c r="O84" s="108"/>
      <c r="P84" s="108"/>
      <c r="Q84" s="108"/>
      <c r="R84" s="108"/>
      <c r="S84" s="108"/>
      <c r="T84" s="108"/>
      <c r="U84" s="108"/>
      <c r="V84" s="108"/>
      <c r="W84" s="108"/>
      <c r="X84" s="108"/>
      <c r="Y84" s="108"/>
    </row>
    <row r="85" hidden="1">
      <c r="A85" s="108"/>
      <c r="B85" s="134" t="s">
        <v>1943</v>
      </c>
      <c r="C85" s="134" t="s">
        <v>2113</v>
      </c>
      <c r="D85" s="145" t="s">
        <v>2114</v>
      </c>
      <c r="E85" s="134" t="s">
        <v>2115</v>
      </c>
      <c r="F85" s="221">
        <v>45220.0</v>
      </c>
      <c r="G85" s="274">
        <v>45220.0</v>
      </c>
      <c r="H85" s="273"/>
      <c r="I85" s="108"/>
      <c r="J85" s="108"/>
      <c r="K85" s="108"/>
      <c r="L85" s="108"/>
      <c r="M85" s="108"/>
      <c r="N85" s="108"/>
      <c r="O85" s="108"/>
      <c r="P85" s="108"/>
      <c r="Q85" s="108"/>
      <c r="R85" s="108"/>
      <c r="S85" s="108"/>
      <c r="T85" s="108"/>
      <c r="U85" s="108"/>
      <c r="V85" s="108"/>
      <c r="W85" s="108"/>
      <c r="X85" s="108"/>
      <c r="Y85" s="108"/>
    </row>
    <row r="86" hidden="1">
      <c r="A86" s="108"/>
      <c r="B86" s="134" t="s">
        <v>1943</v>
      </c>
      <c r="C86" s="134" t="s">
        <v>2116</v>
      </c>
      <c r="D86" s="145" t="s">
        <v>2117</v>
      </c>
      <c r="E86" s="134" t="s">
        <v>2118</v>
      </c>
      <c r="F86" s="221">
        <v>45251.0</v>
      </c>
      <c r="G86" s="274">
        <v>44979.0</v>
      </c>
      <c r="H86" s="145" t="s">
        <v>2119</v>
      </c>
      <c r="I86" s="108"/>
      <c r="J86" s="108"/>
      <c r="K86" s="108"/>
      <c r="L86" s="108"/>
      <c r="M86" s="108"/>
      <c r="N86" s="108"/>
      <c r="O86" s="108"/>
      <c r="P86" s="108"/>
      <c r="Q86" s="108"/>
      <c r="R86" s="108"/>
      <c r="S86" s="108"/>
      <c r="T86" s="108"/>
      <c r="U86" s="108"/>
      <c r="V86" s="108"/>
      <c r="W86" s="108"/>
      <c r="X86" s="108"/>
      <c r="Y86" s="108"/>
    </row>
    <row r="87" hidden="1">
      <c r="A87" s="108"/>
      <c r="B87" s="134" t="s">
        <v>1943</v>
      </c>
      <c r="C87" s="134" t="s">
        <v>2120</v>
      </c>
      <c r="D87" s="145" t="s">
        <v>2121</v>
      </c>
      <c r="E87" s="134" t="s">
        <v>2099</v>
      </c>
      <c r="F87" s="221">
        <v>45038.0</v>
      </c>
      <c r="G87" s="274">
        <v>45068.0</v>
      </c>
      <c r="H87" s="273"/>
      <c r="I87" s="108"/>
      <c r="J87" s="108"/>
      <c r="K87" s="108"/>
      <c r="L87" s="108"/>
      <c r="M87" s="108"/>
      <c r="N87" s="108"/>
      <c r="O87" s="108"/>
      <c r="P87" s="108"/>
      <c r="Q87" s="108"/>
      <c r="R87" s="108"/>
      <c r="S87" s="108"/>
      <c r="T87" s="108"/>
      <c r="U87" s="108"/>
      <c r="V87" s="108"/>
      <c r="W87" s="108"/>
      <c r="X87" s="108"/>
      <c r="Y87" s="108"/>
    </row>
    <row r="88" hidden="1">
      <c r="A88" s="108"/>
      <c r="B88" s="134" t="s">
        <v>1943</v>
      </c>
      <c r="C88" s="134" t="s">
        <v>1955</v>
      </c>
      <c r="D88" s="145" t="s">
        <v>2122</v>
      </c>
      <c r="E88" s="134" t="s">
        <v>2123</v>
      </c>
      <c r="F88" s="221">
        <v>45161.0</v>
      </c>
      <c r="G88" s="274">
        <v>45161.0</v>
      </c>
      <c r="H88" s="273"/>
      <c r="I88" s="108"/>
      <c r="J88" s="108"/>
      <c r="K88" s="108"/>
      <c r="L88" s="108"/>
      <c r="M88" s="108"/>
      <c r="N88" s="108"/>
      <c r="O88" s="108"/>
      <c r="P88" s="108"/>
      <c r="Q88" s="108"/>
      <c r="R88" s="108"/>
      <c r="S88" s="108"/>
      <c r="T88" s="108"/>
      <c r="U88" s="108"/>
      <c r="V88" s="108"/>
      <c r="W88" s="108"/>
      <c r="X88" s="108"/>
      <c r="Y88" s="108"/>
    </row>
    <row r="89" hidden="1">
      <c r="A89" s="108"/>
      <c r="B89" s="134" t="s">
        <v>1943</v>
      </c>
      <c r="C89" s="134" t="s">
        <v>1918</v>
      </c>
      <c r="D89" s="145" t="s">
        <v>2124</v>
      </c>
      <c r="E89" s="134" t="s">
        <v>2125</v>
      </c>
      <c r="F89" s="221">
        <v>45161.0</v>
      </c>
      <c r="G89" s="246" t="s">
        <v>1977</v>
      </c>
      <c r="H89" s="145" t="s">
        <v>2126</v>
      </c>
      <c r="I89" s="108"/>
      <c r="J89" s="108"/>
      <c r="K89" s="108"/>
      <c r="L89" s="108"/>
      <c r="M89" s="108"/>
      <c r="N89" s="108"/>
      <c r="O89" s="108"/>
      <c r="P89" s="108"/>
      <c r="Q89" s="108"/>
      <c r="R89" s="108"/>
      <c r="S89" s="108"/>
      <c r="T89" s="108"/>
      <c r="U89" s="108"/>
      <c r="V89" s="108"/>
      <c r="W89" s="108"/>
      <c r="X89" s="108"/>
      <c r="Y89" s="108"/>
    </row>
    <row r="90" hidden="1">
      <c r="A90" s="108"/>
      <c r="B90" s="134" t="s">
        <v>1943</v>
      </c>
      <c r="C90" s="134" t="s">
        <v>1947</v>
      </c>
      <c r="D90" s="145" t="s">
        <v>2127</v>
      </c>
      <c r="E90" s="134" t="s">
        <v>2128</v>
      </c>
      <c r="F90" s="221">
        <v>45222.0</v>
      </c>
      <c r="G90" s="246" t="s">
        <v>1977</v>
      </c>
      <c r="H90" s="273"/>
      <c r="I90" s="108"/>
      <c r="J90" s="108"/>
      <c r="K90" s="108"/>
      <c r="L90" s="108"/>
      <c r="M90" s="108"/>
      <c r="N90" s="108"/>
      <c r="O90" s="108"/>
      <c r="P90" s="108"/>
      <c r="Q90" s="108"/>
      <c r="R90" s="108"/>
      <c r="S90" s="108"/>
      <c r="T90" s="108"/>
      <c r="U90" s="108"/>
      <c r="V90" s="108"/>
      <c r="W90" s="108"/>
      <c r="X90" s="108"/>
      <c r="Y90" s="108"/>
    </row>
    <row r="91" hidden="1">
      <c r="A91" s="108"/>
      <c r="B91" s="134" t="s">
        <v>2129</v>
      </c>
      <c r="C91" s="134" t="s">
        <v>2130</v>
      </c>
      <c r="D91" s="145" t="s">
        <v>2131</v>
      </c>
      <c r="E91" s="134" t="s">
        <v>2132</v>
      </c>
      <c r="F91" s="221">
        <v>44564.0</v>
      </c>
      <c r="G91" s="277">
        <v>44567.0</v>
      </c>
      <c r="H91" s="273"/>
      <c r="I91" s="108"/>
      <c r="J91" s="108"/>
      <c r="K91" s="108"/>
      <c r="L91" s="108"/>
      <c r="M91" s="108"/>
      <c r="N91" s="108"/>
      <c r="O91" s="108"/>
      <c r="P91" s="108"/>
      <c r="Q91" s="108"/>
      <c r="R91" s="108"/>
      <c r="S91" s="108"/>
      <c r="T91" s="108"/>
      <c r="U91" s="108"/>
      <c r="V91" s="108"/>
      <c r="W91" s="108"/>
      <c r="X91" s="108"/>
      <c r="Y91" s="108"/>
    </row>
    <row r="92" hidden="1">
      <c r="A92" s="108"/>
      <c r="B92" s="134" t="s">
        <v>2129</v>
      </c>
      <c r="C92" s="134" t="s">
        <v>2133</v>
      </c>
      <c r="D92" s="145" t="s">
        <v>2134</v>
      </c>
      <c r="E92" s="134" t="s">
        <v>2135</v>
      </c>
      <c r="F92" s="221">
        <v>44564.0</v>
      </c>
      <c r="G92" s="277">
        <v>44565.0</v>
      </c>
      <c r="H92" s="273"/>
      <c r="I92" s="108"/>
      <c r="J92" s="108"/>
      <c r="K92" s="108"/>
      <c r="L92" s="108"/>
      <c r="M92" s="108"/>
      <c r="N92" s="108"/>
      <c r="O92" s="108"/>
      <c r="P92" s="108"/>
      <c r="Q92" s="108"/>
      <c r="R92" s="108"/>
      <c r="S92" s="108"/>
      <c r="T92" s="108"/>
      <c r="U92" s="108"/>
      <c r="V92" s="108"/>
      <c r="W92" s="108"/>
      <c r="X92" s="108"/>
      <c r="Y92" s="108"/>
    </row>
    <row r="93" hidden="1">
      <c r="A93" s="108"/>
      <c r="B93" s="134" t="s">
        <v>2129</v>
      </c>
      <c r="C93" s="134" t="s">
        <v>2136</v>
      </c>
      <c r="D93" s="145" t="s">
        <v>2137</v>
      </c>
      <c r="E93" s="134" t="s">
        <v>2138</v>
      </c>
      <c r="F93" s="221">
        <v>44565.0</v>
      </c>
      <c r="G93" s="277">
        <v>44569.0</v>
      </c>
      <c r="H93" s="273"/>
      <c r="I93" s="108"/>
      <c r="J93" s="108"/>
      <c r="K93" s="108"/>
      <c r="L93" s="108"/>
      <c r="M93" s="108"/>
      <c r="N93" s="108"/>
      <c r="O93" s="108"/>
      <c r="P93" s="108"/>
      <c r="Q93" s="108"/>
      <c r="R93" s="108"/>
      <c r="S93" s="108"/>
      <c r="T93" s="108"/>
      <c r="U93" s="108"/>
      <c r="V93" s="108"/>
      <c r="W93" s="108"/>
      <c r="X93" s="108"/>
      <c r="Y93" s="108"/>
    </row>
    <row r="94" hidden="1">
      <c r="A94" s="108"/>
      <c r="B94" s="134" t="s">
        <v>2129</v>
      </c>
      <c r="C94" s="134" t="s">
        <v>2139</v>
      </c>
      <c r="D94" s="145" t="s">
        <v>2140</v>
      </c>
      <c r="E94" s="134" t="s">
        <v>2141</v>
      </c>
      <c r="F94" s="221">
        <v>44937.0</v>
      </c>
      <c r="G94" s="277">
        <v>44928.0</v>
      </c>
      <c r="H94" s="273"/>
      <c r="I94" s="108"/>
      <c r="J94" s="108"/>
      <c r="K94" s="108"/>
      <c r="L94" s="108"/>
      <c r="M94" s="108"/>
      <c r="N94" s="108"/>
      <c r="O94" s="108"/>
      <c r="P94" s="108"/>
      <c r="Q94" s="108"/>
      <c r="R94" s="108"/>
      <c r="S94" s="108"/>
      <c r="T94" s="108"/>
      <c r="U94" s="108"/>
      <c r="V94" s="108"/>
      <c r="W94" s="108"/>
      <c r="X94" s="108"/>
      <c r="Y94" s="108"/>
    </row>
    <row r="95" hidden="1">
      <c r="A95" s="108"/>
      <c r="B95" s="134" t="s">
        <v>2129</v>
      </c>
      <c r="C95" s="134" t="s">
        <v>1952</v>
      </c>
      <c r="D95" s="145" t="s">
        <v>2142</v>
      </c>
      <c r="E95" s="134" t="s">
        <v>2143</v>
      </c>
      <c r="F95" s="221">
        <v>44928.0</v>
      </c>
      <c r="G95" s="277">
        <v>44930.0</v>
      </c>
      <c r="H95" s="273"/>
      <c r="I95" s="108"/>
      <c r="J95" s="108"/>
      <c r="K95" s="108"/>
      <c r="L95" s="108"/>
      <c r="M95" s="108"/>
      <c r="N95" s="108"/>
      <c r="O95" s="108"/>
      <c r="P95" s="108"/>
      <c r="Q95" s="108"/>
      <c r="R95" s="108"/>
      <c r="S95" s="108"/>
      <c r="T95" s="108"/>
      <c r="U95" s="108"/>
      <c r="V95" s="108"/>
      <c r="W95" s="108"/>
      <c r="X95" s="108"/>
      <c r="Y95" s="108"/>
    </row>
    <row r="96" hidden="1">
      <c r="A96" s="108"/>
      <c r="B96" s="134" t="s">
        <v>2129</v>
      </c>
      <c r="C96" s="134" t="s">
        <v>1969</v>
      </c>
      <c r="D96" s="145" t="s">
        <v>2144</v>
      </c>
      <c r="E96" s="134" t="s">
        <v>2145</v>
      </c>
      <c r="F96" s="221">
        <v>44928.0</v>
      </c>
      <c r="G96" s="277">
        <v>44931.0</v>
      </c>
      <c r="H96" s="145" t="s">
        <v>2146</v>
      </c>
      <c r="I96" s="108"/>
      <c r="J96" s="108"/>
      <c r="K96" s="108"/>
      <c r="L96" s="108"/>
      <c r="M96" s="108"/>
      <c r="N96" s="108"/>
      <c r="O96" s="108"/>
      <c r="P96" s="108"/>
      <c r="Q96" s="108"/>
      <c r="R96" s="108"/>
      <c r="S96" s="108"/>
      <c r="T96" s="108"/>
      <c r="U96" s="108"/>
      <c r="V96" s="108"/>
      <c r="W96" s="108"/>
      <c r="X96" s="108"/>
      <c r="Y96" s="108"/>
    </row>
    <row r="97" hidden="1">
      <c r="A97" s="108"/>
      <c r="B97" s="134" t="s">
        <v>2129</v>
      </c>
      <c r="C97" s="134" t="s">
        <v>514</v>
      </c>
      <c r="D97" s="145" t="s">
        <v>1971</v>
      </c>
      <c r="E97" s="134"/>
      <c r="F97" s="246" t="s">
        <v>1944</v>
      </c>
      <c r="G97" s="246"/>
      <c r="H97" s="273"/>
      <c r="I97" s="108"/>
      <c r="J97" s="108"/>
      <c r="K97" s="108"/>
      <c r="L97" s="108"/>
      <c r="M97" s="108"/>
      <c r="N97" s="108"/>
      <c r="O97" s="108"/>
      <c r="P97" s="108"/>
      <c r="Q97" s="108"/>
      <c r="R97" s="108"/>
      <c r="S97" s="108"/>
      <c r="T97" s="108"/>
      <c r="U97" s="108"/>
      <c r="V97" s="108"/>
      <c r="W97" s="108"/>
      <c r="X97" s="108"/>
      <c r="Y97" s="108"/>
    </row>
    <row r="98" hidden="1">
      <c r="A98" s="108"/>
      <c r="B98" s="134" t="s">
        <v>2129</v>
      </c>
      <c r="C98" s="134" t="s">
        <v>2147</v>
      </c>
      <c r="D98" s="145" t="s">
        <v>2148</v>
      </c>
      <c r="E98" s="134"/>
      <c r="F98" s="246" t="s">
        <v>1944</v>
      </c>
      <c r="G98" s="246"/>
      <c r="H98" s="273"/>
      <c r="I98" s="108"/>
      <c r="J98" s="108"/>
      <c r="K98" s="108"/>
      <c r="L98" s="108"/>
      <c r="M98" s="108"/>
      <c r="N98" s="108"/>
      <c r="O98" s="108"/>
      <c r="P98" s="108"/>
      <c r="Q98" s="108"/>
      <c r="R98" s="108"/>
      <c r="S98" s="108"/>
      <c r="T98" s="108"/>
      <c r="U98" s="108"/>
      <c r="V98" s="108"/>
      <c r="W98" s="108"/>
      <c r="X98" s="108"/>
      <c r="Y98" s="108"/>
    </row>
    <row r="99" hidden="1">
      <c r="A99" s="108"/>
      <c r="B99" s="134" t="s">
        <v>2129</v>
      </c>
      <c r="C99" s="134" t="s">
        <v>2149</v>
      </c>
      <c r="D99" s="145" t="s">
        <v>2150</v>
      </c>
      <c r="E99" s="134" t="s">
        <v>2151</v>
      </c>
      <c r="F99" s="221">
        <v>44934.0</v>
      </c>
      <c r="G99" s="246" t="s">
        <v>1904</v>
      </c>
      <c r="H99" s="273"/>
      <c r="I99" s="108"/>
      <c r="J99" s="108"/>
      <c r="K99" s="108"/>
      <c r="L99" s="108"/>
      <c r="M99" s="108"/>
      <c r="N99" s="108"/>
      <c r="O99" s="108"/>
      <c r="P99" s="108"/>
      <c r="Q99" s="108"/>
      <c r="R99" s="108"/>
      <c r="S99" s="108"/>
      <c r="T99" s="108"/>
      <c r="U99" s="108"/>
      <c r="V99" s="108"/>
      <c r="W99" s="108"/>
      <c r="X99" s="108"/>
      <c r="Y99" s="108"/>
    </row>
    <row r="100" hidden="1">
      <c r="A100" s="108"/>
      <c r="B100" s="134" t="s">
        <v>2027</v>
      </c>
      <c r="C100" s="134" t="s">
        <v>2152</v>
      </c>
      <c r="D100" s="145" t="s">
        <v>2153</v>
      </c>
      <c r="E100" s="134" t="s">
        <v>2154</v>
      </c>
      <c r="F100" s="221">
        <v>45108.0</v>
      </c>
      <c r="G100" s="276">
        <v>45170.0</v>
      </c>
      <c r="H100" s="273"/>
      <c r="I100" s="108"/>
      <c r="J100" s="108"/>
      <c r="K100" s="108"/>
      <c r="L100" s="108"/>
      <c r="M100" s="108"/>
      <c r="N100" s="108"/>
      <c r="O100" s="108"/>
      <c r="P100" s="108"/>
      <c r="Q100" s="108"/>
      <c r="R100" s="108"/>
      <c r="S100" s="108"/>
      <c r="T100" s="108"/>
      <c r="U100" s="108"/>
      <c r="V100" s="108"/>
      <c r="W100" s="108"/>
      <c r="X100" s="108"/>
      <c r="Y100" s="108"/>
    </row>
    <row r="101" hidden="1">
      <c r="A101" s="108"/>
      <c r="B101" s="134" t="s">
        <v>2027</v>
      </c>
      <c r="C101" s="134" t="s">
        <v>2155</v>
      </c>
      <c r="D101" s="145" t="s">
        <v>2156</v>
      </c>
      <c r="E101" s="134" t="s">
        <v>2157</v>
      </c>
      <c r="F101" s="221">
        <v>45170.0</v>
      </c>
      <c r="G101" s="276">
        <v>45200.0</v>
      </c>
      <c r="H101" s="273"/>
      <c r="I101" s="108"/>
      <c r="J101" s="108"/>
      <c r="K101" s="108"/>
      <c r="L101" s="108"/>
      <c r="M101" s="108"/>
      <c r="N101" s="108"/>
      <c r="O101" s="108"/>
      <c r="P101" s="108"/>
      <c r="Q101" s="108"/>
      <c r="R101" s="108"/>
      <c r="S101" s="108"/>
      <c r="T101" s="108"/>
      <c r="U101" s="108"/>
      <c r="V101" s="108"/>
      <c r="W101" s="108"/>
      <c r="X101" s="108"/>
      <c r="Y101" s="108"/>
    </row>
    <row r="102" hidden="1">
      <c r="A102" s="108"/>
      <c r="B102" s="134" t="s">
        <v>1890</v>
      </c>
      <c r="C102" s="134" t="s">
        <v>2158</v>
      </c>
      <c r="D102" s="145" t="s">
        <v>2159</v>
      </c>
      <c r="E102" s="134" t="s">
        <v>2160</v>
      </c>
      <c r="F102" s="221">
        <v>45170.0</v>
      </c>
      <c r="G102" s="276">
        <v>45261.0</v>
      </c>
      <c r="H102" s="273"/>
      <c r="I102" s="108"/>
      <c r="J102" s="108"/>
      <c r="K102" s="108"/>
      <c r="L102" s="108"/>
      <c r="M102" s="108"/>
      <c r="N102" s="108"/>
      <c r="O102" s="108"/>
      <c r="P102" s="108"/>
      <c r="Q102" s="108"/>
      <c r="R102" s="108"/>
      <c r="S102" s="108"/>
      <c r="T102" s="108"/>
      <c r="U102" s="108"/>
      <c r="V102" s="108"/>
      <c r="W102" s="108"/>
      <c r="X102" s="108"/>
      <c r="Y102" s="108"/>
    </row>
    <row r="103" hidden="1">
      <c r="A103" s="108"/>
      <c r="B103" s="134" t="s">
        <v>1890</v>
      </c>
      <c r="C103" s="134" t="s">
        <v>2158</v>
      </c>
      <c r="D103" s="145" t="s">
        <v>2161</v>
      </c>
      <c r="E103" s="134" t="s">
        <v>2162</v>
      </c>
      <c r="F103" s="221">
        <v>45200.0</v>
      </c>
      <c r="G103" s="246" t="s">
        <v>1904</v>
      </c>
      <c r="H103" s="145" t="s">
        <v>2163</v>
      </c>
      <c r="I103" s="108"/>
      <c r="J103" s="108"/>
      <c r="K103" s="108"/>
      <c r="L103" s="108"/>
      <c r="M103" s="108"/>
      <c r="N103" s="108"/>
      <c r="O103" s="108"/>
      <c r="P103" s="108"/>
      <c r="Q103" s="108"/>
      <c r="R103" s="108"/>
      <c r="S103" s="108"/>
      <c r="T103" s="108"/>
      <c r="U103" s="108"/>
      <c r="V103" s="108"/>
      <c r="W103" s="108"/>
      <c r="X103" s="108"/>
      <c r="Y103" s="108"/>
    </row>
    <row r="104" hidden="1">
      <c r="A104" s="108"/>
      <c r="B104" s="134" t="s">
        <v>1890</v>
      </c>
      <c r="C104" s="134" t="s">
        <v>2158</v>
      </c>
      <c r="D104" s="145" t="s">
        <v>2164</v>
      </c>
      <c r="E104" s="134" t="s">
        <v>2165</v>
      </c>
      <c r="F104" s="221">
        <v>45200.0</v>
      </c>
      <c r="G104" s="246" t="s">
        <v>1904</v>
      </c>
      <c r="H104" s="273"/>
      <c r="I104" s="108"/>
      <c r="J104" s="108"/>
      <c r="K104" s="108"/>
      <c r="L104" s="108"/>
      <c r="M104" s="108"/>
      <c r="N104" s="108"/>
      <c r="O104" s="108"/>
      <c r="P104" s="108"/>
      <c r="Q104" s="108"/>
      <c r="R104" s="108"/>
      <c r="S104" s="108"/>
      <c r="T104" s="108"/>
      <c r="U104" s="108"/>
      <c r="V104" s="108"/>
      <c r="W104" s="108"/>
      <c r="X104" s="108"/>
      <c r="Y104" s="108"/>
    </row>
    <row r="105" hidden="1">
      <c r="A105" s="108"/>
      <c r="B105" s="134" t="s">
        <v>1890</v>
      </c>
      <c r="C105" s="134" t="s">
        <v>2158</v>
      </c>
      <c r="D105" s="145" t="s">
        <v>2164</v>
      </c>
      <c r="E105" s="134" t="s">
        <v>2166</v>
      </c>
      <c r="F105" s="221">
        <v>45231.0</v>
      </c>
      <c r="G105" s="246" t="s">
        <v>1904</v>
      </c>
      <c r="H105" s="145" t="s">
        <v>2163</v>
      </c>
      <c r="I105" s="108"/>
      <c r="J105" s="108"/>
      <c r="K105" s="108"/>
      <c r="L105" s="108"/>
      <c r="M105" s="108"/>
      <c r="N105" s="108"/>
      <c r="O105" s="108"/>
      <c r="P105" s="108"/>
      <c r="Q105" s="108"/>
      <c r="R105" s="108"/>
      <c r="S105" s="108"/>
      <c r="T105" s="108"/>
      <c r="U105" s="108"/>
      <c r="V105" s="108"/>
      <c r="W105" s="108"/>
      <c r="X105" s="108"/>
      <c r="Y105" s="108"/>
    </row>
    <row r="106" hidden="1">
      <c r="A106" s="108"/>
      <c r="B106" s="134" t="s">
        <v>2167</v>
      </c>
      <c r="C106" s="134" t="s">
        <v>2168</v>
      </c>
      <c r="D106" s="145" t="s">
        <v>2169</v>
      </c>
      <c r="E106" s="134" t="s">
        <v>2170</v>
      </c>
      <c r="F106" s="221">
        <v>43344.0</v>
      </c>
      <c r="G106" s="276">
        <v>44256.0</v>
      </c>
      <c r="H106" s="273"/>
      <c r="I106" s="108"/>
      <c r="J106" s="108"/>
      <c r="K106" s="108"/>
      <c r="L106" s="108"/>
      <c r="M106" s="108"/>
      <c r="N106" s="108"/>
      <c r="O106" s="108"/>
      <c r="P106" s="108"/>
      <c r="Q106" s="108"/>
      <c r="R106" s="108"/>
      <c r="S106" s="108"/>
      <c r="T106" s="108"/>
      <c r="U106" s="108"/>
      <c r="V106" s="108"/>
      <c r="W106" s="108"/>
      <c r="X106" s="108"/>
      <c r="Y106" s="108"/>
    </row>
    <row r="107" hidden="1">
      <c r="A107" s="108"/>
      <c r="B107" s="134" t="s">
        <v>2167</v>
      </c>
      <c r="C107" s="134" t="s">
        <v>2171</v>
      </c>
      <c r="D107" s="145" t="s">
        <v>2172</v>
      </c>
      <c r="E107" s="134" t="s">
        <v>2173</v>
      </c>
      <c r="F107" s="221">
        <v>44470.0</v>
      </c>
      <c r="G107" s="276">
        <v>44531.0</v>
      </c>
      <c r="H107" s="273"/>
      <c r="I107" s="108"/>
      <c r="J107" s="108"/>
      <c r="K107" s="108"/>
      <c r="L107" s="108"/>
      <c r="M107" s="108"/>
      <c r="N107" s="108"/>
      <c r="O107" s="108"/>
      <c r="P107" s="108"/>
      <c r="Q107" s="108"/>
      <c r="R107" s="108"/>
      <c r="S107" s="108"/>
      <c r="T107" s="108"/>
      <c r="U107" s="108"/>
      <c r="V107" s="108"/>
      <c r="W107" s="108"/>
      <c r="X107" s="108"/>
      <c r="Y107" s="108"/>
    </row>
    <row r="108" hidden="1">
      <c r="A108" s="108"/>
      <c r="B108" s="134" t="s">
        <v>2167</v>
      </c>
      <c r="C108" s="134" t="s">
        <v>2174</v>
      </c>
      <c r="D108" s="145" t="s">
        <v>2175</v>
      </c>
      <c r="E108" s="134" t="s">
        <v>2176</v>
      </c>
      <c r="F108" s="221">
        <v>44713.0</v>
      </c>
      <c r="G108" s="276">
        <v>44743.0</v>
      </c>
      <c r="H108" s="273"/>
      <c r="I108" s="108"/>
      <c r="J108" s="108"/>
      <c r="K108" s="108"/>
      <c r="L108" s="108"/>
      <c r="M108" s="108"/>
      <c r="N108" s="108"/>
      <c r="O108" s="108"/>
      <c r="P108" s="108"/>
      <c r="Q108" s="108"/>
      <c r="R108" s="108"/>
      <c r="S108" s="108"/>
      <c r="T108" s="108"/>
      <c r="U108" s="108"/>
      <c r="V108" s="108"/>
      <c r="W108" s="108"/>
      <c r="X108" s="108"/>
      <c r="Y108" s="108"/>
    </row>
    <row r="109" hidden="1">
      <c r="A109" s="108"/>
      <c r="B109" s="134" t="s">
        <v>2167</v>
      </c>
      <c r="C109" s="134" t="s">
        <v>2177</v>
      </c>
      <c r="D109" s="145" t="s">
        <v>2178</v>
      </c>
      <c r="E109" s="134" t="s">
        <v>2179</v>
      </c>
      <c r="F109" s="221">
        <v>44774.0</v>
      </c>
      <c r="G109" s="276">
        <v>44896.0</v>
      </c>
      <c r="H109" s="273"/>
      <c r="I109" s="108"/>
      <c r="J109" s="108"/>
      <c r="K109" s="108"/>
      <c r="L109" s="108"/>
      <c r="M109" s="108"/>
      <c r="N109" s="108"/>
      <c r="O109" s="108"/>
      <c r="P109" s="108"/>
      <c r="Q109" s="108"/>
      <c r="R109" s="108"/>
      <c r="S109" s="108"/>
      <c r="T109" s="108"/>
      <c r="U109" s="108"/>
      <c r="V109" s="108"/>
      <c r="W109" s="108"/>
      <c r="X109" s="108"/>
      <c r="Y109" s="108"/>
    </row>
    <row r="110" hidden="1">
      <c r="A110" s="108"/>
      <c r="B110" s="134" t="s">
        <v>2167</v>
      </c>
      <c r="C110" s="134" t="s">
        <v>2180</v>
      </c>
      <c r="D110" s="145" t="s">
        <v>2181</v>
      </c>
      <c r="E110" s="134" t="s">
        <v>2182</v>
      </c>
      <c r="F110" s="221">
        <v>44774.0</v>
      </c>
      <c r="G110" s="276">
        <v>44835.0</v>
      </c>
      <c r="H110" s="273"/>
      <c r="I110" s="108"/>
      <c r="J110" s="108"/>
      <c r="K110" s="108"/>
      <c r="L110" s="108"/>
      <c r="M110" s="108"/>
      <c r="N110" s="108"/>
      <c r="O110" s="108"/>
      <c r="P110" s="108"/>
      <c r="Q110" s="108"/>
      <c r="R110" s="108"/>
      <c r="S110" s="108"/>
      <c r="T110" s="108"/>
      <c r="U110" s="108"/>
      <c r="V110" s="108"/>
      <c r="W110" s="108"/>
      <c r="X110" s="108"/>
      <c r="Y110" s="108"/>
    </row>
    <row r="111" hidden="1">
      <c r="A111" s="108"/>
      <c r="B111" s="134" t="s">
        <v>2167</v>
      </c>
      <c r="C111" s="134" t="s">
        <v>1915</v>
      </c>
      <c r="D111" s="145" t="s">
        <v>2183</v>
      </c>
      <c r="E111" s="134" t="s">
        <v>2184</v>
      </c>
      <c r="F111" s="221">
        <v>44805.0</v>
      </c>
      <c r="G111" s="276">
        <v>44896.0</v>
      </c>
      <c r="H111" s="273"/>
      <c r="I111" s="108"/>
      <c r="J111" s="108"/>
      <c r="K111" s="108"/>
      <c r="L111" s="108"/>
      <c r="M111" s="108"/>
      <c r="N111" s="108"/>
      <c r="O111" s="108"/>
      <c r="P111" s="108"/>
      <c r="Q111" s="108"/>
      <c r="R111" s="108"/>
      <c r="S111" s="108"/>
      <c r="T111" s="108"/>
      <c r="U111" s="108"/>
      <c r="V111" s="108"/>
      <c r="W111" s="108"/>
      <c r="X111" s="108"/>
      <c r="Y111" s="108"/>
    </row>
    <row r="112" hidden="1">
      <c r="A112" s="108"/>
      <c r="B112" s="134" t="s">
        <v>2167</v>
      </c>
      <c r="C112" s="134" t="s">
        <v>1915</v>
      </c>
      <c r="D112" s="145" t="s">
        <v>2185</v>
      </c>
      <c r="E112" s="134" t="s">
        <v>2186</v>
      </c>
      <c r="F112" s="221">
        <v>44896.0</v>
      </c>
      <c r="G112" s="276">
        <v>44896.0</v>
      </c>
      <c r="H112" s="273"/>
      <c r="I112" s="108"/>
      <c r="J112" s="108"/>
      <c r="K112" s="108"/>
      <c r="L112" s="108"/>
      <c r="M112" s="108"/>
      <c r="N112" s="108"/>
      <c r="O112" s="108"/>
      <c r="P112" s="108"/>
      <c r="Q112" s="108"/>
      <c r="R112" s="108"/>
      <c r="S112" s="108"/>
      <c r="T112" s="108"/>
      <c r="U112" s="108"/>
      <c r="V112" s="108"/>
      <c r="W112" s="108"/>
      <c r="X112" s="108"/>
      <c r="Y112" s="108"/>
    </row>
    <row r="113" hidden="1">
      <c r="A113" s="108"/>
      <c r="B113" s="134" t="s">
        <v>2167</v>
      </c>
      <c r="C113" s="134" t="s">
        <v>1915</v>
      </c>
      <c r="D113" s="145" t="s">
        <v>1916</v>
      </c>
      <c r="E113" s="134" t="s">
        <v>1917</v>
      </c>
      <c r="F113" s="221">
        <v>44927.0</v>
      </c>
      <c r="G113" s="276">
        <v>44927.0</v>
      </c>
      <c r="H113" s="273"/>
      <c r="I113" s="108"/>
      <c r="J113" s="108"/>
      <c r="K113" s="108"/>
      <c r="L113" s="108"/>
      <c r="M113" s="108"/>
      <c r="N113" s="108"/>
      <c r="O113" s="108"/>
      <c r="P113" s="108"/>
      <c r="Q113" s="108"/>
      <c r="R113" s="108"/>
      <c r="S113" s="108"/>
      <c r="T113" s="108"/>
      <c r="U113" s="108"/>
      <c r="V113" s="108"/>
      <c r="W113" s="108"/>
      <c r="X113" s="108"/>
      <c r="Y113" s="108"/>
    </row>
    <row r="114" hidden="1">
      <c r="A114" s="108"/>
      <c r="B114" s="134" t="s">
        <v>2167</v>
      </c>
      <c r="C114" s="134" t="s">
        <v>1918</v>
      </c>
      <c r="D114" s="145" t="s">
        <v>1919</v>
      </c>
      <c r="E114" s="134" t="s">
        <v>1920</v>
      </c>
      <c r="F114" s="221">
        <v>45374.0</v>
      </c>
      <c r="G114" s="278">
        <v>45435.0</v>
      </c>
      <c r="H114" s="273"/>
      <c r="I114" s="108"/>
      <c r="J114" s="108"/>
      <c r="K114" s="108"/>
      <c r="L114" s="108"/>
      <c r="M114" s="108"/>
      <c r="N114" s="108"/>
      <c r="O114" s="108"/>
      <c r="P114" s="108"/>
      <c r="Q114" s="108"/>
      <c r="R114" s="108"/>
      <c r="S114" s="108"/>
      <c r="T114" s="108"/>
      <c r="U114" s="108"/>
      <c r="V114" s="108"/>
      <c r="W114" s="108"/>
      <c r="X114" s="108"/>
      <c r="Y114" s="108"/>
    </row>
    <row r="115" hidden="1">
      <c r="A115" s="108"/>
      <c r="B115" s="134" t="s">
        <v>2167</v>
      </c>
      <c r="C115" s="134" t="s">
        <v>2187</v>
      </c>
      <c r="D115" s="145" t="s">
        <v>2188</v>
      </c>
      <c r="E115" s="134" t="s">
        <v>1977</v>
      </c>
      <c r="F115" s="221">
        <v>45466.0</v>
      </c>
      <c r="G115" s="246"/>
      <c r="H115" s="273"/>
      <c r="I115" s="108"/>
      <c r="J115" s="108"/>
      <c r="K115" s="108"/>
      <c r="L115" s="108"/>
      <c r="M115" s="108"/>
      <c r="N115" s="108"/>
      <c r="O115" s="108"/>
      <c r="P115" s="108"/>
      <c r="Q115" s="108"/>
      <c r="R115" s="108"/>
      <c r="S115" s="108"/>
      <c r="T115" s="108"/>
      <c r="U115" s="108"/>
      <c r="V115" s="108"/>
      <c r="W115" s="108"/>
      <c r="X115" s="108"/>
      <c r="Y115" s="108"/>
    </row>
    <row r="116" hidden="1">
      <c r="A116" s="108"/>
      <c r="B116" s="134" t="s">
        <v>2167</v>
      </c>
      <c r="C116" s="134" t="s">
        <v>1921</v>
      </c>
      <c r="D116" s="145" t="s">
        <v>2189</v>
      </c>
      <c r="E116" s="134" t="s">
        <v>1923</v>
      </c>
      <c r="F116" s="221">
        <v>45466.0</v>
      </c>
      <c r="G116" s="278">
        <v>45466.0</v>
      </c>
      <c r="H116" s="273"/>
      <c r="I116" s="108"/>
      <c r="J116" s="108"/>
      <c r="K116" s="108"/>
      <c r="L116" s="108"/>
      <c r="M116" s="108"/>
      <c r="N116" s="108"/>
      <c r="O116" s="108"/>
      <c r="P116" s="108"/>
      <c r="Q116" s="108"/>
      <c r="R116" s="108"/>
      <c r="S116" s="108"/>
      <c r="T116" s="108"/>
      <c r="U116" s="108"/>
      <c r="V116" s="108"/>
      <c r="W116" s="108"/>
      <c r="X116" s="108"/>
      <c r="Y116" s="108"/>
    </row>
    <row r="117" hidden="1">
      <c r="A117" s="108"/>
      <c r="B117" s="134" t="s">
        <v>2167</v>
      </c>
      <c r="C117" s="134" t="s">
        <v>2187</v>
      </c>
      <c r="D117" s="145" t="s">
        <v>2188</v>
      </c>
      <c r="E117" s="134" t="s">
        <v>2190</v>
      </c>
      <c r="F117" s="221">
        <v>45527.0</v>
      </c>
      <c r="G117" s="278">
        <v>45527.0</v>
      </c>
      <c r="H117" s="273"/>
      <c r="I117" s="108"/>
      <c r="J117" s="108"/>
      <c r="K117" s="108"/>
      <c r="L117" s="108"/>
      <c r="M117" s="108"/>
      <c r="N117" s="108"/>
      <c r="O117" s="108"/>
      <c r="P117" s="108"/>
      <c r="Q117" s="108"/>
      <c r="R117" s="108"/>
      <c r="S117" s="108"/>
      <c r="T117" s="108"/>
      <c r="U117" s="108"/>
      <c r="V117" s="108"/>
      <c r="W117" s="108"/>
      <c r="X117" s="108"/>
      <c r="Y117" s="108"/>
    </row>
    <row r="118" hidden="1">
      <c r="A118" s="108"/>
      <c r="B118" s="134" t="s">
        <v>2167</v>
      </c>
      <c r="C118" s="134" t="s">
        <v>2045</v>
      </c>
      <c r="D118" s="145" t="s">
        <v>2191</v>
      </c>
      <c r="E118" s="134" t="s">
        <v>1939</v>
      </c>
      <c r="F118" s="221">
        <v>45558.0</v>
      </c>
      <c r="G118" s="246" t="s">
        <v>1904</v>
      </c>
      <c r="H118" s="273"/>
      <c r="I118" s="108"/>
      <c r="J118" s="108"/>
      <c r="K118" s="108"/>
      <c r="L118" s="108"/>
      <c r="M118" s="108"/>
      <c r="N118" s="108"/>
      <c r="O118" s="108"/>
      <c r="P118" s="108"/>
      <c r="Q118" s="108"/>
      <c r="R118" s="108"/>
      <c r="S118" s="108"/>
      <c r="T118" s="108"/>
      <c r="U118" s="108"/>
      <c r="V118" s="108"/>
      <c r="W118" s="108"/>
      <c r="X118" s="108"/>
      <c r="Y118" s="108"/>
    </row>
    <row r="119" hidden="1">
      <c r="A119" s="108"/>
      <c r="B119" s="134" t="s">
        <v>2059</v>
      </c>
      <c r="C119" s="134" t="s">
        <v>2072</v>
      </c>
      <c r="D119" s="145" t="s">
        <v>2087</v>
      </c>
      <c r="E119" s="134" t="s">
        <v>2192</v>
      </c>
      <c r="F119" s="221">
        <v>44933.0</v>
      </c>
      <c r="G119" s="276">
        <v>45231.0</v>
      </c>
      <c r="H119" s="273"/>
      <c r="I119" s="108"/>
      <c r="J119" s="108"/>
      <c r="K119" s="108"/>
      <c r="L119" s="108"/>
      <c r="M119" s="108"/>
      <c r="N119" s="108"/>
      <c r="O119" s="108"/>
      <c r="P119" s="108"/>
      <c r="Q119" s="108"/>
      <c r="R119" s="108"/>
      <c r="S119" s="108"/>
      <c r="T119" s="108"/>
      <c r="U119" s="108"/>
      <c r="V119" s="108"/>
      <c r="W119" s="108"/>
      <c r="X119" s="108"/>
      <c r="Y119" s="108"/>
    </row>
    <row r="120" hidden="1">
      <c r="A120" s="108"/>
      <c r="B120" s="134" t="s">
        <v>2059</v>
      </c>
      <c r="C120" s="134" t="s">
        <v>2193</v>
      </c>
      <c r="D120" s="145" t="s">
        <v>2194</v>
      </c>
      <c r="E120" s="134" t="s">
        <v>2195</v>
      </c>
      <c r="F120" s="221">
        <v>44937.0</v>
      </c>
      <c r="G120" s="246" t="s">
        <v>1904</v>
      </c>
      <c r="H120" s="273"/>
      <c r="I120" s="108"/>
      <c r="J120" s="108"/>
      <c r="K120" s="108"/>
      <c r="L120" s="108"/>
      <c r="M120" s="108"/>
      <c r="N120" s="108"/>
      <c r="O120" s="108"/>
      <c r="P120" s="108"/>
      <c r="Q120" s="108"/>
      <c r="R120" s="108"/>
      <c r="S120" s="108"/>
      <c r="T120" s="108"/>
      <c r="U120" s="108"/>
      <c r="V120" s="108"/>
      <c r="W120" s="108"/>
      <c r="X120" s="108"/>
      <c r="Y120" s="108"/>
    </row>
    <row r="121" hidden="1">
      <c r="A121" s="108"/>
      <c r="B121" s="134" t="s">
        <v>1924</v>
      </c>
      <c r="C121" s="134" t="s">
        <v>1931</v>
      </c>
      <c r="D121" s="145" t="s">
        <v>2196</v>
      </c>
      <c r="E121" s="134" t="s">
        <v>2197</v>
      </c>
      <c r="F121" s="221">
        <v>45231.0</v>
      </c>
      <c r="G121" s="276">
        <v>45231.0</v>
      </c>
      <c r="H121" s="273"/>
      <c r="I121" s="108"/>
      <c r="J121" s="108"/>
      <c r="K121" s="108"/>
      <c r="L121" s="108"/>
      <c r="M121" s="108"/>
      <c r="N121" s="108"/>
      <c r="O121" s="108"/>
      <c r="P121" s="108"/>
      <c r="Q121" s="108"/>
      <c r="R121" s="108"/>
      <c r="S121" s="108"/>
      <c r="T121" s="108"/>
      <c r="U121" s="108"/>
      <c r="V121" s="108"/>
      <c r="W121" s="108"/>
      <c r="X121" s="108"/>
      <c r="Y121" s="108"/>
    </row>
    <row r="122" hidden="1">
      <c r="A122" s="108"/>
      <c r="B122" s="134" t="s">
        <v>1924</v>
      </c>
      <c r="C122" s="134" t="s">
        <v>1931</v>
      </c>
      <c r="D122" s="145" t="s">
        <v>1934</v>
      </c>
      <c r="E122" s="134" t="s">
        <v>2198</v>
      </c>
      <c r="F122" s="221">
        <v>45218.0</v>
      </c>
      <c r="G122" s="277">
        <v>45258.0</v>
      </c>
      <c r="H122" s="145" t="s">
        <v>2199</v>
      </c>
      <c r="I122" s="108"/>
      <c r="J122" s="108"/>
      <c r="K122" s="108"/>
      <c r="L122" s="108"/>
      <c r="M122" s="108"/>
      <c r="N122" s="108"/>
      <c r="O122" s="108"/>
      <c r="P122" s="108"/>
      <c r="Q122" s="108"/>
      <c r="R122" s="108"/>
      <c r="S122" s="108"/>
      <c r="T122" s="108"/>
      <c r="U122" s="108"/>
      <c r="V122" s="108"/>
      <c r="W122" s="108"/>
      <c r="X122" s="108"/>
      <c r="Y122" s="108"/>
    </row>
    <row r="123" hidden="1">
      <c r="A123" s="108"/>
      <c r="B123" s="134" t="s">
        <v>1924</v>
      </c>
      <c r="C123" s="134" t="s">
        <v>1931</v>
      </c>
      <c r="D123" s="145" t="s">
        <v>2200</v>
      </c>
      <c r="E123" s="134" t="s">
        <v>2201</v>
      </c>
      <c r="F123" s="221">
        <v>45261.0</v>
      </c>
      <c r="G123" s="246" t="s">
        <v>1904</v>
      </c>
      <c r="H123" s="273"/>
      <c r="I123" s="108"/>
      <c r="J123" s="108"/>
      <c r="K123" s="108"/>
      <c r="L123" s="108"/>
      <c r="M123" s="108"/>
      <c r="N123" s="108"/>
      <c r="O123" s="108"/>
      <c r="P123" s="108"/>
      <c r="Q123" s="108"/>
      <c r="R123" s="108"/>
      <c r="S123" s="108"/>
      <c r="T123" s="108"/>
      <c r="U123" s="108"/>
      <c r="V123" s="108"/>
      <c r="W123" s="108"/>
      <c r="X123" s="108"/>
      <c r="Y123" s="108"/>
    </row>
    <row r="124" hidden="1">
      <c r="A124" s="108"/>
      <c r="B124" s="134" t="s">
        <v>1924</v>
      </c>
      <c r="C124" s="134" t="s">
        <v>1925</v>
      </c>
      <c r="D124" s="145" t="s">
        <v>2202</v>
      </c>
      <c r="E124" s="134" t="s">
        <v>2203</v>
      </c>
      <c r="F124" s="221">
        <v>45261.0</v>
      </c>
      <c r="G124" s="246" t="s">
        <v>1904</v>
      </c>
      <c r="H124" s="145" t="s">
        <v>2204</v>
      </c>
      <c r="I124" s="108"/>
      <c r="J124" s="108"/>
      <c r="K124" s="108"/>
      <c r="L124" s="108"/>
      <c r="M124" s="108"/>
      <c r="N124" s="108"/>
      <c r="O124" s="108"/>
      <c r="P124" s="108"/>
      <c r="Q124" s="108"/>
      <c r="R124" s="108"/>
      <c r="S124" s="108"/>
      <c r="T124" s="108"/>
      <c r="U124" s="108"/>
      <c r="V124" s="108"/>
      <c r="W124" s="108"/>
      <c r="X124" s="108"/>
      <c r="Y124" s="108"/>
    </row>
    <row r="125" hidden="1">
      <c r="A125" s="108"/>
      <c r="B125" s="134" t="s">
        <v>1979</v>
      </c>
      <c r="C125" s="134" t="s">
        <v>2205</v>
      </c>
      <c r="D125" s="145" t="s">
        <v>2206</v>
      </c>
      <c r="E125" s="134" t="s">
        <v>2207</v>
      </c>
      <c r="F125" s="221">
        <v>44927.0</v>
      </c>
      <c r="G125" s="246" t="s">
        <v>2208</v>
      </c>
      <c r="H125" s="145" t="s">
        <v>1904</v>
      </c>
      <c r="I125" s="108"/>
      <c r="J125" s="108"/>
      <c r="K125" s="108"/>
      <c r="L125" s="108"/>
      <c r="M125" s="108"/>
      <c r="N125" s="108"/>
      <c r="O125" s="108"/>
      <c r="P125" s="108"/>
      <c r="Q125" s="108"/>
      <c r="R125" s="108"/>
      <c r="S125" s="108"/>
      <c r="T125" s="108"/>
      <c r="U125" s="108"/>
      <c r="V125" s="108"/>
      <c r="W125" s="108"/>
      <c r="X125" s="108"/>
      <c r="Y125" s="108"/>
    </row>
    <row r="126" hidden="1">
      <c r="A126" s="108"/>
      <c r="B126" s="134" t="s">
        <v>1979</v>
      </c>
      <c r="C126" s="134" t="s">
        <v>2209</v>
      </c>
      <c r="D126" s="145" t="s">
        <v>2210</v>
      </c>
      <c r="E126" s="134" t="s">
        <v>2211</v>
      </c>
      <c r="F126" s="221">
        <v>44928.0</v>
      </c>
      <c r="G126" s="246" t="s">
        <v>2212</v>
      </c>
      <c r="H126" s="273"/>
      <c r="I126" s="108"/>
      <c r="J126" s="108"/>
      <c r="K126" s="108"/>
      <c r="L126" s="108"/>
      <c r="M126" s="108"/>
      <c r="N126" s="108"/>
      <c r="O126" s="108"/>
      <c r="P126" s="108"/>
      <c r="Q126" s="108"/>
      <c r="R126" s="108"/>
      <c r="S126" s="108"/>
      <c r="T126" s="108"/>
      <c r="U126" s="108"/>
      <c r="V126" s="108"/>
      <c r="W126" s="108"/>
      <c r="X126" s="108"/>
      <c r="Y126" s="108"/>
    </row>
    <row r="127" hidden="1">
      <c r="A127" s="108"/>
      <c r="B127" s="134" t="s">
        <v>2213</v>
      </c>
      <c r="C127" s="134" t="s">
        <v>2214</v>
      </c>
      <c r="D127" s="145" t="s">
        <v>2215</v>
      </c>
      <c r="E127" s="134" t="s">
        <v>2216</v>
      </c>
      <c r="F127" s="221">
        <v>45619.0</v>
      </c>
      <c r="G127" s="246" t="s">
        <v>1904</v>
      </c>
      <c r="H127" s="273"/>
      <c r="I127" s="108"/>
      <c r="J127" s="108"/>
      <c r="K127" s="108"/>
      <c r="L127" s="108"/>
      <c r="M127" s="108"/>
      <c r="N127" s="108"/>
      <c r="O127" s="108"/>
      <c r="P127" s="108"/>
      <c r="Q127" s="108"/>
      <c r="R127" s="108"/>
      <c r="S127" s="108"/>
      <c r="T127" s="108"/>
      <c r="U127" s="108"/>
      <c r="V127" s="108"/>
      <c r="W127" s="108"/>
      <c r="X127" s="108"/>
      <c r="Y127" s="108"/>
    </row>
    <row r="128" hidden="1">
      <c r="A128" s="108"/>
      <c r="B128" s="134" t="s">
        <v>2213</v>
      </c>
      <c r="C128" s="134" t="s">
        <v>2217</v>
      </c>
      <c r="D128" s="145" t="s">
        <v>2218</v>
      </c>
      <c r="E128" s="134" t="s">
        <v>2219</v>
      </c>
      <c r="F128" s="221">
        <v>44929.0</v>
      </c>
      <c r="G128" s="246" t="s">
        <v>2220</v>
      </c>
      <c r="H128" s="145" t="s">
        <v>2221</v>
      </c>
      <c r="I128" s="108"/>
      <c r="J128" s="108"/>
      <c r="K128" s="108"/>
      <c r="L128" s="108"/>
      <c r="M128" s="108"/>
      <c r="N128" s="108"/>
      <c r="O128" s="108"/>
      <c r="P128" s="108"/>
      <c r="Q128" s="108"/>
      <c r="R128" s="108"/>
      <c r="S128" s="108"/>
      <c r="T128" s="108"/>
      <c r="U128" s="108"/>
      <c r="V128" s="108"/>
      <c r="W128" s="108"/>
      <c r="X128" s="108"/>
      <c r="Y128" s="108"/>
    </row>
    <row r="129" hidden="1">
      <c r="A129" s="108"/>
      <c r="B129" s="134" t="s">
        <v>2213</v>
      </c>
      <c r="C129" s="134" t="s">
        <v>2222</v>
      </c>
      <c r="D129" s="145" t="s">
        <v>2223</v>
      </c>
      <c r="E129" s="134" t="s">
        <v>2224</v>
      </c>
      <c r="F129" s="221">
        <v>45236.0</v>
      </c>
      <c r="G129" s="246" t="s">
        <v>2225</v>
      </c>
      <c r="H129" s="273"/>
      <c r="I129" s="108"/>
      <c r="J129" s="108"/>
      <c r="K129" s="108"/>
      <c r="L129" s="108"/>
      <c r="M129" s="108"/>
      <c r="N129" s="108"/>
      <c r="O129" s="108"/>
      <c r="P129" s="108"/>
      <c r="Q129" s="108"/>
      <c r="R129" s="108"/>
      <c r="S129" s="108"/>
      <c r="T129" s="108"/>
      <c r="U129" s="108"/>
      <c r="V129" s="108"/>
      <c r="W129" s="108"/>
      <c r="X129" s="108"/>
      <c r="Y129" s="108"/>
    </row>
    <row r="130" hidden="1">
      <c r="A130" s="108"/>
      <c r="B130" s="134" t="s">
        <v>2213</v>
      </c>
      <c r="C130" s="134" t="s">
        <v>2226</v>
      </c>
      <c r="D130" s="145" t="s">
        <v>2227</v>
      </c>
      <c r="E130" s="134" t="s">
        <v>2228</v>
      </c>
      <c r="F130" s="221">
        <v>44932.0</v>
      </c>
      <c r="G130" s="246" t="s">
        <v>2229</v>
      </c>
      <c r="H130" s="145" t="s">
        <v>2230</v>
      </c>
      <c r="I130" s="108"/>
      <c r="J130" s="108"/>
      <c r="K130" s="108"/>
      <c r="L130" s="108"/>
      <c r="M130" s="108"/>
      <c r="N130" s="108"/>
      <c r="O130" s="108"/>
      <c r="P130" s="108"/>
      <c r="Q130" s="108"/>
      <c r="R130" s="108"/>
      <c r="S130" s="108"/>
      <c r="T130" s="108"/>
      <c r="U130" s="108"/>
      <c r="V130" s="108"/>
      <c r="W130" s="108"/>
      <c r="X130" s="108"/>
      <c r="Y130" s="108"/>
    </row>
    <row r="131" hidden="1">
      <c r="A131" s="108"/>
      <c r="B131" s="134" t="s">
        <v>2213</v>
      </c>
      <c r="C131" s="134" t="s">
        <v>2231</v>
      </c>
      <c r="D131" s="145" t="s">
        <v>2232</v>
      </c>
      <c r="E131" s="134" t="s">
        <v>2224</v>
      </c>
      <c r="F131" s="246" t="s">
        <v>2233</v>
      </c>
      <c r="G131" s="246" t="s">
        <v>2234</v>
      </c>
      <c r="H131" s="273"/>
      <c r="I131" s="108"/>
      <c r="J131" s="108"/>
      <c r="K131" s="108"/>
      <c r="L131" s="108"/>
      <c r="M131" s="108"/>
      <c r="N131" s="108"/>
      <c r="O131" s="108"/>
      <c r="P131" s="108"/>
      <c r="Q131" s="108"/>
      <c r="R131" s="108"/>
      <c r="S131" s="108"/>
      <c r="T131" s="108"/>
      <c r="U131" s="108"/>
      <c r="V131" s="108"/>
      <c r="W131" s="108"/>
      <c r="X131" s="108"/>
      <c r="Y131" s="108"/>
    </row>
    <row r="132" hidden="1">
      <c r="A132" s="108"/>
      <c r="B132" s="134" t="s">
        <v>2213</v>
      </c>
      <c r="C132" s="134" t="s">
        <v>2214</v>
      </c>
      <c r="D132" s="145" t="s">
        <v>2235</v>
      </c>
      <c r="E132" s="134" t="s">
        <v>2236</v>
      </c>
      <c r="F132" s="221">
        <v>44572.0</v>
      </c>
      <c r="G132" s="246" t="s">
        <v>2237</v>
      </c>
      <c r="H132" s="273"/>
      <c r="I132" s="108"/>
      <c r="J132" s="108"/>
      <c r="K132" s="108"/>
      <c r="L132" s="108"/>
      <c r="M132" s="108"/>
      <c r="N132" s="108"/>
      <c r="O132" s="108"/>
      <c r="P132" s="108"/>
      <c r="Q132" s="108"/>
      <c r="R132" s="108"/>
      <c r="S132" s="108"/>
      <c r="T132" s="108"/>
      <c r="U132" s="108"/>
      <c r="V132" s="108"/>
      <c r="W132" s="108"/>
      <c r="X132" s="108"/>
      <c r="Y132" s="108"/>
    </row>
    <row r="133" hidden="1">
      <c r="A133" s="108"/>
      <c r="B133" s="134" t="s">
        <v>2213</v>
      </c>
      <c r="C133" s="134" t="s">
        <v>2238</v>
      </c>
      <c r="D133" s="145" t="s">
        <v>2239</v>
      </c>
      <c r="E133" s="134" t="s">
        <v>2240</v>
      </c>
      <c r="F133" s="221">
        <v>44573.0</v>
      </c>
      <c r="G133" s="246" t="s">
        <v>2241</v>
      </c>
      <c r="H133" s="273"/>
      <c r="I133" s="108"/>
      <c r="J133" s="108"/>
      <c r="K133" s="108"/>
      <c r="L133" s="108"/>
      <c r="M133" s="108"/>
      <c r="N133" s="108"/>
      <c r="O133" s="108"/>
      <c r="P133" s="108"/>
      <c r="Q133" s="108"/>
      <c r="R133" s="108"/>
      <c r="S133" s="108"/>
      <c r="T133" s="108"/>
      <c r="U133" s="108"/>
      <c r="V133" s="108"/>
      <c r="W133" s="108"/>
      <c r="X133" s="108"/>
      <c r="Y133" s="108"/>
    </row>
    <row r="134" hidden="1">
      <c r="A134" s="108"/>
      <c r="B134" s="134" t="s">
        <v>2213</v>
      </c>
      <c r="C134" s="134" t="s">
        <v>2242</v>
      </c>
      <c r="D134" s="145" t="s">
        <v>2243</v>
      </c>
      <c r="E134" s="134" t="s">
        <v>2244</v>
      </c>
      <c r="F134" s="221">
        <v>44927.0</v>
      </c>
      <c r="G134" s="246" t="s">
        <v>2245</v>
      </c>
      <c r="H134" s="273"/>
      <c r="I134" s="108"/>
      <c r="J134" s="108"/>
      <c r="K134" s="108"/>
      <c r="L134" s="108"/>
      <c r="M134" s="108"/>
      <c r="N134" s="108"/>
      <c r="O134" s="108"/>
      <c r="P134" s="108"/>
      <c r="Q134" s="108"/>
      <c r="R134" s="108"/>
      <c r="S134" s="108"/>
      <c r="T134" s="108"/>
      <c r="U134" s="108"/>
      <c r="V134" s="108"/>
      <c r="W134" s="108"/>
      <c r="X134" s="108"/>
      <c r="Y134" s="108"/>
    </row>
    <row r="135" hidden="1">
      <c r="A135" s="251"/>
      <c r="B135" s="134" t="s">
        <v>2213</v>
      </c>
      <c r="C135" s="134" t="s">
        <v>2246</v>
      </c>
      <c r="D135" s="145" t="s">
        <v>2247</v>
      </c>
      <c r="E135" s="134" t="s">
        <v>2248</v>
      </c>
      <c r="F135" s="221">
        <v>44927.0</v>
      </c>
      <c r="G135" s="246" t="s">
        <v>2249</v>
      </c>
      <c r="H135" s="273"/>
      <c r="I135" s="108"/>
      <c r="J135" s="108"/>
      <c r="K135" s="108"/>
      <c r="L135" s="108"/>
      <c r="M135" s="108"/>
      <c r="N135" s="108"/>
      <c r="O135" s="108"/>
      <c r="P135" s="108"/>
      <c r="Q135" s="108"/>
      <c r="R135" s="108"/>
      <c r="S135" s="108"/>
      <c r="T135" s="108"/>
      <c r="U135" s="108"/>
      <c r="V135" s="108"/>
      <c r="W135" s="108"/>
      <c r="X135" s="108"/>
      <c r="Y135" s="108"/>
    </row>
    <row r="136" hidden="1">
      <c r="A136" s="108"/>
      <c r="B136" s="134" t="s">
        <v>2213</v>
      </c>
      <c r="C136" s="134" t="s">
        <v>2226</v>
      </c>
      <c r="D136" s="145" t="s">
        <v>2227</v>
      </c>
      <c r="E136" s="134" t="s">
        <v>1989</v>
      </c>
      <c r="F136" s="221">
        <v>44932.0</v>
      </c>
      <c r="G136" s="246" t="s">
        <v>2212</v>
      </c>
      <c r="H136" s="145" t="s">
        <v>2250</v>
      </c>
      <c r="I136" s="108"/>
      <c r="J136" s="108"/>
      <c r="K136" s="108"/>
      <c r="L136" s="108"/>
      <c r="M136" s="108"/>
      <c r="N136" s="108"/>
      <c r="O136" s="108"/>
      <c r="P136" s="108"/>
      <c r="Q136" s="108"/>
      <c r="R136" s="108"/>
      <c r="S136" s="108"/>
      <c r="T136" s="108"/>
      <c r="U136" s="108"/>
      <c r="V136" s="108"/>
      <c r="W136" s="108"/>
      <c r="X136" s="108"/>
      <c r="Y136" s="108"/>
    </row>
    <row r="137" hidden="1">
      <c r="A137" s="108"/>
      <c r="B137" s="134" t="s">
        <v>2213</v>
      </c>
      <c r="C137" s="134" t="s">
        <v>2231</v>
      </c>
      <c r="D137" s="145" t="s">
        <v>2232</v>
      </c>
      <c r="E137" s="134" t="s">
        <v>2224</v>
      </c>
      <c r="F137" s="246" t="s">
        <v>2233</v>
      </c>
      <c r="G137" s="246" t="s">
        <v>2234</v>
      </c>
      <c r="H137" s="273"/>
      <c r="I137" s="108"/>
      <c r="J137" s="108"/>
      <c r="K137" s="108"/>
      <c r="L137" s="108"/>
      <c r="M137" s="108"/>
      <c r="N137" s="108"/>
      <c r="O137" s="108"/>
      <c r="P137" s="108"/>
      <c r="Q137" s="108"/>
      <c r="R137" s="108"/>
      <c r="S137" s="108"/>
      <c r="T137" s="108"/>
      <c r="U137" s="108"/>
      <c r="V137" s="108"/>
      <c r="W137" s="108"/>
      <c r="X137" s="108"/>
      <c r="Y137" s="108"/>
    </row>
    <row r="138" hidden="1">
      <c r="A138" s="108"/>
      <c r="B138" s="134" t="s">
        <v>2213</v>
      </c>
      <c r="C138" s="134" t="s">
        <v>2214</v>
      </c>
      <c r="D138" s="145" t="s">
        <v>2235</v>
      </c>
      <c r="E138" s="134" t="s">
        <v>2236</v>
      </c>
      <c r="F138" s="221">
        <v>44569.0</v>
      </c>
      <c r="G138" s="246" t="s">
        <v>1904</v>
      </c>
      <c r="H138" s="273"/>
      <c r="I138" s="108"/>
      <c r="J138" s="108"/>
      <c r="K138" s="108"/>
      <c r="L138" s="108"/>
      <c r="M138" s="108"/>
      <c r="N138" s="108"/>
      <c r="O138" s="108"/>
      <c r="P138" s="108"/>
      <c r="Q138" s="108"/>
      <c r="R138" s="108"/>
      <c r="S138" s="108"/>
      <c r="T138" s="108"/>
      <c r="U138" s="108"/>
      <c r="V138" s="108"/>
      <c r="W138" s="108"/>
      <c r="X138" s="108"/>
      <c r="Y138" s="108"/>
    </row>
    <row r="139" hidden="1">
      <c r="A139" s="108"/>
      <c r="B139" s="134" t="s">
        <v>2213</v>
      </c>
      <c r="C139" s="134" t="s">
        <v>2238</v>
      </c>
      <c r="D139" s="145" t="s">
        <v>2239</v>
      </c>
      <c r="E139" s="134" t="s">
        <v>2240</v>
      </c>
      <c r="F139" s="221">
        <v>44927.0</v>
      </c>
      <c r="G139" s="277">
        <v>44930.0</v>
      </c>
      <c r="H139" s="273"/>
      <c r="I139" s="108"/>
      <c r="J139" s="108"/>
      <c r="K139" s="108"/>
      <c r="L139" s="108"/>
      <c r="M139" s="108"/>
      <c r="N139" s="108"/>
      <c r="O139" s="108"/>
      <c r="P139" s="108"/>
      <c r="Q139" s="108"/>
      <c r="R139" s="108"/>
      <c r="S139" s="108"/>
      <c r="T139" s="108"/>
      <c r="U139" s="108"/>
      <c r="V139" s="108"/>
      <c r="W139" s="108"/>
      <c r="X139" s="108"/>
      <c r="Y139" s="108"/>
    </row>
    <row r="140" hidden="1">
      <c r="A140" s="108"/>
      <c r="B140" s="134" t="s">
        <v>2213</v>
      </c>
      <c r="C140" s="134" t="s">
        <v>2242</v>
      </c>
      <c r="D140" s="145" t="s">
        <v>2243</v>
      </c>
      <c r="E140" s="134" t="s">
        <v>2244</v>
      </c>
      <c r="F140" s="221">
        <v>44927.0</v>
      </c>
      <c r="G140" s="277">
        <v>44931.0</v>
      </c>
      <c r="H140" s="273"/>
      <c r="I140" s="108"/>
      <c r="J140" s="108"/>
      <c r="K140" s="108"/>
      <c r="L140" s="108"/>
      <c r="M140" s="108"/>
      <c r="N140" s="108"/>
      <c r="O140" s="108"/>
      <c r="P140" s="108"/>
      <c r="Q140" s="108"/>
      <c r="R140" s="108"/>
      <c r="S140" s="108"/>
      <c r="T140" s="108"/>
      <c r="U140" s="108"/>
      <c r="V140" s="108"/>
      <c r="W140" s="108"/>
      <c r="X140" s="108"/>
      <c r="Y140" s="108"/>
    </row>
    <row r="141" hidden="1">
      <c r="A141" s="108"/>
      <c r="B141" s="134" t="s">
        <v>2213</v>
      </c>
      <c r="C141" s="134" t="s">
        <v>2246</v>
      </c>
      <c r="D141" s="145" t="s">
        <v>2247</v>
      </c>
      <c r="E141" s="134" t="s">
        <v>2248</v>
      </c>
      <c r="F141" s="221">
        <v>44928.0</v>
      </c>
      <c r="G141" s="246" t="s">
        <v>2251</v>
      </c>
      <c r="H141" s="145" t="s">
        <v>2252</v>
      </c>
      <c r="I141" s="108"/>
      <c r="J141" s="108"/>
      <c r="K141" s="108"/>
      <c r="L141" s="108"/>
      <c r="M141" s="108"/>
      <c r="N141" s="108"/>
      <c r="O141" s="108"/>
      <c r="P141" s="108"/>
      <c r="Q141" s="108"/>
      <c r="R141" s="108"/>
      <c r="S141" s="108"/>
      <c r="T141" s="108"/>
      <c r="U141" s="108"/>
      <c r="V141" s="108"/>
      <c r="W141" s="108"/>
      <c r="X141" s="108"/>
      <c r="Y141" s="108"/>
    </row>
    <row r="142" hidden="1">
      <c r="A142" s="108"/>
      <c r="B142" s="134" t="s">
        <v>2213</v>
      </c>
      <c r="C142" s="134" t="s">
        <v>2214</v>
      </c>
      <c r="D142" s="145" t="s">
        <v>2253</v>
      </c>
      <c r="E142" s="134" t="s">
        <v>2254</v>
      </c>
      <c r="F142" s="221">
        <v>45649.0</v>
      </c>
      <c r="G142" s="246" t="s">
        <v>1904</v>
      </c>
      <c r="H142" s="273"/>
      <c r="I142" s="108"/>
      <c r="J142" s="108"/>
      <c r="K142" s="108"/>
      <c r="L142" s="108"/>
      <c r="M142" s="108"/>
      <c r="N142" s="108"/>
      <c r="O142" s="108"/>
      <c r="P142" s="108"/>
      <c r="Q142" s="108"/>
      <c r="R142" s="108"/>
      <c r="S142" s="108"/>
      <c r="T142" s="108"/>
      <c r="U142" s="108"/>
      <c r="V142" s="108"/>
      <c r="W142" s="108"/>
      <c r="X142" s="108"/>
      <c r="Y142" s="108"/>
    </row>
    <row r="143" hidden="1">
      <c r="A143" s="108"/>
      <c r="B143" s="134" t="s">
        <v>2213</v>
      </c>
      <c r="C143" s="134" t="s">
        <v>2214</v>
      </c>
      <c r="D143" s="145" t="s">
        <v>2235</v>
      </c>
      <c r="E143" s="134" t="s">
        <v>2236</v>
      </c>
      <c r="F143" s="221">
        <v>44562.0</v>
      </c>
      <c r="G143" s="246" t="s">
        <v>1904</v>
      </c>
      <c r="H143" s="273"/>
      <c r="I143" s="108"/>
      <c r="J143" s="108"/>
      <c r="K143" s="108"/>
      <c r="L143" s="108"/>
      <c r="M143" s="108"/>
      <c r="N143" s="108"/>
      <c r="O143" s="108"/>
      <c r="P143" s="108"/>
      <c r="Q143" s="108"/>
      <c r="R143" s="108"/>
      <c r="S143" s="108"/>
      <c r="T143" s="108"/>
      <c r="U143" s="108"/>
      <c r="V143" s="108"/>
      <c r="W143" s="108"/>
      <c r="X143" s="108"/>
      <c r="Y143" s="108"/>
    </row>
    <row r="144" hidden="1">
      <c r="A144" s="108"/>
      <c r="B144" s="134" t="s">
        <v>2213</v>
      </c>
      <c r="C144" s="134" t="s">
        <v>2246</v>
      </c>
      <c r="D144" s="145" t="s">
        <v>2255</v>
      </c>
      <c r="E144" s="134" t="s">
        <v>2256</v>
      </c>
      <c r="F144" s="221">
        <v>44563.0</v>
      </c>
      <c r="G144" s="246" t="s">
        <v>1904</v>
      </c>
      <c r="H144" s="273"/>
      <c r="I144" s="108"/>
      <c r="J144" s="108"/>
      <c r="K144" s="108"/>
      <c r="L144" s="108"/>
      <c r="M144" s="108"/>
      <c r="N144" s="108"/>
      <c r="O144" s="108"/>
      <c r="P144" s="108"/>
      <c r="Q144" s="108"/>
      <c r="R144" s="108"/>
      <c r="S144" s="108"/>
      <c r="T144" s="108"/>
      <c r="U144" s="108"/>
      <c r="V144" s="108"/>
      <c r="W144" s="108"/>
      <c r="X144" s="108"/>
      <c r="Y144" s="108"/>
    </row>
    <row r="145" hidden="1">
      <c r="A145" s="108"/>
      <c r="B145" s="134" t="s">
        <v>2213</v>
      </c>
      <c r="C145" s="134" t="s">
        <v>2257</v>
      </c>
      <c r="D145" s="145" t="s">
        <v>2258</v>
      </c>
      <c r="E145" s="134" t="s">
        <v>1989</v>
      </c>
      <c r="F145" s="221">
        <v>44567.0</v>
      </c>
      <c r="G145" s="246" t="s">
        <v>2259</v>
      </c>
      <c r="H145" s="145" t="s">
        <v>2260</v>
      </c>
      <c r="I145" s="108"/>
      <c r="J145" s="108"/>
      <c r="K145" s="108"/>
      <c r="L145" s="108"/>
      <c r="M145" s="108"/>
      <c r="N145" s="108"/>
      <c r="O145" s="108"/>
      <c r="P145" s="108"/>
      <c r="Q145" s="108"/>
      <c r="R145" s="108"/>
      <c r="S145" s="108"/>
      <c r="T145" s="108"/>
      <c r="U145" s="108"/>
      <c r="V145" s="108"/>
      <c r="W145" s="108"/>
      <c r="X145" s="108"/>
      <c r="Y145" s="108"/>
    </row>
    <row r="146" hidden="1">
      <c r="A146" s="108"/>
      <c r="B146" s="134" t="s">
        <v>2213</v>
      </c>
      <c r="C146" s="134" t="s">
        <v>1987</v>
      </c>
      <c r="D146" s="145" t="s">
        <v>1988</v>
      </c>
      <c r="E146" s="134" t="s">
        <v>1989</v>
      </c>
      <c r="F146" s="221">
        <v>44572.0</v>
      </c>
      <c r="G146" s="246" t="s">
        <v>2261</v>
      </c>
      <c r="H146" s="145" t="s">
        <v>1990</v>
      </c>
      <c r="I146" s="108"/>
      <c r="J146" s="108"/>
      <c r="K146" s="108"/>
      <c r="L146" s="108"/>
      <c r="M146" s="108"/>
      <c r="N146" s="108"/>
      <c r="O146" s="108"/>
      <c r="P146" s="108"/>
      <c r="Q146" s="108"/>
      <c r="R146" s="108"/>
      <c r="S146" s="108"/>
      <c r="T146" s="108"/>
      <c r="U146" s="108"/>
      <c r="V146" s="108"/>
      <c r="W146" s="108"/>
      <c r="X146" s="108"/>
      <c r="Y146" s="108"/>
    </row>
    <row r="147" hidden="1">
      <c r="A147" s="108"/>
      <c r="B147" s="134" t="s">
        <v>2213</v>
      </c>
      <c r="C147" s="134" t="s">
        <v>1991</v>
      </c>
      <c r="D147" s="145" t="s">
        <v>1992</v>
      </c>
      <c r="E147" s="134" t="s">
        <v>1989</v>
      </c>
      <c r="F147" s="221">
        <v>44927.0</v>
      </c>
      <c r="G147" s="246" t="s">
        <v>2262</v>
      </c>
      <c r="H147" s="145" t="s">
        <v>2263</v>
      </c>
      <c r="I147" s="108"/>
      <c r="J147" s="108"/>
      <c r="K147" s="108"/>
      <c r="L147" s="108"/>
      <c r="M147" s="108"/>
      <c r="N147" s="108"/>
      <c r="O147" s="108"/>
      <c r="P147" s="108"/>
      <c r="Q147" s="108"/>
      <c r="R147" s="108"/>
      <c r="S147" s="108"/>
      <c r="T147" s="108"/>
      <c r="U147" s="108"/>
      <c r="V147" s="108"/>
      <c r="W147" s="108"/>
      <c r="X147" s="108"/>
      <c r="Y147" s="108"/>
    </row>
    <row r="148" hidden="1">
      <c r="A148" s="108"/>
      <c r="B148" s="134" t="s">
        <v>2213</v>
      </c>
      <c r="C148" s="134" t="s">
        <v>2264</v>
      </c>
      <c r="D148" s="145" t="s">
        <v>2223</v>
      </c>
      <c r="E148" s="134" t="s">
        <v>2224</v>
      </c>
      <c r="F148" s="221">
        <v>45236.0</v>
      </c>
      <c r="G148" s="246" t="s">
        <v>2225</v>
      </c>
      <c r="H148" s="273"/>
      <c r="I148" s="108"/>
      <c r="J148" s="108"/>
      <c r="K148" s="108"/>
      <c r="L148" s="108"/>
      <c r="M148" s="108"/>
      <c r="N148" s="108"/>
      <c r="O148" s="108"/>
      <c r="P148" s="108"/>
      <c r="Q148" s="108"/>
      <c r="R148" s="108"/>
      <c r="S148" s="108"/>
      <c r="T148" s="108"/>
      <c r="U148" s="108"/>
      <c r="V148" s="108"/>
      <c r="W148" s="108"/>
      <c r="X148" s="108"/>
      <c r="Y148" s="108"/>
    </row>
    <row r="149" hidden="1">
      <c r="A149" s="108"/>
      <c r="B149" s="134" t="s">
        <v>2213</v>
      </c>
      <c r="C149" s="134" t="s">
        <v>2214</v>
      </c>
      <c r="D149" s="145" t="s">
        <v>2235</v>
      </c>
      <c r="E149" s="134" t="s">
        <v>2236</v>
      </c>
      <c r="F149" s="221">
        <v>44562.0</v>
      </c>
      <c r="G149" s="246" t="s">
        <v>1904</v>
      </c>
      <c r="H149" s="273"/>
      <c r="I149" s="108"/>
      <c r="J149" s="108"/>
      <c r="K149" s="108"/>
      <c r="L149" s="108"/>
      <c r="M149" s="108"/>
      <c r="N149" s="108"/>
      <c r="O149" s="108"/>
      <c r="P149" s="108"/>
      <c r="Q149" s="108"/>
      <c r="R149" s="108"/>
      <c r="S149" s="108"/>
      <c r="T149" s="108"/>
      <c r="U149" s="108"/>
      <c r="V149" s="108"/>
      <c r="W149" s="108"/>
      <c r="X149" s="108"/>
      <c r="Y149" s="108"/>
    </row>
    <row r="150" hidden="1">
      <c r="A150" s="108"/>
      <c r="B150" s="134" t="s">
        <v>2213</v>
      </c>
      <c r="C150" s="134" t="s">
        <v>2265</v>
      </c>
      <c r="D150" s="145" t="s">
        <v>2266</v>
      </c>
      <c r="E150" s="134" t="s">
        <v>2267</v>
      </c>
      <c r="F150" s="221">
        <v>44562.0</v>
      </c>
      <c r="G150" s="277">
        <v>44565.0</v>
      </c>
      <c r="H150" s="273"/>
      <c r="I150" s="108"/>
      <c r="J150" s="108"/>
      <c r="K150" s="108"/>
      <c r="L150" s="108"/>
      <c r="M150" s="108"/>
      <c r="N150" s="108"/>
      <c r="O150" s="108"/>
      <c r="P150" s="108"/>
      <c r="Q150" s="108"/>
      <c r="R150" s="108"/>
      <c r="S150" s="108"/>
      <c r="T150" s="108"/>
      <c r="U150" s="108"/>
      <c r="V150" s="108"/>
      <c r="W150" s="108"/>
      <c r="X150" s="108"/>
      <c r="Y150" s="108"/>
    </row>
    <row r="151" hidden="1">
      <c r="A151" s="251"/>
      <c r="B151" s="134" t="s">
        <v>2213</v>
      </c>
      <c r="C151" s="134" t="s">
        <v>2017</v>
      </c>
      <c r="D151" s="145" t="s">
        <v>2268</v>
      </c>
      <c r="E151" s="134" t="s">
        <v>2269</v>
      </c>
      <c r="F151" s="221">
        <v>44565.0</v>
      </c>
      <c r="G151" s="277">
        <v>44568.0</v>
      </c>
      <c r="H151" s="273"/>
      <c r="I151" s="108"/>
      <c r="J151" s="108"/>
      <c r="K151" s="108"/>
      <c r="L151" s="108"/>
      <c r="M151" s="108"/>
      <c r="N151" s="108"/>
      <c r="O151" s="108"/>
      <c r="P151" s="108"/>
      <c r="Q151" s="108"/>
      <c r="R151" s="108"/>
      <c r="S151" s="108"/>
      <c r="T151" s="108"/>
      <c r="U151" s="108"/>
      <c r="V151" s="108"/>
      <c r="W151" s="108"/>
      <c r="X151" s="108"/>
      <c r="Y151" s="108"/>
    </row>
    <row r="152" hidden="1">
      <c r="A152" s="108"/>
      <c r="B152" s="134" t="s">
        <v>2213</v>
      </c>
      <c r="C152" s="134" t="s">
        <v>2270</v>
      </c>
      <c r="D152" s="145" t="s">
        <v>2271</v>
      </c>
      <c r="E152" s="134" t="s">
        <v>1989</v>
      </c>
      <c r="F152" s="221">
        <v>44562.0</v>
      </c>
      <c r="G152" s="277">
        <v>44565.0</v>
      </c>
      <c r="H152" s="145" t="s">
        <v>2272</v>
      </c>
      <c r="I152" s="108"/>
      <c r="J152" s="108"/>
      <c r="K152" s="108"/>
      <c r="L152" s="108"/>
      <c r="M152" s="108"/>
      <c r="N152" s="108"/>
      <c r="O152" s="108"/>
      <c r="P152" s="108"/>
      <c r="Q152" s="108"/>
      <c r="R152" s="108"/>
      <c r="S152" s="108"/>
      <c r="T152" s="108"/>
      <c r="U152" s="108"/>
      <c r="V152" s="108"/>
      <c r="W152" s="108"/>
      <c r="X152" s="108"/>
      <c r="Y152" s="108"/>
    </row>
    <row r="153" hidden="1">
      <c r="A153" s="108"/>
      <c r="B153" s="134" t="s">
        <v>2213</v>
      </c>
      <c r="C153" s="134" t="s">
        <v>2238</v>
      </c>
      <c r="D153" s="145" t="s">
        <v>2239</v>
      </c>
      <c r="E153" s="134" t="s">
        <v>2240</v>
      </c>
      <c r="F153" s="221">
        <v>44572.0</v>
      </c>
      <c r="G153" s="277">
        <v>44573.0</v>
      </c>
      <c r="H153" s="273"/>
      <c r="I153" s="108"/>
      <c r="J153" s="108"/>
      <c r="K153" s="108"/>
      <c r="L153" s="108"/>
      <c r="M153" s="108"/>
      <c r="N153" s="108"/>
      <c r="O153" s="108"/>
      <c r="P153" s="108"/>
      <c r="Q153" s="108"/>
      <c r="R153" s="108"/>
      <c r="S153" s="108"/>
      <c r="T153" s="108"/>
      <c r="U153" s="108"/>
      <c r="V153" s="108"/>
      <c r="W153" s="108"/>
      <c r="X153" s="108"/>
      <c r="Y153" s="108"/>
    </row>
    <row r="154" hidden="1">
      <c r="A154" s="108"/>
      <c r="B154" s="134" t="s">
        <v>2213</v>
      </c>
      <c r="C154" s="134" t="s">
        <v>2273</v>
      </c>
      <c r="D154" s="145" t="s">
        <v>2258</v>
      </c>
      <c r="E154" s="134" t="s">
        <v>1989</v>
      </c>
      <c r="F154" s="221">
        <v>44571.0</v>
      </c>
      <c r="G154" s="277">
        <v>44572.0</v>
      </c>
      <c r="H154" s="273"/>
      <c r="I154" s="108"/>
      <c r="J154" s="108"/>
      <c r="K154" s="108"/>
      <c r="L154" s="108"/>
      <c r="M154" s="108"/>
      <c r="N154" s="108"/>
      <c r="O154" s="108"/>
      <c r="P154" s="108"/>
      <c r="Q154" s="108"/>
      <c r="R154" s="108"/>
      <c r="S154" s="108"/>
      <c r="T154" s="108"/>
      <c r="U154" s="108"/>
      <c r="V154" s="108"/>
      <c r="W154" s="108"/>
      <c r="X154" s="108"/>
      <c r="Y154" s="108"/>
    </row>
    <row r="155" hidden="1">
      <c r="A155" s="108"/>
      <c r="B155" s="134" t="s">
        <v>2213</v>
      </c>
      <c r="C155" s="134" t="s">
        <v>2214</v>
      </c>
      <c r="D155" s="145" t="s">
        <v>2235</v>
      </c>
      <c r="E155" s="134" t="s">
        <v>2236</v>
      </c>
      <c r="F155" s="221">
        <v>44567.0</v>
      </c>
      <c r="G155" s="246" t="s">
        <v>2259</v>
      </c>
      <c r="H155" s="273"/>
      <c r="I155" s="108"/>
      <c r="J155" s="108"/>
      <c r="K155" s="108"/>
      <c r="L155" s="108"/>
      <c r="M155" s="108"/>
      <c r="N155" s="108"/>
      <c r="O155" s="108"/>
      <c r="P155" s="108"/>
      <c r="Q155" s="108"/>
      <c r="R155" s="108"/>
      <c r="S155" s="108"/>
      <c r="T155" s="108"/>
      <c r="U155" s="108"/>
      <c r="V155" s="108"/>
      <c r="W155" s="108"/>
      <c r="X155" s="108"/>
      <c r="Y155" s="108"/>
    </row>
    <row r="156" hidden="1">
      <c r="A156" s="108"/>
      <c r="B156" s="134" t="s">
        <v>2213</v>
      </c>
      <c r="C156" s="134" t="s">
        <v>2242</v>
      </c>
      <c r="D156" s="145" t="s">
        <v>2274</v>
      </c>
      <c r="E156" s="134" t="s">
        <v>2275</v>
      </c>
      <c r="F156" s="221">
        <v>44568.0</v>
      </c>
      <c r="G156" s="277">
        <v>44569.0</v>
      </c>
      <c r="H156" s="273"/>
      <c r="I156" s="108"/>
      <c r="J156" s="108"/>
      <c r="K156" s="108"/>
      <c r="L156" s="108"/>
      <c r="M156" s="108"/>
      <c r="N156" s="108"/>
      <c r="O156" s="108"/>
      <c r="P156" s="108"/>
      <c r="Q156" s="108"/>
      <c r="R156" s="108"/>
      <c r="S156" s="108"/>
      <c r="T156" s="108"/>
      <c r="U156" s="108"/>
      <c r="V156" s="108"/>
      <c r="W156" s="108"/>
      <c r="X156" s="108"/>
      <c r="Y156" s="108"/>
    </row>
    <row r="157" hidden="1">
      <c r="A157" s="108"/>
      <c r="B157" s="134" t="s">
        <v>2213</v>
      </c>
      <c r="C157" s="134" t="s">
        <v>2246</v>
      </c>
      <c r="D157" s="145" t="s">
        <v>2247</v>
      </c>
      <c r="E157" s="134" t="s">
        <v>2248</v>
      </c>
      <c r="F157" s="246" t="s">
        <v>2276</v>
      </c>
      <c r="G157" s="246" t="s">
        <v>2277</v>
      </c>
      <c r="H157" s="145" t="s">
        <v>2278</v>
      </c>
      <c r="I157" s="108"/>
      <c r="J157" s="108"/>
      <c r="K157" s="108"/>
      <c r="L157" s="108"/>
      <c r="M157" s="108"/>
      <c r="N157" s="108"/>
      <c r="O157" s="108"/>
      <c r="P157" s="108"/>
      <c r="Q157" s="108"/>
      <c r="R157" s="108"/>
      <c r="S157" s="108"/>
      <c r="T157" s="108"/>
      <c r="U157" s="108"/>
      <c r="V157" s="108"/>
      <c r="W157" s="108"/>
      <c r="X157" s="108"/>
      <c r="Y157" s="108"/>
    </row>
    <row r="158" hidden="1">
      <c r="A158" s="108"/>
      <c r="B158" s="134" t="s">
        <v>2213</v>
      </c>
      <c r="C158" s="134" t="s">
        <v>2214</v>
      </c>
      <c r="D158" s="145" t="s">
        <v>2235</v>
      </c>
      <c r="E158" s="134" t="s">
        <v>2236</v>
      </c>
      <c r="F158" s="221">
        <v>45170.0</v>
      </c>
      <c r="G158" s="276">
        <v>45200.0</v>
      </c>
      <c r="H158" s="273"/>
      <c r="I158" s="108"/>
      <c r="J158" s="108"/>
      <c r="K158" s="108"/>
      <c r="L158" s="108"/>
      <c r="M158" s="108"/>
      <c r="N158" s="108"/>
      <c r="O158" s="108"/>
      <c r="P158" s="108"/>
      <c r="Q158" s="108"/>
      <c r="R158" s="108"/>
      <c r="S158" s="108"/>
      <c r="T158" s="108"/>
      <c r="U158" s="108"/>
      <c r="V158" s="108"/>
      <c r="W158" s="108"/>
      <c r="X158" s="108"/>
      <c r="Y158" s="108"/>
    </row>
    <row r="159" hidden="1">
      <c r="A159" s="108"/>
      <c r="B159" s="134" t="s">
        <v>2213</v>
      </c>
      <c r="C159" s="134" t="s">
        <v>2246</v>
      </c>
      <c r="D159" s="145" t="s">
        <v>2279</v>
      </c>
      <c r="E159" s="134" t="s">
        <v>2280</v>
      </c>
      <c r="F159" s="221">
        <v>45588.0</v>
      </c>
      <c r="G159" s="276">
        <v>45200.0</v>
      </c>
      <c r="H159" s="273"/>
      <c r="I159" s="108"/>
      <c r="J159" s="108"/>
      <c r="K159" s="108"/>
      <c r="L159" s="108"/>
      <c r="M159" s="108"/>
      <c r="N159" s="108"/>
      <c r="O159" s="108"/>
      <c r="P159" s="108"/>
      <c r="Q159" s="108"/>
      <c r="R159" s="108"/>
      <c r="S159" s="108"/>
      <c r="T159" s="108"/>
      <c r="U159" s="108"/>
      <c r="V159" s="108"/>
      <c r="W159" s="108"/>
      <c r="X159" s="108"/>
      <c r="Y159" s="108"/>
    </row>
    <row r="160" hidden="1">
      <c r="A160" s="108"/>
      <c r="B160" s="134" t="s">
        <v>2213</v>
      </c>
      <c r="C160" s="134" t="s">
        <v>2246</v>
      </c>
      <c r="D160" s="145" t="s">
        <v>2281</v>
      </c>
      <c r="E160" s="134" t="s">
        <v>2282</v>
      </c>
      <c r="F160" s="221">
        <v>45588.0</v>
      </c>
      <c r="G160" s="276">
        <v>45231.0</v>
      </c>
      <c r="H160" s="273"/>
      <c r="I160" s="108"/>
      <c r="J160" s="108"/>
      <c r="K160" s="108"/>
      <c r="L160" s="108"/>
      <c r="M160" s="108"/>
      <c r="N160" s="108"/>
      <c r="O160" s="108"/>
      <c r="P160" s="108"/>
      <c r="Q160" s="108"/>
      <c r="R160" s="108"/>
      <c r="S160" s="108"/>
      <c r="T160" s="108"/>
      <c r="U160" s="108"/>
      <c r="V160" s="108"/>
      <c r="W160" s="108"/>
      <c r="X160" s="108"/>
      <c r="Y160" s="108"/>
    </row>
    <row r="161" hidden="1">
      <c r="A161" s="108"/>
      <c r="B161" s="134" t="s">
        <v>2213</v>
      </c>
      <c r="C161" s="134" t="s">
        <v>2283</v>
      </c>
      <c r="D161" s="145" t="s">
        <v>2284</v>
      </c>
      <c r="E161" s="134" t="s">
        <v>2285</v>
      </c>
      <c r="F161" s="221">
        <v>45649.0</v>
      </c>
      <c r="G161" s="246" t="s">
        <v>1904</v>
      </c>
      <c r="H161" s="273"/>
      <c r="I161" s="108"/>
      <c r="J161" s="108"/>
      <c r="K161" s="108"/>
      <c r="L161" s="108"/>
      <c r="M161" s="108"/>
      <c r="N161" s="108"/>
      <c r="O161" s="108"/>
      <c r="P161" s="108"/>
      <c r="Q161" s="108"/>
      <c r="R161" s="108"/>
      <c r="S161" s="108"/>
      <c r="T161" s="108"/>
      <c r="U161" s="108"/>
      <c r="V161" s="108"/>
      <c r="W161" s="108"/>
      <c r="X161" s="108"/>
      <c r="Y161" s="108"/>
    </row>
    <row r="162" hidden="1">
      <c r="A162" s="108"/>
      <c r="B162" s="134" t="s">
        <v>2213</v>
      </c>
      <c r="C162" s="134" t="s">
        <v>2214</v>
      </c>
      <c r="D162" s="145" t="s">
        <v>2235</v>
      </c>
      <c r="E162" s="134" t="s">
        <v>2236</v>
      </c>
      <c r="F162" s="221">
        <v>45588.0</v>
      </c>
      <c r="G162" s="276">
        <v>45200.0</v>
      </c>
      <c r="H162" s="273"/>
      <c r="I162" s="108"/>
      <c r="J162" s="108"/>
      <c r="K162" s="108"/>
      <c r="L162" s="108"/>
      <c r="M162" s="108"/>
      <c r="N162" s="108"/>
      <c r="O162" s="108"/>
      <c r="P162" s="108"/>
      <c r="Q162" s="108"/>
      <c r="R162" s="108"/>
      <c r="S162" s="108"/>
      <c r="T162" s="108"/>
      <c r="U162" s="108"/>
      <c r="V162" s="108"/>
      <c r="W162" s="108"/>
      <c r="X162" s="108"/>
      <c r="Y162" s="108"/>
    </row>
    <row r="163" hidden="1">
      <c r="A163" s="108"/>
      <c r="B163" s="134" t="s">
        <v>2213</v>
      </c>
      <c r="C163" s="134" t="s">
        <v>2246</v>
      </c>
      <c r="D163" s="145" t="s">
        <v>2286</v>
      </c>
      <c r="E163" s="134" t="s">
        <v>2287</v>
      </c>
      <c r="F163" s="221">
        <v>45619.0</v>
      </c>
      <c r="G163" s="246" t="s">
        <v>1904</v>
      </c>
      <c r="H163" s="273"/>
      <c r="I163" s="108"/>
      <c r="J163" s="108"/>
      <c r="K163" s="108"/>
      <c r="L163" s="108"/>
      <c r="M163" s="108"/>
      <c r="N163" s="108"/>
      <c r="O163" s="108"/>
      <c r="P163" s="108"/>
      <c r="Q163" s="108"/>
      <c r="R163" s="108"/>
      <c r="S163" s="108"/>
      <c r="T163" s="108"/>
      <c r="U163" s="108"/>
      <c r="V163" s="108"/>
      <c r="W163" s="108"/>
      <c r="X163" s="108"/>
      <c r="Y163" s="108"/>
    </row>
    <row r="164" hidden="1">
      <c r="A164" s="108"/>
      <c r="B164" s="134" t="s">
        <v>2288</v>
      </c>
      <c r="C164" s="134" t="s">
        <v>2289</v>
      </c>
      <c r="D164" s="145" t="s">
        <v>2290</v>
      </c>
      <c r="E164" s="134" t="s">
        <v>2291</v>
      </c>
      <c r="F164" s="221">
        <v>45558.0</v>
      </c>
      <c r="G164" s="278">
        <v>45649.0</v>
      </c>
      <c r="H164" s="273"/>
      <c r="I164" s="108"/>
      <c r="J164" s="108"/>
      <c r="K164" s="108"/>
      <c r="L164" s="108"/>
      <c r="M164" s="108"/>
      <c r="N164" s="108"/>
      <c r="O164" s="108"/>
      <c r="P164" s="108"/>
      <c r="Q164" s="108"/>
      <c r="R164" s="108"/>
      <c r="S164" s="108"/>
      <c r="T164" s="108"/>
      <c r="U164" s="108"/>
      <c r="V164" s="108"/>
      <c r="W164" s="108"/>
      <c r="X164" s="108"/>
      <c r="Y164" s="108"/>
    </row>
    <row r="165" hidden="1">
      <c r="A165" s="108"/>
      <c r="B165" s="134" t="s">
        <v>2292</v>
      </c>
      <c r="C165" s="134" t="s">
        <v>1983</v>
      </c>
      <c r="D165" s="145" t="s">
        <v>1984</v>
      </c>
      <c r="E165" s="134" t="s">
        <v>1985</v>
      </c>
      <c r="F165" s="221">
        <v>44934.0</v>
      </c>
      <c r="G165" s="246" t="s">
        <v>1904</v>
      </c>
      <c r="H165" s="273"/>
      <c r="I165" s="108"/>
      <c r="J165" s="108"/>
      <c r="K165" s="108"/>
      <c r="L165" s="108"/>
      <c r="M165" s="108"/>
      <c r="N165" s="108"/>
      <c r="O165" s="108"/>
      <c r="P165" s="108"/>
      <c r="Q165" s="108"/>
      <c r="R165" s="108"/>
      <c r="S165" s="108"/>
      <c r="T165" s="108"/>
      <c r="U165" s="108"/>
      <c r="V165" s="108"/>
      <c r="W165" s="108"/>
      <c r="X165" s="108"/>
      <c r="Y165" s="108"/>
    </row>
    <row r="166" hidden="1">
      <c r="A166" s="108"/>
      <c r="B166" s="134" t="s">
        <v>2293</v>
      </c>
      <c r="C166" s="134" t="s">
        <v>2294</v>
      </c>
      <c r="D166" s="145" t="s">
        <v>2295</v>
      </c>
      <c r="E166" s="134" t="s">
        <v>2296</v>
      </c>
      <c r="F166" s="221">
        <v>44935.0</v>
      </c>
      <c r="G166" s="246" t="s">
        <v>2297</v>
      </c>
      <c r="H166" s="273"/>
      <c r="I166" s="108"/>
      <c r="J166" s="108"/>
      <c r="K166" s="108"/>
      <c r="L166" s="108"/>
      <c r="M166" s="108"/>
      <c r="N166" s="108"/>
      <c r="O166" s="108"/>
      <c r="P166" s="108"/>
      <c r="Q166" s="108"/>
      <c r="R166" s="108"/>
      <c r="S166" s="108"/>
      <c r="T166" s="108"/>
      <c r="U166" s="108"/>
      <c r="V166" s="108"/>
      <c r="W166" s="108"/>
      <c r="X166" s="108"/>
      <c r="Y166" s="108"/>
    </row>
    <row r="167" hidden="1">
      <c r="A167" s="108"/>
      <c r="B167" s="134" t="s">
        <v>2293</v>
      </c>
      <c r="C167" s="134" t="s">
        <v>2017</v>
      </c>
      <c r="D167" s="145" t="s">
        <v>2018</v>
      </c>
      <c r="E167" s="134" t="s">
        <v>2019</v>
      </c>
      <c r="F167" s="246" t="s">
        <v>2298</v>
      </c>
      <c r="G167" s="246" t="s">
        <v>2299</v>
      </c>
      <c r="H167" s="273"/>
      <c r="I167" s="108"/>
      <c r="J167" s="108"/>
      <c r="K167" s="108"/>
      <c r="L167" s="108"/>
      <c r="M167" s="108"/>
      <c r="N167" s="108"/>
      <c r="O167" s="108"/>
      <c r="P167" s="108"/>
      <c r="Q167" s="108"/>
      <c r="R167" s="108"/>
      <c r="S167" s="108"/>
      <c r="T167" s="108"/>
      <c r="U167" s="108"/>
      <c r="V167" s="108"/>
      <c r="W167" s="108"/>
      <c r="X167" s="108"/>
      <c r="Y167" s="108"/>
    </row>
    <row r="168" hidden="1">
      <c r="A168" s="108"/>
      <c r="B168" s="134" t="s">
        <v>2300</v>
      </c>
      <c r="C168" s="134" t="s">
        <v>2147</v>
      </c>
      <c r="D168" s="145" t="s">
        <v>2301</v>
      </c>
      <c r="E168" s="134" t="s">
        <v>2302</v>
      </c>
      <c r="F168" s="221">
        <v>45231.0</v>
      </c>
      <c r="G168" s="246" t="s">
        <v>2303</v>
      </c>
      <c r="H168" s="273"/>
      <c r="I168" s="108"/>
      <c r="J168" s="108"/>
      <c r="K168" s="108"/>
      <c r="L168" s="108"/>
      <c r="M168" s="108"/>
      <c r="N168" s="108"/>
      <c r="O168" s="108"/>
      <c r="P168" s="108"/>
      <c r="Q168" s="108"/>
      <c r="R168" s="108"/>
      <c r="S168" s="108"/>
      <c r="T168" s="108"/>
      <c r="U168" s="108"/>
      <c r="V168" s="108"/>
      <c r="W168" s="108"/>
      <c r="X168" s="108"/>
      <c r="Y168" s="108"/>
    </row>
    <row r="169">
      <c r="A169" s="108"/>
      <c r="B169" s="134" t="s">
        <v>2048</v>
      </c>
      <c r="C169" s="134" t="s">
        <v>1952</v>
      </c>
      <c r="D169" s="145" t="s">
        <v>2304</v>
      </c>
      <c r="E169" s="134" t="s">
        <v>2305</v>
      </c>
      <c r="F169" s="276">
        <v>45139.0</v>
      </c>
      <c r="G169" s="276">
        <v>45139.0</v>
      </c>
      <c r="H169" s="279"/>
      <c r="I169" s="108"/>
      <c r="J169" s="108"/>
      <c r="K169" s="108"/>
      <c r="L169" s="108"/>
      <c r="M169" s="108"/>
      <c r="N169" s="108"/>
      <c r="O169" s="108"/>
      <c r="P169" s="108"/>
      <c r="Q169" s="108"/>
      <c r="R169" s="108"/>
      <c r="S169" s="108"/>
      <c r="T169" s="108"/>
      <c r="U169" s="108"/>
      <c r="V169" s="108"/>
      <c r="W169" s="108"/>
      <c r="X169" s="108"/>
      <c r="Y169" s="108"/>
    </row>
    <row r="170">
      <c r="A170" s="108"/>
      <c r="B170" s="134" t="s">
        <v>2048</v>
      </c>
      <c r="C170" s="134" t="s">
        <v>2045</v>
      </c>
      <c r="D170" s="145" t="s">
        <v>2306</v>
      </c>
      <c r="E170" s="134" t="s">
        <v>2307</v>
      </c>
      <c r="F170" s="276">
        <v>45170.0</v>
      </c>
      <c r="G170" s="276">
        <v>45170.0</v>
      </c>
      <c r="H170" s="279"/>
      <c r="I170" s="108"/>
      <c r="J170" s="108"/>
      <c r="K170" s="108"/>
      <c r="L170" s="108"/>
      <c r="M170" s="108"/>
      <c r="N170" s="108"/>
      <c r="O170" s="108"/>
      <c r="P170" s="108"/>
      <c r="Q170" s="108"/>
      <c r="R170" s="108"/>
      <c r="S170" s="108"/>
      <c r="T170" s="108"/>
      <c r="U170" s="108"/>
      <c r="V170" s="108"/>
      <c r="W170" s="108"/>
      <c r="X170" s="108"/>
      <c r="Y170" s="108"/>
    </row>
    <row r="171">
      <c r="A171" s="108"/>
      <c r="B171" s="134" t="s">
        <v>2048</v>
      </c>
      <c r="C171" s="134" t="s">
        <v>1952</v>
      </c>
      <c r="D171" s="145" t="s">
        <v>2308</v>
      </c>
      <c r="E171" s="134" t="s">
        <v>2309</v>
      </c>
      <c r="F171" s="276">
        <v>45200.0</v>
      </c>
      <c r="G171" s="276">
        <v>45200.0</v>
      </c>
      <c r="H171" s="279"/>
      <c r="I171" s="108"/>
      <c r="J171" s="108"/>
      <c r="K171" s="108"/>
      <c r="L171" s="108"/>
      <c r="M171" s="108"/>
      <c r="N171" s="108"/>
      <c r="O171" s="108"/>
      <c r="P171" s="108"/>
      <c r="Q171" s="108"/>
      <c r="R171" s="108"/>
      <c r="S171" s="108"/>
      <c r="T171" s="108"/>
      <c r="U171" s="108"/>
      <c r="V171" s="108"/>
      <c r="W171" s="108"/>
      <c r="X171" s="108"/>
      <c r="Y171" s="108"/>
    </row>
    <row r="172">
      <c r="A172" s="108"/>
      <c r="B172" s="134" t="s">
        <v>2048</v>
      </c>
      <c r="C172" s="134" t="s">
        <v>1952</v>
      </c>
      <c r="D172" s="145" t="s">
        <v>2310</v>
      </c>
      <c r="E172" s="134"/>
      <c r="F172" s="221">
        <v>45261.0</v>
      </c>
      <c r="G172" s="246" t="s">
        <v>2311</v>
      </c>
      <c r="H172" s="145"/>
      <c r="I172" s="108"/>
      <c r="J172" s="108"/>
      <c r="K172" s="108"/>
      <c r="L172" s="108"/>
      <c r="M172" s="108"/>
      <c r="N172" s="108"/>
      <c r="O172" s="108"/>
      <c r="P172" s="108"/>
      <c r="Q172" s="108"/>
      <c r="R172" s="108"/>
      <c r="S172" s="108"/>
      <c r="T172" s="108"/>
      <c r="U172" s="108"/>
      <c r="V172" s="108"/>
      <c r="W172" s="108"/>
      <c r="X172" s="108"/>
      <c r="Y172" s="108"/>
    </row>
    <row r="173">
      <c r="A173" s="108"/>
      <c r="B173" s="134"/>
      <c r="C173" s="134"/>
      <c r="D173" s="145"/>
      <c r="E173" s="134"/>
      <c r="F173" s="221"/>
      <c r="G173" s="246"/>
      <c r="H173" s="273"/>
      <c r="I173" s="108"/>
      <c r="J173" s="108"/>
      <c r="K173" s="108"/>
      <c r="L173" s="108"/>
      <c r="M173" s="108"/>
      <c r="N173" s="108"/>
      <c r="O173" s="108"/>
      <c r="P173" s="108"/>
      <c r="Q173" s="108"/>
      <c r="R173" s="108"/>
      <c r="S173" s="108"/>
      <c r="T173" s="108"/>
      <c r="U173" s="108"/>
      <c r="V173" s="108"/>
      <c r="W173" s="108"/>
      <c r="X173" s="108"/>
      <c r="Y173" s="108"/>
    </row>
    <row r="174">
      <c r="A174" s="251"/>
      <c r="B174" s="134"/>
      <c r="C174" s="134"/>
      <c r="D174" s="145"/>
      <c r="E174" s="134"/>
      <c r="F174" s="221"/>
      <c r="G174" s="246"/>
      <c r="H174" s="273"/>
      <c r="I174" s="108"/>
      <c r="J174" s="108"/>
      <c r="K174" s="108"/>
      <c r="L174" s="108"/>
      <c r="M174" s="108"/>
      <c r="N174" s="108"/>
      <c r="O174" s="108"/>
      <c r="P174" s="108"/>
      <c r="Q174" s="108"/>
      <c r="R174" s="108"/>
      <c r="S174" s="108"/>
      <c r="T174" s="108"/>
      <c r="U174" s="108"/>
      <c r="V174" s="108"/>
      <c r="W174" s="108"/>
      <c r="X174" s="108"/>
      <c r="Y174" s="108"/>
    </row>
  </sheetData>
  <autoFilter ref="$B$11:$H$172">
    <filterColumn colId="0">
      <filters>
        <filter val="INOV000041"/>
      </filters>
    </filterColumn>
  </autoFilter>
  <mergeCells count="1">
    <mergeCell ref="B5:D6"/>
  </mergeCells>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4.0" topLeftCell="E1" activePane="topRight" state="frozen"/>
      <selection activeCell="F2" sqref="F2" pane="topRight"/>
    </sheetView>
  </sheetViews>
  <sheetFormatPr customHeight="1" defaultColWidth="12.63" defaultRowHeight="15.75"/>
  <cols>
    <col customWidth="1" min="1" max="1" width="26.5"/>
    <col customWidth="1" min="2" max="2" width="14.13"/>
    <col customWidth="1" min="3" max="3" width="13.13"/>
    <col customWidth="1" min="4" max="4" width="21.25"/>
    <col hidden="1" min="6" max="6" width="12.63"/>
    <col hidden="1" min="10" max="10" width="12.63"/>
    <col hidden="1" min="13" max="13" width="12.63"/>
    <col hidden="1" min="16" max="18" width="12.63"/>
    <col hidden="1" min="23" max="24" width="12.63"/>
    <col hidden="1" min="26" max="28" width="12.63"/>
    <col hidden="1" min="30" max="30" width="12.63"/>
    <col hidden="1" min="37" max="37" width="12.63"/>
  </cols>
  <sheetData>
    <row r="1">
      <c r="A1" s="280"/>
      <c r="B1" s="280"/>
      <c r="C1" s="281"/>
      <c r="D1" s="282">
        <f>SUM(E1:AL1)</f>
        <v>1099944.645</v>
      </c>
      <c r="E1" s="283">
        <f t="shared" ref="E1:AL1" si="1">SUM(E3:E36)</f>
        <v>590494.275</v>
      </c>
      <c r="F1" s="283">
        <f t="shared" si="1"/>
        <v>0</v>
      </c>
      <c r="G1" s="283">
        <f t="shared" si="1"/>
        <v>0</v>
      </c>
      <c r="H1" s="283">
        <f t="shared" si="1"/>
        <v>0</v>
      </c>
      <c r="I1" s="283">
        <f t="shared" si="1"/>
        <v>56530.455</v>
      </c>
      <c r="J1" s="283">
        <f t="shared" si="1"/>
        <v>0</v>
      </c>
      <c r="K1" s="283">
        <f t="shared" si="1"/>
        <v>44407.95</v>
      </c>
      <c r="L1" s="283">
        <f t="shared" si="1"/>
        <v>5742.69</v>
      </c>
      <c r="M1" s="283">
        <f t="shared" si="1"/>
        <v>0</v>
      </c>
      <c r="N1" s="283">
        <f t="shared" si="1"/>
        <v>254404.875</v>
      </c>
      <c r="O1" s="283">
        <f t="shared" si="1"/>
        <v>22137.39</v>
      </c>
      <c r="P1" s="283">
        <f t="shared" si="1"/>
        <v>0</v>
      </c>
      <c r="Q1" s="283">
        <f t="shared" si="1"/>
        <v>0</v>
      </c>
      <c r="R1" s="283">
        <f t="shared" si="1"/>
        <v>0</v>
      </c>
      <c r="S1" s="283">
        <f t="shared" si="1"/>
        <v>2451.39</v>
      </c>
      <c r="T1" s="283">
        <f t="shared" si="1"/>
        <v>2190</v>
      </c>
      <c r="U1" s="283">
        <f t="shared" si="1"/>
        <v>22140</v>
      </c>
      <c r="V1" s="283">
        <f t="shared" si="1"/>
        <v>4569</v>
      </c>
      <c r="W1" s="283">
        <f t="shared" si="1"/>
        <v>0</v>
      </c>
      <c r="X1" s="283">
        <f t="shared" si="1"/>
        <v>0</v>
      </c>
      <c r="Y1" s="283">
        <f t="shared" si="1"/>
        <v>0</v>
      </c>
      <c r="Z1" s="283">
        <f t="shared" si="1"/>
        <v>0</v>
      </c>
      <c r="AA1" s="283">
        <f t="shared" si="1"/>
        <v>0</v>
      </c>
      <c r="AB1" s="283">
        <f t="shared" si="1"/>
        <v>0</v>
      </c>
      <c r="AC1" s="283">
        <f t="shared" si="1"/>
        <v>51858.48</v>
      </c>
      <c r="AD1" s="283">
        <f t="shared" si="1"/>
        <v>0</v>
      </c>
      <c r="AE1" s="283">
        <f t="shared" si="1"/>
        <v>0</v>
      </c>
      <c r="AF1" s="283">
        <f t="shared" si="1"/>
        <v>0</v>
      </c>
      <c r="AG1" s="283">
        <f t="shared" si="1"/>
        <v>0</v>
      </c>
      <c r="AH1" s="283">
        <f t="shared" si="1"/>
        <v>0</v>
      </c>
      <c r="AI1" s="283">
        <f t="shared" si="1"/>
        <v>0</v>
      </c>
      <c r="AJ1" s="283">
        <f t="shared" si="1"/>
        <v>39054</v>
      </c>
      <c r="AK1" s="283">
        <f t="shared" si="1"/>
        <v>0</v>
      </c>
      <c r="AL1" s="283">
        <f t="shared" si="1"/>
        <v>3964.14</v>
      </c>
    </row>
    <row r="2">
      <c r="A2" s="284" t="s">
        <v>1636</v>
      </c>
      <c r="B2" s="284" t="s">
        <v>2312</v>
      </c>
      <c r="C2" s="284" t="s">
        <v>1637</v>
      </c>
      <c r="D2" s="284" t="s">
        <v>386</v>
      </c>
      <c r="E2" s="285" t="s">
        <v>290</v>
      </c>
      <c r="F2" s="285" t="s">
        <v>419</v>
      </c>
      <c r="G2" s="285" t="s">
        <v>49</v>
      </c>
      <c r="H2" s="285" t="s">
        <v>50</v>
      </c>
      <c r="I2" s="285" t="s">
        <v>51</v>
      </c>
      <c r="J2" s="285" t="s">
        <v>425</v>
      </c>
      <c r="K2" s="285" t="s">
        <v>52</v>
      </c>
      <c r="L2" s="285" t="s">
        <v>53</v>
      </c>
      <c r="M2" s="285" t="s">
        <v>1646</v>
      </c>
      <c r="N2" s="286" t="s">
        <v>54</v>
      </c>
      <c r="O2" s="285" t="s">
        <v>55</v>
      </c>
      <c r="P2" s="285" t="s">
        <v>431</v>
      </c>
      <c r="Q2" s="285" t="s">
        <v>433</v>
      </c>
      <c r="R2" s="285" t="s">
        <v>435</v>
      </c>
      <c r="S2" s="285" t="s">
        <v>56</v>
      </c>
      <c r="T2" s="285" t="s">
        <v>57</v>
      </c>
      <c r="U2" s="285" t="s">
        <v>58</v>
      </c>
      <c r="V2" s="285" t="s">
        <v>59</v>
      </c>
      <c r="W2" s="285" t="s">
        <v>441</v>
      </c>
      <c r="X2" s="285" t="s">
        <v>443</v>
      </c>
      <c r="Y2" s="285" t="s">
        <v>60</v>
      </c>
      <c r="Z2" s="285" t="s">
        <v>446</v>
      </c>
      <c r="AA2" s="285" t="s">
        <v>448</v>
      </c>
      <c r="AB2" s="285" t="s">
        <v>450</v>
      </c>
      <c r="AC2" s="285" t="s">
        <v>61</v>
      </c>
      <c r="AD2" s="285" t="s">
        <v>453</v>
      </c>
      <c r="AE2" s="285" t="s">
        <v>62</v>
      </c>
      <c r="AF2" s="285" t="s">
        <v>63</v>
      </c>
      <c r="AG2" s="285" t="s">
        <v>64</v>
      </c>
      <c r="AH2" s="285" t="s">
        <v>65</v>
      </c>
      <c r="AI2" s="285" t="s">
        <v>66</v>
      </c>
      <c r="AJ2" s="285" t="s">
        <v>67</v>
      </c>
      <c r="AK2" s="285" t="s">
        <v>68</v>
      </c>
      <c r="AL2" s="285" t="s">
        <v>69</v>
      </c>
    </row>
    <row r="3">
      <c r="A3" s="287" t="str">
        <f t="array" ref="A3:A34">SORT(UNIQUE(TERCEIROS!D12:D135))</f>
        <v>American Airlines</v>
      </c>
      <c r="B3" s="288"/>
      <c r="C3" s="287" t="str">
        <f>VLOOKUP(A3,TERCEIROS!$D$12:$E$135,2,false)</f>
        <v>NA</v>
      </c>
      <c r="D3" s="289" t="str">
        <f>VLOOKUP(A3,TERCEIROS!$D$12:$I$135,6,false)</f>
        <v>Aéreo ASPEN (ida)</v>
      </c>
      <c r="E3" s="290" t="str">
        <f t="array" ref="E3">IF(DSUM(TERCEIROS!$B$11:$AW$207,E$2,{$A$2;$A3})=0,,DSUM(TERCEIROS!$B$11:$AW$207,E$2,{$A$2;$A3}))</f>
        <v/>
      </c>
      <c r="F3" s="290" t="str">
        <f t="array" ref="F3">IF(DSUM(TERCEIROS!$B$11:$AW$207,F$2,{$A$2;$A3})=0,,DSUM(TERCEIROS!$B$11:$AW$207,F$2,{$A$2;$A3}))</f>
        <v/>
      </c>
      <c r="G3" s="290" t="str">
        <f t="array" ref="G3">IF(DSUM(TERCEIROS!$B$11:$AW$207,G$2,{$A$2;$A3})=0,,DSUM(TERCEIROS!$B$11:$AW$207,G$2,{$A$2;$A3}))</f>
        <v/>
      </c>
      <c r="H3" s="290" t="str">
        <f t="array" ref="H3">IF(DSUM(TERCEIROS!$B$11:$AW$207,H$2,{$A$2;$A3})=0,,DSUM(TERCEIROS!$B$11:$AW$207,H$2,{$A$2;$A3}))</f>
        <v/>
      </c>
      <c r="I3" s="290" t="str">
        <f t="array" ref="I3">IF(DSUM(TERCEIROS!$B$11:$AW$207,I$2,{$A$2;$A3})=0,,DSUM(TERCEIROS!$B$11:$AW$207,I$2,{$A$2;$A3}))</f>
        <v/>
      </c>
      <c r="J3" s="290" t="str">
        <f t="array" ref="J3">IF(DSUM(TERCEIROS!$B$11:$AW$207,J$2,{$A$2;$A3})=0,,DSUM(TERCEIROS!$B$11:$AW$207,J$2,{$A$2;$A3}))</f>
        <v/>
      </c>
      <c r="K3" s="290" t="str">
        <f t="array" ref="K3">IF(DSUM(TERCEIROS!$B$11:$AW$207,K$2,{$A$2;$A3})=0,,DSUM(TERCEIROS!$B$11:$AW$207,K$2,{$A$2;$A3}))</f>
        <v/>
      </c>
      <c r="L3" s="290" t="str">
        <f t="array" ref="L3">IF(DSUM(TERCEIROS!$B$11:$AW$207,L$2,{$A$2;$A3})=0,,DSUM(TERCEIROS!$B$11:$AW$207,L$2,{$A$2;$A3}))</f>
        <v/>
      </c>
      <c r="M3" s="290" t="str">
        <f t="array" ref="M3">IF(DSUM(TERCEIROS!$B$11:$AW$207,M$2,{$A$2;$A3})=0,,DSUM(TERCEIROS!$B$11:$AW$207,M$2,{$A$2;$A3}))</f>
        <v/>
      </c>
      <c r="N3" s="290" t="str">
        <f t="array" ref="N3">IF(DSUM(TERCEIROS!$B$11:$AW$207,N$2,{$A$2;$A3})=0,,DSUM(TERCEIROS!$B$11:$AW$207,N$2,{$A$2;$A3}))</f>
        <v/>
      </c>
      <c r="O3" s="290" t="str">
        <f t="array" ref="O3">IF(DSUM(TERCEIROS!$B$11:$AW$207,O$2,{$A$2;$A3})=0,,DSUM(TERCEIROS!$B$11:$AW$207,O$2,{$A$2;$A3}))</f>
        <v/>
      </c>
      <c r="P3" s="290" t="str">
        <f t="array" ref="P3">IF(DSUM(TERCEIROS!$B$11:$AW$207,P$2,{$A$2;$A3})=0,,DSUM(TERCEIROS!$B$11:$AW$207,P$2,{$A$2;$A3}))</f>
        <v/>
      </c>
      <c r="Q3" s="290" t="str">
        <f t="array" ref="Q3">IF(DSUM(TERCEIROS!$B$11:$AW$207,Q$2,{$A$2;$A3})=0,,DSUM(TERCEIROS!$B$11:$AW$207,Q$2,{$A$2;$A3}))</f>
        <v/>
      </c>
      <c r="R3" s="290" t="str">
        <f t="array" ref="R3">IF(DSUM(TERCEIROS!$B$11:$AW$207,R$2,{$A$2;$A3})=0,,DSUM(TERCEIROS!$B$11:$AW$207,R$2,{$A$2;$A3}))</f>
        <v/>
      </c>
      <c r="S3" s="290" t="str">
        <f t="array" ref="S3">IF(DSUM(TERCEIROS!$B$11:$AW$207,S$2,{$A$2;$A3})=0,,DSUM(TERCEIROS!$B$11:$AW$207,S$2,{$A$2;$A3}))</f>
        <v/>
      </c>
      <c r="T3" s="290" t="str">
        <f t="array" ref="T3">IF(DSUM(TERCEIROS!$B$11:$AW$207,T$2,{$A$2;$A3})=0,,DSUM(TERCEIROS!$B$11:$AW$207,T$2,{$A$2;$A3}))</f>
        <v/>
      </c>
      <c r="U3" s="290" t="str">
        <f t="array" ref="U3">IF(DSUM(TERCEIROS!$B$11:$AW$207,U$2,{$A$2;$A3})=0,,DSUM(TERCEIROS!$B$11:$AW$207,U$2,{$A$2;$A3}))</f>
        <v/>
      </c>
      <c r="V3" s="290" t="str">
        <f t="array" ref="V3">IF(DSUM(TERCEIROS!$B$11:$AW$207,V$2,{$A$2;$A3})=0,,DSUM(TERCEIROS!$B$11:$AW$207,V$2,{$A$2;$A3}))</f>
        <v/>
      </c>
      <c r="W3" s="290" t="str">
        <f t="array" ref="W3">IF(DSUM(TERCEIROS!$B$11:$AW$207,W$2,{$A$2;$A3})=0,,DSUM(TERCEIROS!$B$11:$AW$207,W$2,{$A$2;$A3}))</f>
        <v/>
      </c>
      <c r="X3" s="290" t="str">
        <f t="array" ref="X3">IF(DSUM(TERCEIROS!$B$11:$AW$207,X$2,{$A$2;$A3})=0,,DSUM(TERCEIROS!$B$11:$AW$207,X$2,{$A$2;$A3}))</f>
        <v/>
      </c>
      <c r="Y3" s="290" t="str">
        <f t="array" ref="Y3">IF(DSUM(TERCEIROS!$B$11:$AW$207,Y$2,{$A$2;$A3})=0,,DSUM(TERCEIROS!$B$11:$AW$207,Y$2,{$A$2;$A3}))</f>
        <v/>
      </c>
      <c r="Z3" s="290" t="str">
        <f t="array" ref="Z3">IF(DSUM(TERCEIROS!$B$11:$AW$207,Z$2,{$A$2;$A3})=0,,DSUM(TERCEIROS!$B$11:$AW$207,Z$2,{$A$2;$A3}))</f>
        <v/>
      </c>
      <c r="AA3" s="290" t="str">
        <f t="array" ref="AA3">IF(DSUM(TERCEIROS!$B$11:$AW$207,AA$2,{$A$2;$A3})=0,,DSUM(TERCEIROS!$B$11:$AW$207,AA$2,{$A$2;$A3}))</f>
        <v/>
      </c>
      <c r="AB3" s="290" t="str">
        <f t="array" ref="AB3">IF(DSUM(TERCEIROS!$B$11:$AW$207,AB$2,{$A$2;$A3})=0,,DSUM(TERCEIROS!$B$11:$AW$207,AB$2,{$A$2;$A3}))</f>
        <v/>
      </c>
      <c r="AC3" s="290" t="str">
        <f t="array" ref="AC3">IF(DSUM(TERCEIROS!$B$11:$AW$207,AC$2,{$A$2;$A3})=0,,DSUM(TERCEIROS!$B$11:$AW$207,AC$2,{$A$2;$A3}))</f>
        <v/>
      </c>
      <c r="AD3" s="290" t="str">
        <f t="array" ref="AD3">IF(DSUM(TERCEIROS!$B$11:$AW$207,AD$2,{$A$2;$A3})=0,,DSUM(TERCEIROS!$B$11:$AW$207,AD$2,{$A$2;$A3}))</f>
        <v/>
      </c>
      <c r="AE3" s="290" t="str">
        <f t="array" ref="AE3">IF(DSUM(TERCEIROS!$B$11:$AW$207,AE$2,{$A$2;$A3})=0,,DSUM(TERCEIROS!$B$11:$AW$207,AE$2,{$A$2;$A3}))</f>
        <v/>
      </c>
      <c r="AF3" s="290" t="str">
        <f t="array" ref="AF3">IF(DSUM(TERCEIROS!$B$11:$AW$207,AF$2,{$A$2;$A3})=0,,DSUM(TERCEIROS!$B$11:$AW$207,AF$2,{$A$2;$A3}))</f>
        <v/>
      </c>
      <c r="AG3" s="290" t="str">
        <f t="array" ref="AG3">IF(DSUM(TERCEIROS!$B$11:$AW$207,AG$2,{$A$2;$A3})=0,,DSUM(TERCEIROS!$B$11:$AW$207,AG$2,{$A$2;$A3}))</f>
        <v/>
      </c>
      <c r="AH3" s="290" t="str">
        <f t="array" ref="AH3">IF(DSUM(TERCEIROS!$B$11:$AW$207,AH$2,{$A$2;$A3})=0,,DSUM(TERCEIROS!$B$11:$AW$207,AH$2,{$A$2;$A3}))</f>
        <v/>
      </c>
      <c r="AI3" s="290" t="str">
        <f t="array" ref="AI3">IF(DSUM(TERCEIROS!$B$11:$AW$207,AI$2,{$A$2;$A3})=0,,DSUM(TERCEIROS!$B$11:$AW$207,AI$2,{$A$2;$A3}))</f>
        <v/>
      </c>
      <c r="AJ3" s="290" t="str">
        <f t="array" ref="AJ3">IF(DSUM(TERCEIROS!$B$11:$AW$207,AJ$2,{$A$2;$A3})=0,,DSUM(TERCEIROS!$B$11:$AW$207,AJ$2,{$A$2;$A3}))</f>
        <v/>
      </c>
      <c r="AK3" s="290" t="str">
        <f t="array" ref="AK3">IF(DSUM(TERCEIROS!$B$11:$AW$207,AK$2,{$A$2;$A3})=0,,DSUM(TERCEIROS!$B$11:$AW$207,AK$2,{$A$2;$A3}))</f>
        <v/>
      </c>
      <c r="AL3" s="290" t="str">
        <f t="array" ref="AL3">IF(DSUM(TERCEIROS!$B$11:$AW$207,AL$2,{$A$2;$A3})=0,,DSUM(TERCEIROS!$B$11:$AW$207,AL$2,{$A$2;$A3}))</f>
        <v/>
      </c>
    </row>
    <row r="4">
      <c r="A4" s="291" t="s">
        <v>1683</v>
      </c>
      <c r="B4" s="292"/>
      <c r="C4" s="291" t="str">
        <f>VLOOKUP(A4,TERCEIROS!$D$12:$E$135,2,false)</f>
        <v>09.296.295/0001-60</v>
      </c>
      <c r="D4" s="293" t="str">
        <f>VLOOKUP(A4,TERCEIROS!$D$12:$I$135,6,false)</f>
        <v>Aéreo teste Embrapa/RJ - Lizianne</v>
      </c>
      <c r="E4" s="294" t="str">
        <f t="array" ref="E4">IF(DSUM(TERCEIROS!$B$11:$AW$207,E$2,{$A$2;$A4})=0,,DSUM(TERCEIROS!$B$11:$AW$207,E$2,{$A$2;$A4}))</f>
        <v/>
      </c>
      <c r="F4" s="294" t="str">
        <f t="array" ref="F4">IF(DSUM(TERCEIROS!$B$11:$AW$207,F$2,{$A$2;$A4})=0,,DSUM(TERCEIROS!$B$11:$AW$207,F$2,{$A$2;$A4}))</f>
        <v/>
      </c>
      <c r="G4" s="294" t="str">
        <f t="array" ref="G4">IF(DSUM(TERCEIROS!$B$11:$AW$207,G$2,{$A$2;$A4})=0,,DSUM(TERCEIROS!$B$11:$AW$207,G$2,{$A$2;$A4}))</f>
        <v/>
      </c>
      <c r="H4" s="294" t="str">
        <f t="array" ref="H4">IF(DSUM(TERCEIROS!$B$11:$AW$207,H$2,{$A$2;$A4})=0,,DSUM(TERCEIROS!$B$11:$AW$207,H$2,{$A$2;$A4}))</f>
        <v/>
      </c>
      <c r="I4" s="294" t="str">
        <f t="array" ref="I4">IF(DSUM(TERCEIROS!$B$11:$AW$207,I$2,{$A$2;$A4})=0,,DSUM(TERCEIROS!$B$11:$AW$207,I$2,{$A$2;$A4}))</f>
        <v/>
      </c>
      <c r="J4" s="294" t="str">
        <f t="array" ref="J4">IF(DSUM(TERCEIROS!$B$11:$AW$207,J$2,{$A$2;$A4})=0,,DSUM(TERCEIROS!$B$11:$AW$207,J$2,{$A$2;$A4}))</f>
        <v/>
      </c>
      <c r="K4" s="294" t="str">
        <f t="array" ref="K4">IF(DSUM(TERCEIROS!$B$11:$AW$207,K$2,{$A$2;$A4})=0,,DSUM(TERCEIROS!$B$11:$AW$207,K$2,{$A$2;$A4}))</f>
        <v/>
      </c>
      <c r="L4" s="294" t="str">
        <f t="array" ref="L4">IF(DSUM(TERCEIROS!$B$11:$AW$207,L$2,{$A$2;$A4})=0,,DSUM(TERCEIROS!$B$11:$AW$207,L$2,{$A$2;$A4}))</f>
        <v/>
      </c>
      <c r="M4" s="294" t="str">
        <f t="array" ref="M4">IF(DSUM(TERCEIROS!$B$11:$AW$207,M$2,{$A$2;$A4})=0,,DSUM(TERCEIROS!$B$11:$AW$207,M$2,{$A$2;$A4}))</f>
        <v/>
      </c>
      <c r="N4" s="294" t="str">
        <f t="array" ref="N4">IF(DSUM(TERCEIROS!$B$11:$AW$207,N$2,{$A$2;$A4})=0,,DSUM(TERCEIROS!$B$11:$AW$207,N$2,{$A$2;$A4}))</f>
        <v/>
      </c>
      <c r="O4" s="294" t="str">
        <f t="array" ref="O4">IF(DSUM(TERCEIROS!$B$11:$AW$207,O$2,{$A$2;$A4})=0,,DSUM(TERCEIROS!$B$11:$AW$207,O$2,{$A$2;$A4}))</f>
        <v/>
      </c>
      <c r="P4" s="294" t="str">
        <f t="array" ref="P4">IF(DSUM(TERCEIROS!$B$11:$AW$207,P$2,{$A$2;$A4})=0,,DSUM(TERCEIROS!$B$11:$AW$207,P$2,{$A$2;$A4}))</f>
        <v/>
      </c>
      <c r="Q4" s="294" t="str">
        <f t="array" ref="Q4">IF(DSUM(TERCEIROS!$B$11:$AW$207,Q$2,{$A$2;$A4})=0,,DSUM(TERCEIROS!$B$11:$AW$207,Q$2,{$A$2;$A4}))</f>
        <v/>
      </c>
      <c r="R4" s="294" t="str">
        <f t="array" ref="R4">IF(DSUM(TERCEIROS!$B$11:$AW$207,R$2,{$A$2;$A4})=0,,DSUM(TERCEIROS!$B$11:$AW$207,R$2,{$A$2;$A4}))</f>
        <v/>
      </c>
      <c r="S4" s="294" t="str">
        <f t="array" ref="S4">IF(DSUM(TERCEIROS!$B$11:$AW$207,S$2,{$A$2;$A4})=0,,DSUM(TERCEIROS!$B$11:$AW$207,S$2,{$A$2;$A4}))</f>
        <v/>
      </c>
      <c r="T4" s="294" t="str">
        <f t="array" ref="T4">IF(DSUM(TERCEIROS!$B$11:$AW$207,T$2,{$A$2;$A4})=0,,DSUM(TERCEIROS!$B$11:$AW$207,T$2,{$A$2;$A4}))</f>
        <v/>
      </c>
      <c r="U4" s="294" t="str">
        <f t="array" ref="U4">IF(DSUM(TERCEIROS!$B$11:$AW$207,U$2,{$A$2;$A4})=0,,DSUM(TERCEIROS!$B$11:$AW$207,U$2,{$A$2;$A4}))</f>
        <v/>
      </c>
      <c r="V4" s="294" t="str">
        <f t="array" ref="V4">IF(DSUM(TERCEIROS!$B$11:$AW$207,V$2,{$A$2;$A4})=0,,DSUM(TERCEIROS!$B$11:$AW$207,V$2,{$A$2;$A4}))</f>
        <v/>
      </c>
      <c r="W4" s="294" t="str">
        <f t="array" ref="W4">IF(DSUM(TERCEIROS!$B$11:$AW$207,W$2,{$A$2;$A4})=0,,DSUM(TERCEIROS!$B$11:$AW$207,W$2,{$A$2;$A4}))</f>
        <v/>
      </c>
      <c r="X4" s="294" t="str">
        <f t="array" ref="X4">IF(DSUM(TERCEIROS!$B$11:$AW$207,X$2,{$A$2;$A4})=0,,DSUM(TERCEIROS!$B$11:$AW$207,X$2,{$A$2;$A4}))</f>
        <v/>
      </c>
      <c r="Y4" s="294" t="str">
        <f t="array" ref="Y4">IF(DSUM(TERCEIROS!$B$11:$AW$207,Y$2,{$A$2;$A4})=0,,DSUM(TERCEIROS!$B$11:$AW$207,Y$2,{$A$2;$A4}))</f>
        <v/>
      </c>
      <c r="Z4" s="294" t="str">
        <f t="array" ref="Z4">IF(DSUM(TERCEIROS!$B$11:$AW$207,Z$2,{$A$2;$A4})=0,,DSUM(TERCEIROS!$B$11:$AW$207,Z$2,{$A$2;$A4}))</f>
        <v/>
      </c>
      <c r="AA4" s="294" t="str">
        <f t="array" ref="AA4">IF(DSUM(TERCEIROS!$B$11:$AW$207,AA$2,{$A$2;$A4})=0,,DSUM(TERCEIROS!$B$11:$AW$207,AA$2,{$A$2;$A4}))</f>
        <v/>
      </c>
      <c r="AB4" s="294" t="str">
        <f t="array" ref="AB4">IF(DSUM(TERCEIROS!$B$11:$AW$207,AB$2,{$A$2;$A4})=0,,DSUM(TERCEIROS!$B$11:$AW$207,AB$2,{$A$2;$A4}))</f>
        <v/>
      </c>
      <c r="AC4" s="294" t="str">
        <f t="array" ref="AC4">IF(DSUM(TERCEIROS!$B$11:$AW$207,AC$2,{$A$2;$A4})=0,,DSUM(TERCEIROS!$B$11:$AW$207,AC$2,{$A$2;$A4}))</f>
        <v/>
      </c>
      <c r="AD4" s="294" t="str">
        <f t="array" ref="AD4">IF(DSUM(TERCEIROS!$B$11:$AW$207,AD$2,{$A$2;$A4})=0,,DSUM(TERCEIROS!$B$11:$AW$207,AD$2,{$A$2;$A4}))</f>
        <v/>
      </c>
      <c r="AE4" s="294" t="str">
        <f t="array" ref="AE4">IF(DSUM(TERCEIROS!$B$11:$AW$207,AE$2,{$A$2;$A4})=0,,DSUM(TERCEIROS!$B$11:$AW$207,AE$2,{$A$2;$A4}))</f>
        <v/>
      </c>
      <c r="AF4" s="294" t="str">
        <f t="array" ref="AF4">IF(DSUM(TERCEIROS!$B$11:$AW$207,AF$2,{$A$2;$A4})=0,,DSUM(TERCEIROS!$B$11:$AW$207,AF$2,{$A$2;$A4}))</f>
        <v/>
      </c>
      <c r="AG4" s="294" t="str">
        <f t="array" ref="AG4">IF(DSUM(TERCEIROS!$B$11:$AW$207,AG$2,{$A$2;$A4})=0,,DSUM(TERCEIROS!$B$11:$AW$207,AG$2,{$A$2;$A4}))</f>
        <v/>
      </c>
      <c r="AH4" s="294" t="str">
        <f t="array" ref="AH4">IF(DSUM(TERCEIROS!$B$11:$AW$207,AH$2,{$A$2;$A4})=0,,DSUM(TERCEIROS!$B$11:$AW$207,AH$2,{$A$2;$A4}))</f>
        <v/>
      </c>
      <c r="AI4" s="294" t="str">
        <f t="array" ref="AI4">IF(DSUM(TERCEIROS!$B$11:$AW$207,AI$2,{$A$2;$A4})=0,,DSUM(TERCEIROS!$B$11:$AW$207,AI$2,{$A$2;$A4}))</f>
        <v/>
      </c>
      <c r="AJ4" s="294" t="str">
        <f t="array" ref="AJ4">IF(DSUM(TERCEIROS!$B$11:$AW$207,AJ$2,{$A$2;$A4})=0,,DSUM(TERCEIROS!$B$11:$AW$207,AJ$2,{$A$2;$A4}))</f>
        <v/>
      </c>
      <c r="AK4" s="294" t="str">
        <f t="array" ref="AK4">IF(DSUM(TERCEIROS!$B$11:$AW$207,AK$2,{$A$2;$A4})=0,,DSUM(TERCEIROS!$B$11:$AW$207,AK$2,{$A$2;$A4}))</f>
        <v/>
      </c>
      <c r="AL4" s="294" t="str">
        <f t="array" ref="AL4">IF(DSUM(TERCEIROS!$B$11:$AW$207,AL$2,{$A$2;$A4})=0,,DSUM(TERCEIROS!$B$11:$AW$207,AL$2,{$A$2;$A4}))</f>
        <v/>
      </c>
    </row>
    <row r="5">
      <c r="A5" s="287" t="s">
        <v>1769</v>
      </c>
      <c r="B5" s="288"/>
      <c r="C5" s="287" t="str">
        <f>VLOOKUP(A5,TERCEIROS!$D$12:$E$135,2,false)</f>
        <v>00.821.438/0002-11</v>
      </c>
      <c r="D5" s="289" t="str">
        <f>VLOOKUP(A5,TERCEIROS!$D$12:$I$135,6,false)</f>
        <v>Hospedagem durante teste piloto na EMBRAPA/RJ</v>
      </c>
      <c r="E5" s="290">
        <f t="array" ref="E5">IF(DSUM(TERCEIROS!$B$11:$AW$207,E$2,{$A$2;$A5})=0,,DSUM(TERCEIROS!$B$11:$AW$207,E$2,{$A$2;$A5}))</f>
        <v>1065.75</v>
      </c>
      <c r="F5" s="290" t="str">
        <f t="array" ref="F5">IF(DSUM(TERCEIROS!$B$11:$AW$207,F$2,{$A$2;$A5})=0,,DSUM(TERCEIROS!$B$11:$AW$207,F$2,{$A$2;$A5}))</f>
        <v/>
      </c>
      <c r="G5" s="290" t="str">
        <f t="array" ref="G5">IF(DSUM(TERCEIROS!$B$11:$AW$207,G$2,{$A$2;$A5})=0,,DSUM(TERCEIROS!$B$11:$AW$207,G$2,{$A$2;$A5}))</f>
        <v/>
      </c>
      <c r="H5" s="290" t="str">
        <f t="array" ref="H5">IF(DSUM(TERCEIROS!$B$11:$AW$207,H$2,{$A$2;$A5})=0,,DSUM(TERCEIROS!$B$11:$AW$207,H$2,{$A$2;$A5}))</f>
        <v/>
      </c>
      <c r="I5" s="290" t="str">
        <f t="array" ref="I5">IF(DSUM(TERCEIROS!$B$11:$AW$207,I$2,{$A$2;$A5})=0,,DSUM(TERCEIROS!$B$11:$AW$207,I$2,{$A$2;$A5}))</f>
        <v/>
      </c>
      <c r="J5" s="290" t="str">
        <f t="array" ref="J5">IF(DSUM(TERCEIROS!$B$11:$AW$207,J$2,{$A$2;$A5})=0,,DSUM(TERCEIROS!$B$11:$AW$207,J$2,{$A$2;$A5}))</f>
        <v/>
      </c>
      <c r="K5" s="290" t="str">
        <f t="array" ref="K5">IF(DSUM(TERCEIROS!$B$11:$AW$207,K$2,{$A$2;$A5})=0,,DSUM(TERCEIROS!$B$11:$AW$207,K$2,{$A$2;$A5}))</f>
        <v/>
      </c>
      <c r="L5" s="290" t="str">
        <f t="array" ref="L5">IF(DSUM(TERCEIROS!$B$11:$AW$207,L$2,{$A$2;$A5})=0,,DSUM(TERCEIROS!$B$11:$AW$207,L$2,{$A$2;$A5}))</f>
        <v/>
      </c>
      <c r="M5" s="290" t="str">
        <f t="array" ref="M5">IF(DSUM(TERCEIROS!$B$11:$AW$207,M$2,{$A$2;$A5})=0,,DSUM(TERCEIROS!$B$11:$AW$207,M$2,{$A$2;$A5}))</f>
        <v/>
      </c>
      <c r="N5" s="290" t="str">
        <f t="array" ref="N5">IF(DSUM(TERCEIROS!$B$11:$AW$207,N$2,{$A$2;$A5})=0,,DSUM(TERCEIROS!$B$11:$AW$207,N$2,{$A$2;$A5}))</f>
        <v/>
      </c>
      <c r="O5" s="290" t="str">
        <f t="array" ref="O5">IF(DSUM(TERCEIROS!$B$11:$AW$207,O$2,{$A$2;$A5})=0,,DSUM(TERCEIROS!$B$11:$AW$207,O$2,{$A$2;$A5}))</f>
        <v/>
      </c>
      <c r="P5" s="290" t="str">
        <f t="array" ref="P5">IF(DSUM(TERCEIROS!$B$11:$AW$207,P$2,{$A$2;$A5})=0,,DSUM(TERCEIROS!$B$11:$AW$207,P$2,{$A$2;$A5}))</f>
        <v/>
      </c>
      <c r="Q5" s="290" t="str">
        <f t="array" ref="Q5">IF(DSUM(TERCEIROS!$B$11:$AW$207,Q$2,{$A$2;$A5})=0,,DSUM(TERCEIROS!$B$11:$AW$207,Q$2,{$A$2;$A5}))</f>
        <v/>
      </c>
      <c r="R5" s="290" t="str">
        <f t="array" ref="R5">IF(DSUM(TERCEIROS!$B$11:$AW$207,R$2,{$A$2;$A5})=0,,DSUM(TERCEIROS!$B$11:$AW$207,R$2,{$A$2;$A5}))</f>
        <v/>
      </c>
      <c r="S5" s="290" t="str">
        <f t="array" ref="S5">IF(DSUM(TERCEIROS!$B$11:$AW$207,S$2,{$A$2;$A5})=0,,DSUM(TERCEIROS!$B$11:$AW$207,S$2,{$A$2;$A5}))</f>
        <v/>
      </c>
      <c r="T5" s="290" t="str">
        <f t="array" ref="T5">IF(DSUM(TERCEIROS!$B$11:$AW$207,T$2,{$A$2;$A5})=0,,DSUM(TERCEIROS!$B$11:$AW$207,T$2,{$A$2;$A5}))</f>
        <v/>
      </c>
      <c r="U5" s="290" t="str">
        <f t="array" ref="U5">IF(DSUM(TERCEIROS!$B$11:$AW$207,U$2,{$A$2;$A5})=0,,DSUM(TERCEIROS!$B$11:$AW$207,U$2,{$A$2;$A5}))</f>
        <v/>
      </c>
      <c r="V5" s="290" t="str">
        <f t="array" ref="V5">IF(DSUM(TERCEIROS!$B$11:$AW$207,V$2,{$A$2;$A5})=0,,DSUM(TERCEIROS!$B$11:$AW$207,V$2,{$A$2;$A5}))</f>
        <v/>
      </c>
      <c r="W5" s="290" t="str">
        <f t="array" ref="W5">IF(DSUM(TERCEIROS!$B$11:$AW$207,W$2,{$A$2;$A5})=0,,DSUM(TERCEIROS!$B$11:$AW$207,W$2,{$A$2;$A5}))</f>
        <v/>
      </c>
      <c r="X5" s="290" t="str">
        <f t="array" ref="X5">IF(DSUM(TERCEIROS!$B$11:$AW$207,X$2,{$A$2;$A5})=0,,DSUM(TERCEIROS!$B$11:$AW$207,X$2,{$A$2;$A5}))</f>
        <v/>
      </c>
      <c r="Y5" s="290" t="str">
        <f t="array" ref="Y5">IF(DSUM(TERCEIROS!$B$11:$AW$207,Y$2,{$A$2;$A5})=0,,DSUM(TERCEIROS!$B$11:$AW$207,Y$2,{$A$2;$A5}))</f>
        <v/>
      </c>
      <c r="Z5" s="290" t="str">
        <f t="array" ref="Z5">IF(DSUM(TERCEIROS!$B$11:$AW$207,Z$2,{$A$2;$A5})=0,,DSUM(TERCEIROS!$B$11:$AW$207,Z$2,{$A$2;$A5}))</f>
        <v/>
      </c>
      <c r="AA5" s="290" t="str">
        <f t="array" ref="AA5">IF(DSUM(TERCEIROS!$B$11:$AW$207,AA$2,{$A$2;$A5})=0,,DSUM(TERCEIROS!$B$11:$AW$207,AA$2,{$A$2;$A5}))</f>
        <v/>
      </c>
      <c r="AB5" s="290" t="str">
        <f t="array" ref="AB5">IF(DSUM(TERCEIROS!$B$11:$AW$207,AB$2,{$A$2;$A5})=0,,DSUM(TERCEIROS!$B$11:$AW$207,AB$2,{$A$2;$A5}))</f>
        <v/>
      </c>
      <c r="AC5" s="290" t="str">
        <f t="array" ref="AC5">IF(DSUM(TERCEIROS!$B$11:$AW$207,AC$2,{$A$2;$A5})=0,,DSUM(TERCEIROS!$B$11:$AW$207,AC$2,{$A$2;$A5}))</f>
        <v/>
      </c>
      <c r="AD5" s="290" t="str">
        <f t="array" ref="AD5">IF(DSUM(TERCEIROS!$B$11:$AW$207,AD$2,{$A$2;$A5})=0,,DSUM(TERCEIROS!$B$11:$AW$207,AD$2,{$A$2;$A5}))</f>
        <v/>
      </c>
      <c r="AE5" s="290" t="str">
        <f t="array" ref="AE5">IF(DSUM(TERCEIROS!$B$11:$AW$207,AE$2,{$A$2;$A5})=0,,DSUM(TERCEIROS!$B$11:$AW$207,AE$2,{$A$2;$A5}))</f>
        <v/>
      </c>
      <c r="AF5" s="290" t="str">
        <f t="array" ref="AF5">IF(DSUM(TERCEIROS!$B$11:$AW$207,AF$2,{$A$2;$A5})=0,,DSUM(TERCEIROS!$B$11:$AW$207,AF$2,{$A$2;$A5}))</f>
        <v/>
      </c>
      <c r="AG5" s="290" t="str">
        <f t="array" ref="AG5">IF(DSUM(TERCEIROS!$B$11:$AW$207,AG$2,{$A$2;$A5})=0,,DSUM(TERCEIROS!$B$11:$AW$207,AG$2,{$A$2;$A5}))</f>
        <v/>
      </c>
      <c r="AH5" s="290" t="str">
        <f t="array" ref="AH5">IF(DSUM(TERCEIROS!$B$11:$AW$207,AH$2,{$A$2;$A5})=0,,DSUM(TERCEIROS!$B$11:$AW$207,AH$2,{$A$2;$A5}))</f>
        <v/>
      </c>
      <c r="AI5" s="290" t="str">
        <f t="array" ref="AI5">IF(DSUM(TERCEIROS!$B$11:$AW$207,AI$2,{$A$2;$A5})=0,,DSUM(TERCEIROS!$B$11:$AW$207,AI$2,{$A$2;$A5}))</f>
        <v/>
      </c>
      <c r="AJ5" s="290" t="str">
        <f t="array" ref="AJ5">IF(DSUM(TERCEIROS!$B$11:$AW$207,AJ$2,{$A$2;$A5})=0,,DSUM(TERCEIROS!$B$11:$AW$207,AJ$2,{$A$2;$A5}))</f>
        <v/>
      </c>
      <c r="AK5" s="290" t="str">
        <f t="array" ref="AK5">IF(DSUM(TERCEIROS!$B$11:$AW$207,AK$2,{$A$2;$A5})=0,,DSUM(TERCEIROS!$B$11:$AW$207,AK$2,{$A$2;$A5}))</f>
        <v/>
      </c>
      <c r="AL5" s="290">
        <f t="array" ref="AL5">IF(DSUM(TERCEIROS!$B$11:$AW$207,AL$2,{$A$2;$A5})=0,,DSUM(TERCEIROS!$B$11:$AW$207,AL$2,{$A$2;$A5}))</f>
        <v>1065.75</v>
      </c>
    </row>
    <row r="6">
      <c r="A6" s="291" t="s">
        <v>1748</v>
      </c>
      <c r="B6" s="292"/>
      <c r="C6" s="291" t="str">
        <f>VLOOKUP(A6,TERCEIROS!$D$12:$E$135,2,false)</f>
        <v>#N/A</v>
      </c>
      <c r="D6" s="293" t="str">
        <f>VLOOKUP(A6,TERCEIROS!$D$12:$I$135,6,false)</f>
        <v>Molde (ativo) para injeção de uma peça plástica</v>
      </c>
      <c r="E6" s="294" t="str">
        <f t="array" ref="E6">IF(DSUM(TERCEIROS!$B$11:$AW$207,E$2,{$A$2;$A6})=0,,DSUM(TERCEIROS!$B$11:$AW$207,E$2,{$A$2;$A6}))</f>
        <v/>
      </c>
      <c r="F6" s="294" t="str">
        <f t="array" ref="F6">IF(DSUM(TERCEIROS!$B$11:$AW$207,F$2,{$A$2;$A6})=0,,DSUM(TERCEIROS!$B$11:$AW$207,F$2,{$A$2;$A6}))</f>
        <v/>
      </c>
      <c r="G6" s="294" t="str">
        <f t="array" ref="G6">IF(DSUM(TERCEIROS!$B$11:$AW$207,G$2,{$A$2;$A6})=0,,DSUM(TERCEIROS!$B$11:$AW$207,G$2,{$A$2;$A6}))</f>
        <v/>
      </c>
      <c r="H6" s="294" t="str">
        <f t="array" ref="H6">IF(DSUM(TERCEIROS!$B$11:$AW$207,H$2,{$A$2;$A6})=0,,DSUM(TERCEIROS!$B$11:$AW$207,H$2,{$A$2;$A6}))</f>
        <v/>
      </c>
      <c r="I6" s="294" t="str">
        <f t="array" ref="I6">IF(DSUM(TERCEIROS!$B$11:$AW$207,I$2,{$A$2;$A6})=0,,DSUM(TERCEIROS!$B$11:$AW$207,I$2,{$A$2;$A6}))</f>
        <v/>
      </c>
      <c r="J6" s="294" t="str">
        <f t="array" ref="J6">IF(DSUM(TERCEIROS!$B$11:$AW$207,J$2,{$A$2;$A6})=0,,DSUM(TERCEIROS!$B$11:$AW$207,J$2,{$A$2;$A6}))</f>
        <v/>
      </c>
      <c r="K6" s="294" t="str">
        <f t="array" ref="K6">IF(DSUM(TERCEIROS!$B$11:$AW$207,K$2,{$A$2;$A6})=0,,DSUM(TERCEIROS!$B$11:$AW$207,K$2,{$A$2;$A6}))</f>
        <v/>
      </c>
      <c r="L6" s="294" t="str">
        <f t="array" ref="L6">IF(DSUM(TERCEIROS!$B$11:$AW$207,L$2,{$A$2;$A6})=0,,DSUM(TERCEIROS!$B$11:$AW$207,L$2,{$A$2;$A6}))</f>
        <v/>
      </c>
      <c r="M6" s="294" t="str">
        <f t="array" ref="M6">IF(DSUM(TERCEIROS!$B$11:$AW$207,M$2,{$A$2;$A6})=0,,DSUM(TERCEIROS!$B$11:$AW$207,M$2,{$A$2;$A6}))</f>
        <v/>
      </c>
      <c r="N6" s="294" t="str">
        <f t="array" ref="N6">IF(DSUM(TERCEIROS!$B$11:$AW$207,N$2,{$A$2;$A6})=0,,DSUM(TERCEIROS!$B$11:$AW$207,N$2,{$A$2;$A6}))</f>
        <v/>
      </c>
      <c r="O6" s="294" t="str">
        <f t="array" ref="O6">IF(DSUM(TERCEIROS!$B$11:$AW$207,O$2,{$A$2;$A6})=0,,DSUM(TERCEIROS!$B$11:$AW$207,O$2,{$A$2;$A6}))</f>
        <v/>
      </c>
      <c r="P6" s="294" t="str">
        <f t="array" ref="P6">IF(DSUM(TERCEIROS!$B$11:$AW$207,P$2,{$A$2;$A6})=0,,DSUM(TERCEIROS!$B$11:$AW$207,P$2,{$A$2;$A6}))</f>
        <v/>
      </c>
      <c r="Q6" s="294" t="str">
        <f t="array" ref="Q6">IF(DSUM(TERCEIROS!$B$11:$AW$207,Q$2,{$A$2;$A6})=0,,DSUM(TERCEIROS!$B$11:$AW$207,Q$2,{$A$2;$A6}))</f>
        <v/>
      </c>
      <c r="R6" s="294" t="str">
        <f t="array" ref="R6">IF(DSUM(TERCEIROS!$B$11:$AW$207,R$2,{$A$2;$A6})=0,,DSUM(TERCEIROS!$B$11:$AW$207,R$2,{$A$2;$A6}))</f>
        <v/>
      </c>
      <c r="S6" s="294" t="str">
        <f t="array" ref="S6">IF(DSUM(TERCEIROS!$B$11:$AW$207,S$2,{$A$2;$A6})=0,,DSUM(TERCEIROS!$B$11:$AW$207,S$2,{$A$2;$A6}))</f>
        <v/>
      </c>
      <c r="T6" s="294" t="str">
        <f t="array" ref="T6">IF(DSUM(TERCEIROS!$B$11:$AW$207,T$2,{$A$2;$A6})=0,,DSUM(TERCEIROS!$B$11:$AW$207,T$2,{$A$2;$A6}))</f>
        <v/>
      </c>
      <c r="U6" s="294" t="str">
        <f t="array" ref="U6">IF(DSUM(TERCEIROS!$B$11:$AW$207,U$2,{$A$2;$A6})=0,,DSUM(TERCEIROS!$B$11:$AW$207,U$2,{$A$2;$A6}))</f>
        <v/>
      </c>
      <c r="V6" s="294" t="str">
        <f t="array" ref="V6">IF(DSUM(TERCEIROS!$B$11:$AW$207,V$2,{$A$2;$A6})=0,,DSUM(TERCEIROS!$B$11:$AW$207,V$2,{$A$2;$A6}))</f>
        <v/>
      </c>
      <c r="W6" s="294" t="str">
        <f t="array" ref="W6">IF(DSUM(TERCEIROS!$B$11:$AW$207,W$2,{$A$2;$A6})=0,,DSUM(TERCEIROS!$B$11:$AW$207,W$2,{$A$2;$A6}))</f>
        <v/>
      </c>
      <c r="X6" s="294" t="str">
        <f t="array" ref="X6">IF(DSUM(TERCEIROS!$B$11:$AW$207,X$2,{$A$2;$A6})=0,,DSUM(TERCEIROS!$B$11:$AW$207,X$2,{$A$2;$A6}))</f>
        <v/>
      </c>
      <c r="Y6" s="294" t="str">
        <f t="array" ref="Y6">IF(DSUM(TERCEIROS!$B$11:$AW$207,Y$2,{$A$2;$A6})=0,,DSUM(TERCEIROS!$B$11:$AW$207,Y$2,{$A$2;$A6}))</f>
        <v/>
      </c>
      <c r="Z6" s="294" t="str">
        <f t="array" ref="Z6">IF(DSUM(TERCEIROS!$B$11:$AW$207,Z$2,{$A$2;$A6})=0,,DSUM(TERCEIROS!$B$11:$AW$207,Z$2,{$A$2;$A6}))</f>
        <v/>
      </c>
      <c r="AA6" s="294" t="str">
        <f t="array" ref="AA6">IF(DSUM(TERCEIROS!$B$11:$AW$207,AA$2,{$A$2;$A6})=0,,DSUM(TERCEIROS!$B$11:$AW$207,AA$2,{$A$2;$A6}))</f>
        <v/>
      </c>
      <c r="AB6" s="294" t="str">
        <f t="array" ref="AB6">IF(DSUM(TERCEIROS!$B$11:$AW$207,AB$2,{$A$2;$A6})=0,,DSUM(TERCEIROS!$B$11:$AW$207,AB$2,{$A$2;$A6}))</f>
        <v/>
      </c>
      <c r="AC6" s="294" t="str">
        <f t="array" ref="AC6">IF(DSUM(TERCEIROS!$B$11:$AW$207,AC$2,{$A$2;$A6})=0,,DSUM(TERCEIROS!$B$11:$AW$207,AC$2,{$A$2;$A6}))</f>
        <v/>
      </c>
      <c r="AD6" s="294" t="str">
        <f t="array" ref="AD6">IF(DSUM(TERCEIROS!$B$11:$AW$207,AD$2,{$A$2;$A6})=0,,DSUM(TERCEIROS!$B$11:$AW$207,AD$2,{$A$2;$A6}))</f>
        <v/>
      </c>
      <c r="AE6" s="294" t="str">
        <f t="array" ref="AE6">IF(DSUM(TERCEIROS!$B$11:$AW$207,AE$2,{$A$2;$A6})=0,,DSUM(TERCEIROS!$B$11:$AW$207,AE$2,{$A$2;$A6}))</f>
        <v/>
      </c>
      <c r="AF6" s="294" t="str">
        <f t="array" ref="AF6">IF(DSUM(TERCEIROS!$B$11:$AW$207,AF$2,{$A$2;$A6})=0,,DSUM(TERCEIROS!$B$11:$AW$207,AF$2,{$A$2;$A6}))</f>
        <v/>
      </c>
      <c r="AG6" s="294" t="str">
        <f t="array" ref="AG6">IF(DSUM(TERCEIROS!$B$11:$AW$207,AG$2,{$A$2;$A6})=0,,DSUM(TERCEIROS!$B$11:$AW$207,AG$2,{$A$2;$A6}))</f>
        <v/>
      </c>
      <c r="AH6" s="294" t="str">
        <f t="array" ref="AH6">IF(DSUM(TERCEIROS!$B$11:$AW$207,AH$2,{$A$2;$A6})=0,,DSUM(TERCEIROS!$B$11:$AW$207,AH$2,{$A$2;$A6}))</f>
        <v/>
      </c>
      <c r="AI6" s="294" t="str">
        <f t="array" ref="AI6">IF(DSUM(TERCEIROS!$B$11:$AW$207,AI$2,{$A$2;$A6})=0,,DSUM(TERCEIROS!$B$11:$AW$207,AI$2,{$A$2;$A6}))</f>
        <v/>
      </c>
      <c r="AJ6" s="294" t="str">
        <f t="array" ref="AJ6">IF(DSUM(TERCEIROS!$B$11:$AW$207,AJ$2,{$A$2;$A6})=0,,DSUM(TERCEIROS!$B$11:$AW$207,AJ$2,{$A$2;$A6}))</f>
        <v/>
      </c>
      <c r="AK6" s="294" t="str">
        <f t="array" ref="AK6">IF(DSUM(TERCEIROS!$B$11:$AW$207,AK$2,{$A$2;$A6})=0,,DSUM(TERCEIROS!$B$11:$AW$207,AK$2,{$A$2;$A6}))</f>
        <v/>
      </c>
      <c r="AL6" s="294" t="str">
        <f t="array" ref="AL6">IF(DSUM(TERCEIROS!$B$11:$AW$207,AL$2,{$A$2;$A6})=0,,DSUM(TERCEIROS!$B$11:$AW$207,AL$2,{$A$2;$A6}))</f>
        <v/>
      </c>
    </row>
    <row r="7">
      <c r="A7" s="295" t="s">
        <v>1758</v>
      </c>
      <c r="B7" s="288"/>
      <c r="C7" s="287" t="str">
        <f>VLOOKUP(A7,TERCEIROS!$D$12:$E$135,2,false)</f>
        <v>42.567.032/0001-13</v>
      </c>
      <c r="D7" s="289" t="str">
        <f>VLOOKUP(A7,TERCEIROS!$D$12:$I$135,6,false)</f>
        <v>inscrição BRASPEN pesquisadora Gesika - projeto relato de caso</v>
      </c>
      <c r="E7" s="290" t="str">
        <f t="array" ref="E7">IF(DSUM(TERCEIROS!$B$11:$AW$207,E$2,{$A$2;$A7})=0,,DSUM(TERCEIROS!$B$11:$AW$207,E$2,{$A$2;$A7}))</f>
        <v/>
      </c>
      <c r="F7" s="290" t="str">
        <f t="array" ref="F7">IF(DSUM(TERCEIROS!$B$11:$AW$207,F$2,{$A$2;$A7})=0,,DSUM(TERCEIROS!$B$11:$AW$207,F$2,{$A$2;$A7}))</f>
        <v/>
      </c>
      <c r="G7" s="290" t="str">
        <f t="array" ref="G7">IF(DSUM(TERCEIROS!$B$11:$AW$207,G$2,{$A$2;$A7})=0,,DSUM(TERCEIROS!$B$11:$AW$207,G$2,{$A$2;$A7}))</f>
        <v/>
      </c>
      <c r="H7" s="290" t="str">
        <f t="array" ref="H7">IF(DSUM(TERCEIROS!$B$11:$AW$207,H$2,{$A$2;$A7})=0,,DSUM(TERCEIROS!$B$11:$AW$207,H$2,{$A$2;$A7}))</f>
        <v/>
      </c>
      <c r="I7" s="290" t="str">
        <f t="array" ref="I7">IF(DSUM(TERCEIROS!$B$11:$AW$207,I$2,{$A$2;$A7})=0,,DSUM(TERCEIROS!$B$11:$AW$207,I$2,{$A$2;$A7}))</f>
        <v/>
      </c>
      <c r="J7" s="290" t="str">
        <f t="array" ref="J7">IF(DSUM(TERCEIROS!$B$11:$AW$207,J$2,{$A$2;$A7})=0,,DSUM(TERCEIROS!$B$11:$AW$207,J$2,{$A$2;$A7}))</f>
        <v/>
      </c>
      <c r="K7" s="290" t="str">
        <f t="array" ref="K7">IF(DSUM(TERCEIROS!$B$11:$AW$207,K$2,{$A$2;$A7})=0,,DSUM(TERCEIROS!$B$11:$AW$207,K$2,{$A$2;$A7}))</f>
        <v/>
      </c>
      <c r="L7" s="290" t="str">
        <f t="array" ref="L7">IF(DSUM(TERCEIROS!$B$11:$AW$207,L$2,{$A$2;$A7})=0,,DSUM(TERCEIROS!$B$11:$AW$207,L$2,{$A$2;$A7}))</f>
        <v/>
      </c>
      <c r="M7" s="290" t="str">
        <f t="array" ref="M7">IF(DSUM(TERCEIROS!$B$11:$AW$207,M$2,{$A$2;$A7})=0,,DSUM(TERCEIROS!$B$11:$AW$207,M$2,{$A$2;$A7}))</f>
        <v/>
      </c>
      <c r="N7" s="290" t="str">
        <f t="array" ref="N7">IF(DSUM(TERCEIROS!$B$11:$AW$207,N$2,{$A$2;$A7})=0,,DSUM(TERCEIROS!$B$11:$AW$207,N$2,{$A$2;$A7}))</f>
        <v/>
      </c>
      <c r="O7" s="290" t="str">
        <f t="array" ref="O7">IF(DSUM(TERCEIROS!$B$11:$AW$207,O$2,{$A$2;$A7})=0,,DSUM(TERCEIROS!$B$11:$AW$207,O$2,{$A$2;$A7}))</f>
        <v/>
      </c>
      <c r="P7" s="290" t="str">
        <f t="array" ref="P7">IF(DSUM(TERCEIROS!$B$11:$AW$207,P$2,{$A$2;$A7})=0,,DSUM(TERCEIROS!$B$11:$AW$207,P$2,{$A$2;$A7}))</f>
        <v/>
      </c>
      <c r="Q7" s="290" t="str">
        <f t="array" ref="Q7">IF(DSUM(TERCEIROS!$B$11:$AW$207,Q$2,{$A$2;$A7})=0,,DSUM(TERCEIROS!$B$11:$AW$207,Q$2,{$A$2;$A7}))</f>
        <v/>
      </c>
      <c r="R7" s="290" t="str">
        <f t="array" ref="R7">IF(DSUM(TERCEIROS!$B$11:$AW$207,R$2,{$A$2;$A7})=0,,DSUM(TERCEIROS!$B$11:$AW$207,R$2,{$A$2;$A7}))</f>
        <v/>
      </c>
      <c r="S7" s="290" t="str">
        <f t="array" ref="S7">IF(DSUM(TERCEIROS!$B$11:$AW$207,S$2,{$A$2;$A7})=0,,DSUM(TERCEIROS!$B$11:$AW$207,S$2,{$A$2;$A7}))</f>
        <v/>
      </c>
      <c r="T7" s="290" t="str">
        <f t="array" ref="T7">IF(DSUM(TERCEIROS!$B$11:$AW$207,T$2,{$A$2;$A7})=0,,DSUM(TERCEIROS!$B$11:$AW$207,T$2,{$A$2;$A7}))</f>
        <v/>
      </c>
      <c r="U7" s="290" t="str">
        <f t="array" ref="U7">IF(DSUM(TERCEIROS!$B$11:$AW$207,U$2,{$A$2;$A7})=0,,DSUM(TERCEIROS!$B$11:$AW$207,U$2,{$A$2;$A7}))</f>
        <v/>
      </c>
      <c r="V7" s="290" t="str">
        <f t="array" ref="V7">IF(DSUM(TERCEIROS!$B$11:$AW$207,V$2,{$A$2;$A7})=0,,DSUM(TERCEIROS!$B$11:$AW$207,V$2,{$A$2;$A7}))</f>
        <v/>
      </c>
      <c r="W7" s="290" t="str">
        <f t="array" ref="W7">IF(DSUM(TERCEIROS!$B$11:$AW$207,W$2,{$A$2;$A7})=0,,DSUM(TERCEIROS!$B$11:$AW$207,W$2,{$A$2;$A7}))</f>
        <v/>
      </c>
      <c r="X7" s="290" t="str">
        <f t="array" ref="X7">IF(DSUM(TERCEIROS!$B$11:$AW$207,X$2,{$A$2;$A7})=0,,DSUM(TERCEIROS!$B$11:$AW$207,X$2,{$A$2;$A7}))</f>
        <v/>
      </c>
      <c r="Y7" s="290" t="str">
        <f t="array" ref="Y7">IF(DSUM(TERCEIROS!$B$11:$AW$207,Y$2,{$A$2;$A7})=0,,DSUM(TERCEIROS!$B$11:$AW$207,Y$2,{$A$2;$A7}))</f>
        <v/>
      </c>
      <c r="Z7" s="290" t="str">
        <f t="array" ref="Z7">IF(DSUM(TERCEIROS!$B$11:$AW$207,Z$2,{$A$2;$A7})=0,,DSUM(TERCEIROS!$B$11:$AW$207,Z$2,{$A$2;$A7}))</f>
        <v/>
      </c>
      <c r="AA7" s="290" t="str">
        <f t="array" ref="AA7">IF(DSUM(TERCEIROS!$B$11:$AW$207,AA$2,{$A$2;$A7})=0,,DSUM(TERCEIROS!$B$11:$AW$207,AA$2,{$A$2;$A7}))</f>
        <v/>
      </c>
      <c r="AB7" s="290" t="str">
        <f t="array" ref="AB7">IF(DSUM(TERCEIROS!$B$11:$AW$207,AB$2,{$A$2;$A7})=0,,DSUM(TERCEIROS!$B$11:$AW$207,AB$2,{$A$2;$A7}))</f>
        <v/>
      </c>
      <c r="AC7" s="290" t="str">
        <f t="array" ref="AC7">IF(DSUM(TERCEIROS!$B$11:$AW$207,AC$2,{$A$2;$A7})=0,,DSUM(TERCEIROS!$B$11:$AW$207,AC$2,{$A$2;$A7}))</f>
        <v/>
      </c>
      <c r="AD7" s="290" t="str">
        <f t="array" ref="AD7">IF(DSUM(TERCEIROS!$B$11:$AW$207,AD$2,{$A$2;$A7})=0,,DSUM(TERCEIROS!$B$11:$AW$207,AD$2,{$A$2;$A7}))</f>
        <v/>
      </c>
      <c r="AE7" s="290" t="str">
        <f t="array" ref="AE7">IF(DSUM(TERCEIROS!$B$11:$AW$207,AE$2,{$A$2;$A7})=0,,DSUM(TERCEIROS!$B$11:$AW$207,AE$2,{$A$2;$A7}))</f>
        <v/>
      </c>
      <c r="AF7" s="290" t="str">
        <f t="array" ref="AF7">IF(DSUM(TERCEIROS!$B$11:$AW$207,AF$2,{$A$2;$A7})=0,,DSUM(TERCEIROS!$B$11:$AW$207,AF$2,{$A$2;$A7}))</f>
        <v/>
      </c>
      <c r="AG7" s="290" t="str">
        <f t="array" ref="AG7">IF(DSUM(TERCEIROS!$B$11:$AW$207,AG$2,{$A$2;$A7})=0,,DSUM(TERCEIROS!$B$11:$AW$207,AG$2,{$A$2;$A7}))</f>
        <v/>
      </c>
      <c r="AH7" s="290" t="str">
        <f t="array" ref="AH7">IF(DSUM(TERCEIROS!$B$11:$AW$207,AH$2,{$A$2;$A7})=0,,DSUM(TERCEIROS!$B$11:$AW$207,AH$2,{$A$2;$A7}))</f>
        <v/>
      </c>
      <c r="AI7" s="290" t="str">
        <f t="array" ref="AI7">IF(DSUM(TERCEIROS!$B$11:$AW$207,AI$2,{$A$2;$A7})=0,,DSUM(TERCEIROS!$B$11:$AW$207,AI$2,{$A$2;$A7}))</f>
        <v/>
      </c>
      <c r="AJ7" s="290" t="str">
        <f t="array" ref="AJ7">IF(DSUM(TERCEIROS!$B$11:$AW$207,AJ$2,{$A$2;$A7})=0,,DSUM(TERCEIROS!$B$11:$AW$207,AJ$2,{$A$2;$A7}))</f>
        <v/>
      </c>
      <c r="AK7" s="290" t="str">
        <f t="array" ref="AK7">IF(DSUM(TERCEIROS!$B$11:$AW$207,AK$2,{$A$2;$A7})=0,,DSUM(TERCEIROS!$B$11:$AW$207,AK$2,{$A$2;$A7}))</f>
        <v/>
      </c>
      <c r="AL7" s="290" t="str">
        <f t="array" ref="AL7">IF(DSUM(TERCEIROS!$B$11:$AW$207,AL$2,{$A$2;$A7})=0,,DSUM(TERCEIROS!$B$11:$AW$207,AL$2,{$A$2;$A7}))</f>
        <v/>
      </c>
    </row>
    <row r="8">
      <c r="A8" s="291" t="s">
        <v>1702</v>
      </c>
      <c r="B8" s="292"/>
      <c r="C8" s="291" t="str">
        <f>VLOOKUP(A8,TERCEIROS!$D$12:$E$135,2,false)</f>
        <v>03.289.084/0001-13</v>
      </c>
      <c r="D8" s="293" t="str">
        <f>VLOOKUP(A8,TERCEIROS!$D$12:$I$135,6,false)</f>
        <v>Publicação em evento científico</v>
      </c>
      <c r="E8" s="294" t="str">
        <f t="array" ref="E8">IF(DSUM(TERCEIROS!$B$11:$AW$207,E$2,{$A$2;$A8})=0,,DSUM(TERCEIROS!$B$11:$AW$207,E$2,{$A$2;$A8}))</f>
        <v/>
      </c>
      <c r="F8" s="294" t="str">
        <f t="array" ref="F8">IF(DSUM(TERCEIROS!$B$11:$AW$207,F$2,{$A$2;$A8})=0,,DSUM(TERCEIROS!$B$11:$AW$207,F$2,{$A$2;$A8}))</f>
        <v/>
      </c>
      <c r="G8" s="294" t="str">
        <f t="array" ref="G8">IF(DSUM(TERCEIROS!$B$11:$AW$207,G$2,{$A$2;$A8})=0,,DSUM(TERCEIROS!$B$11:$AW$207,G$2,{$A$2;$A8}))</f>
        <v/>
      </c>
      <c r="H8" s="294" t="str">
        <f t="array" ref="H8">IF(DSUM(TERCEIROS!$B$11:$AW$207,H$2,{$A$2;$A8})=0,,DSUM(TERCEIROS!$B$11:$AW$207,H$2,{$A$2;$A8}))</f>
        <v/>
      </c>
      <c r="I8" s="294" t="str">
        <f t="array" ref="I8">IF(DSUM(TERCEIROS!$B$11:$AW$207,I$2,{$A$2;$A8})=0,,DSUM(TERCEIROS!$B$11:$AW$207,I$2,{$A$2;$A8}))</f>
        <v/>
      </c>
      <c r="J8" s="294" t="str">
        <f t="array" ref="J8">IF(DSUM(TERCEIROS!$B$11:$AW$207,J$2,{$A$2;$A8})=0,,DSUM(TERCEIROS!$B$11:$AW$207,J$2,{$A$2;$A8}))</f>
        <v/>
      </c>
      <c r="K8" s="294" t="str">
        <f t="array" ref="K8">IF(DSUM(TERCEIROS!$B$11:$AW$207,K$2,{$A$2;$A8})=0,,DSUM(TERCEIROS!$B$11:$AW$207,K$2,{$A$2;$A8}))</f>
        <v/>
      </c>
      <c r="L8" s="294" t="str">
        <f t="array" ref="L8">IF(DSUM(TERCEIROS!$B$11:$AW$207,L$2,{$A$2;$A8})=0,,DSUM(TERCEIROS!$B$11:$AW$207,L$2,{$A$2;$A8}))</f>
        <v/>
      </c>
      <c r="M8" s="294" t="str">
        <f t="array" ref="M8">IF(DSUM(TERCEIROS!$B$11:$AW$207,M$2,{$A$2;$A8})=0,,DSUM(TERCEIROS!$B$11:$AW$207,M$2,{$A$2;$A8}))</f>
        <v/>
      </c>
      <c r="N8" s="294" t="str">
        <f t="array" ref="N8">IF(DSUM(TERCEIROS!$B$11:$AW$207,N$2,{$A$2;$A8})=0,,DSUM(TERCEIROS!$B$11:$AW$207,N$2,{$A$2;$A8}))</f>
        <v/>
      </c>
      <c r="O8" s="294" t="str">
        <f t="array" ref="O8">IF(DSUM(TERCEIROS!$B$11:$AW$207,O$2,{$A$2;$A8})=0,,DSUM(TERCEIROS!$B$11:$AW$207,O$2,{$A$2;$A8}))</f>
        <v/>
      </c>
      <c r="P8" s="294" t="str">
        <f t="array" ref="P8">IF(DSUM(TERCEIROS!$B$11:$AW$207,P$2,{$A$2;$A8})=0,,DSUM(TERCEIROS!$B$11:$AW$207,P$2,{$A$2;$A8}))</f>
        <v/>
      </c>
      <c r="Q8" s="294" t="str">
        <f t="array" ref="Q8">IF(DSUM(TERCEIROS!$B$11:$AW$207,Q$2,{$A$2;$A8})=0,,DSUM(TERCEIROS!$B$11:$AW$207,Q$2,{$A$2;$A8}))</f>
        <v/>
      </c>
      <c r="R8" s="294" t="str">
        <f t="array" ref="R8">IF(DSUM(TERCEIROS!$B$11:$AW$207,R$2,{$A$2;$A8})=0,,DSUM(TERCEIROS!$B$11:$AW$207,R$2,{$A$2;$A8}))</f>
        <v/>
      </c>
      <c r="S8" s="294" t="str">
        <f t="array" ref="S8">IF(DSUM(TERCEIROS!$B$11:$AW$207,S$2,{$A$2;$A8})=0,,DSUM(TERCEIROS!$B$11:$AW$207,S$2,{$A$2;$A8}))</f>
        <v/>
      </c>
      <c r="T8" s="294" t="str">
        <f t="array" ref="T8">IF(DSUM(TERCEIROS!$B$11:$AW$207,T$2,{$A$2;$A8})=0,,DSUM(TERCEIROS!$B$11:$AW$207,T$2,{$A$2;$A8}))</f>
        <v/>
      </c>
      <c r="U8" s="294" t="str">
        <f t="array" ref="U8">IF(DSUM(TERCEIROS!$B$11:$AW$207,U$2,{$A$2;$A8})=0,,DSUM(TERCEIROS!$B$11:$AW$207,U$2,{$A$2;$A8}))</f>
        <v/>
      </c>
      <c r="V8" s="294" t="str">
        <f t="array" ref="V8">IF(DSUM(TERCEIROS!$B$11:$AW$207,V$2,{$A$2;$A8})=0,,DSUM(TERCEIROS!$B$11:$AW$207,V$2,{$A$2;$A8}))</f>
        <v/>
      </c>
      <c r="W8" s="294" t="str">
        <f t="array" ref="W8">IF(DSUM(TERCEIROS!$B$11:$AW$207,W$2,{$A$2;$A8})=0,,DSUM(TERCEIROS!$B$11:$AW$207,W$2,{$A$2;$A8}))</f>
        <v/>
      </c>
      <c r="X8" s="294" t="str">
        <f t="array" ref="X8">IF(DSUM(TERCEIROS!$B$11:$AW$207,X$2,{$A$2;$A8})=0,,DSUM(TERCEIROS!$B$11:$AW$207,X$2,{$A$2;$A8}))</f>
        <v/>
      </c>
      <c r="Y8" s="294" t="str">
        <f t="array" ref="Y8">IF(DSUM(TERCEIROS!$B$11:$AW$207,Y$2,{$A$2;$A8})=0,,DSUM(TERCEIROS!$B$11:$AW$207,Y$2,{$A$2;$A8}))</f>
        <v/>
      </c>
      <c r="Z8" s="294" t="str">
        <f t="array" ref="Z8">IF(DSUM(TERCEIROS!$B$11:$AW$207,Z$2,{$A$2;$A8})=0,,DSUM(TERCEIROS!$B$11:$AW$207,Z$2,{$A$2;$A8}))</f>
        <v/>
      </c>
      <c r="AA8" s="294" t="str">
        <f t="array" ref="AA8">IF(DSUM(TERCEIROS!$B$11:$AW$207,AA$2,{$A$2;$A8})=0,,DSUM(TERCEIROS!$B$11:$AW$207,AA$2,{$A$2;$A8}))</f>
        <v/>
      </c>
      <c r="AB8" s="294" t="str">
        <f t="array" ref="AB8">IF(DSUM(TERCEIROS!$B$11:$AW$207,AB$2,{$A$2;$A8})=0,,DSUM(TERCEIROS!$B$11:$AW$207,AB$2,{$A$2;$A8}))</f>
        <v/>
      </c>
      <c r="AC8" s="294" t="str">
        <f t="array" ref="AC8">IF(DSUM(TERCEIROS!$B$11:$AW$207,AC$2,{$A$2;$A8})=0,,DSUM(TERCEIROS!$B$11:$AW$207,AC$2,{$A$2;$A8}))</f>
        <v/>
      </c>
      <c r="AD8" s="294" t="str">
        <f t="array" ref="AD8">IF(DSUM(TERCEIROS!$B$11:$AW$207,AD$2,{$A$2;$A8})=0,,DSUM(TERCEIROS!$B$11:$AW$207,AD$2,{$A$2;$A8}))</f>
        <v/>
      </c>
      <c r="AE8" s="294" t="str">
        <f t="array" ref="AE8">IF(DSUM(TERCEIROS!$B$11:$AW$207,AE$2,{$A$2;$A8})=0,,DSUM(TERCEIROS!$B$11:$AW$207,AE$2,{$A$2;$A8}))</f>
        <v/>
      </c>
      <c r="AF8" s="294" t="str">
        <f t="array" ref="AF8">IF(DSUM(TERCEIROS!$B$11:$AW$207,AF$2,{$A$2;$A8})=0,,DSUM(TERCEIROS!$B$11:$AW$207,AF$2,{$A$2;$A8}))</f>
        <v/>
      </c>
      <c r="AG8" s="294" t="str">
        <f t="array" ref="AG8">IF(DSUM(TERCEIROS!$B$11:$AW$207,AG$2,{$A$2;$A8})=0,,DSUM(TERCEIROS!$B$11:$AW$207,AG$2,{$A$2;$A8}))</f>
        <v/>
      </c>
      <c r="AH8" s="294" t="str">
        <f t="array" ref="AH8">IF(DSUM(TERCEIROS!$B$11:$AW$207,AH$2,{$A$2;$A8})=0,,DSUM(TERCEIROS!$B$11:$AW$207,AH$2,{$A$2;$A8}))</f>
        <v/>
      </c>
      <c r="AI8" s="294" t="str">
        <f t="array" ref="AI8">IF(DSUM(TERCEIROS!$B$11:$AW$207,AI$2,{$A$2;$A8})=0,,DSUM(TERCEIROS!$B$11:$AW$207,AI$2,{$A$2;$A8}))</f>
        <v/>
      </c>
      <c r="AJ8" s="294" t="str">
        <f t="array" ref="AJ8">IF(DSUM(TERCEIROS!$B$11:$AW$207,AJ$2,{$A$2;$A8})=0,,DSUM(TERCEIROS!$B$11:$AW$207,AJ$2,{$A$2;$A8}))</f>
        <v/>
      </c>
      <c r="AK8" s="294" t="str">
        <f t="array" ref="AK8">IF(DSUM(TERCEIROS!$B$11:$AW$207,AK$2,{$A$2;$A8})=0,,DSUM(TERCEIROS!$B$11:$AW$207,AK$2,{$A$2;$A8}))</f>
        <v/>
      </c>
      <c r="AL8" s="294" t="str">
        <f t="array" ref="AL8">IF(DSUM(TERCEIROS!$B$11:$AW$207,AL$2,{$A$2;$A8})=0,,DSUM(TERCEIROS!$B$11:$AW$207,AL$2,{$A$2;$A8}))</f>
        <v/>
      </c>
    </row>
    <row r="9">
      <c r="A9" s="287" t="s">
        <v>1656</v>
      </c>
      <c r="B9" s="288"/>
      <c r="C9" s="287" t="str">
        <f>VLOOKUP(A9,TERCEIROS!$D$12:$E$135,2,false)</f>
        <v>02.980.901/0001-12</v>
      </c>
      <c r="D9" s="289" t="str">
        <f>VLOOKUP(A9,TERCEIROS!$D$12:$I$135,6,false)</f>
        <v>Inscrição em congresso para profissional autor de relato de caso</v>
      </c>
      <c r="E9" s="290" t="str">
        <f t="array" ref="E9">IF(DSUM(TERCEIROS!$B$11:$AW$207,E$2,{$A$2;$A9})=0,,DSUM(TERCEIROS!$B$11:$AW$207,E$2,{$A$2;$A9}))</f>
        <v/>
      </c>
      <c r="F9" s="290" t="str">
        <f t="array" ref="F9">IF(DSUM(TERCEIROS!$B$11:$AW$207,F$2,{$A$2;$A9})=0,,DSUM(TERCEIROS!$B$11:$AW$207,F$2,{$A$2;$A9}))</f>
        <v/>
      </c>
      <c r="G9" s="290" t="str">
        <f t="array" ref="G9">IF(DSUM(TERCEIROS!$B$11:$AW$207,G$2,{$A$2;$A9})=0,,DSUM(TERCEIROS!$B$11:$AW$207,G$2,{$A$2;$A9}))</f>
        <v/>
      </c>
      <c r="H9" s="290" t="str">
        <f t="array" ref="H9">IF(DSUM(TERCEIROS!$B$11:$AW$207,H$2,{$A$2;$A9})=0,,DSUM(TERCEIROS!$B$11:$AW$207,H$2,{$A$2;$A9}))</f>
        <v/>
      </c>
      <c r="I9" s="290" t="str">
        <f t="array" ref="I9">IF(DSUM(TERCEIROS!$B$11:$AW$207,I$2,{$A$2;$A9})=0,,DSUM(TERCEIROS!$B$11:$AW$207,I$2,{$A$2;$A9}))</f>
        <v/>
      </c>
      <c r="J9" s="290" t="str">
        <f t="array" ref="J9">IF(DSUM(TERCEIROS!$B$11:$AW$207,J$2,{$A$2;$A9})=0,,DSUM(TERCEIROS!$B$11:$AW$207,J$2,{$A$2;$A9}))</f>
        <v/>
      </c>
      <c r="K9" s="290" t="str">
        <f t="array" ref="K9">IF(DSUM(TERCEIROS!$B$11:$AW$207,K$2,{$A$2;$A9})=0,,DSUM(TERCEIROS!$B$11:$AW$207,K$2,{$A$2;$A9}))</f>
        <v/>
      </c>
      <c r="L9" s="290" t="str">
        <f t="array" ref="L9">IF(DSUM(TERCEIROS!$B$11:$AW$207,L$2,{$A$2;$A9})=0,,DSUM(TERCEIROS!$B$11:$AW$207,L$2,{$A$2;$A9}))</f>
        <v/>
      </c>
      <c r="M9" s="290" t="str">
        <f t="array" ref="M9">IF(DSUM(TERCEIROS!$B$11:$AW$207,M$2,{$A$2;$A9})=0,,DSUM(TERCEIROS!$B$11:$AW$207,M$2,{$A$2;$A9}))</f>
        <v/>
      </c>
      <c r="N9" s="290" t="str">
        <f t="array" ref="N9">IF(DSUM(TERCEIROS!$B$11:$AW$207,N$2,{$A$2;$A9})=0,,DSUM(TERCEIROS!$B$11:$AW$207,N$2,{$A$2;$A9}))</f>
        <v/>
      </c>
      <c r="O9" s="290" t="str">
        <f t="array" ref="O9">IF(DSUM(TERCEIROS!$B$11:$AW$207,O$2,{$A$2;$A9})=0,,DSUM(TERCEIROS!$B$11:$AW$207,O$2,{$A$2;$A9}))</f>
        <v/>
      </c>
      <c r="P9" s="290" t="str">
        <f t="array" ref="P9">IF(DSUM(TERCEIROS!$B$11:$AW$207,P$2,{$A$2;$A9})=0,,DSUM(TERCEIROS!$B$11:$AW$207,P$2,{$A$2;$A9}))</f>
        <v/>
      </c>
      <c r="Q9" s="290" t="str">
        <f t="array" ref="Q9">IF(DSUM(TERCEIROS!$B$11:$AW$207,Q$2,{$A$2;$A9})=0,,DSUM(TERCEIROS!$B$11:$AW$207,Q$2,{$A$2;$A9}))</f>
        <v/>
      </c>
      <c r="R9" s="290" t="str">
        <f t="array" ref="R9">IF(DSUM(TERCEIROS!$B$11:$AW$207,R$2,{$A$2;$A9})=0,,DSUM(TERCEIROS!$B$11:$AW$207,R$2,{$A$2;$A9}))</f>
        <v/>
      </c>
      <c r="S9" s="290" t="str">
        <f t="array" ref="S9">IF(DSUM(TERCEIROS!$B$11:$AW$207,S$2,{$A$2;$A9})=0,,DSUM(TERCEIROS!$B$11:$AW$207,S$2,{$A$2;$A9}))</f>
        <v/>
      </c>
      <c r="T9" s="290" t="str">
        <f t="array" ref="T9">IF(DSUM(TERCEIROS!$B$11:$AW$207,T$2,{$A$2;$A9})=0,,DSUM(TERCEIROS!$B$11:$AW$207,T$2,{$A$2;$A9}))</f>
        <v/>
      </c>
      <c r="U9" s="290" t="str">
        <f t="array" ref="U9">IF(DSUM(TERCEIROS!$B$11:$AW$207,U$2,{$A$2;$A9})=0,,DSUM(TERCEIROS!$B$11:$AW$207,U$2,{$A$2;$A9}))</f>
        <v/>
      </c>
      <c r="V9" s="290">
        <f t="array" ref="V9">IF(DSUM(TERCEIROS!$B$11:$AW$207,V$2,{$A$2;$A9})=0,,DSUM(TERCEIROS!$B$11:$AW$207,V$2,{$A$2;$A9}))</f>
        <v>1523</v>
      </c>
      <c r="W9" s="290" t="str">
        <f t="array" ref="W9">IF(DSUM(TERCEIROS!$B$11:$AW$207,W$2,{$A$2;$A9})=0,,DSUM(TERCEIROS!$B$11:$AW$207,W$2,{$A$2;$A9}))</f>
        <v/>
      </c>
      <c r="X9" s="290" t="str">
        <f t="array" ref="X9">IF(DSUM(TERCEIROS!$B$11:$AW$207,X$2,{$A$2;$A9})=0,,DSUM(TERCEIROS!$B$11:$AW$207,X$2,{$A$2;$A9}))</f>
        <v/>
      </c>
      <c r="Y9" s="290" t="str">
        <f t="array" ref="Y9">IF(DSUM(TERCEIROS!$B$11:$AW$207,Y$2,{$A$2;$A9})=0,,DSUM(TERCEIROS!$B$11:$AW$207,Y$2,{$A$2;$A9}))</f>
        <v/>
      </c>
      <c r="Z9" s="290" t="str">
        <f t="array" ref="Z9">IF(DSUM(TERCEIROS!$B$11:$AW$207,Z$2,{$A$2;$A9})=0,,DSUM(TERCEIROS!$B$11:$AW$207,Z$2,{$A$2;$A9}))</f>
        <v/>
      </c>
      <c r="AA9" s="290" t="str">
        <f t="array" ref="AA9">IF(DSUM(TERCEIROS!$B$11:$AW$207,AA$2,{$A$2;$A9})=0,,DSUM(TERCEIROS!$B$11:$AW$207,AA$2,{$A$2;$A9}))</f>
        <v/>
      </c>
      <c r="AB9" s="290" t="str">
        <f t="array" ref="AB9">IF(DSUM(TERCEIROS!$B$11:$AW$207,AB$2,{$A$2;$A9})=0,,DSUM(TERCEIROS!$B$11:$AW$207,AB$2,{$A$2;$A9}))</f>
        <v/>
      </c>
      <c r="AC9" s="290" t="str">
        <f t="array" ref="AC9">IF(DSUM(TERCEIROS!$B$11:$AW$207,AC$2,{$A$2;$A9})=0,,DSUM(TERCEIROS!$B$11:$AW$207,AC$2,{$A$2;$A9}))</f>
        <v/>
      </c>
      <c r="AD9" s="290" t="str">
        <f t="array" ref="AD9">IF(DSUM(TERCEIROS!$B$11:$AW$207,AD$2,{$A$2;$A9})=0,,DSUM(TERCEIROS!$B$11:$AW$207,AD$2,{$A$2;$A9}))</f>
        <v/>
      </c>
      <c r="AE9" s="290" t="str">
        <f t="array" ref="AE9">IF(DSUM(TERCEIROS!$B$11:$AW$207,AE$2,{$A$2;$A9})=0,,DSUM(TERCEIROS!$B$11:$AW$207,AE$2,{$A$2;$A9}))</f>
        <v/>
      </c>
      <c r="AF9" s="290" t="str">
        <f t="array" ref="AF9">IF(DSUM(TERCEIROS!$B$11:$AW$207,AF$2,{$A$2;$A9})=0,,DSUM(TERCEIROS!$B$11:$AW$207,AF$2,{$A$2;$A9}))</f>
        <v/>
      </c>
      <c r="AG9" s="290" t="str">
        <f t="array" ref="AG9">IF(DSUM(TERCEIROS!$B$11:$AW$207,AG$2,{$A$2;$A9})=0,,DSUM(TERCEIROS!$B$11:$AW$207,AG$2,{$A$2;$A9}))</f>
        <v/>
      </c>
      <c r="AH9" s="290" t="str">
        <f t="array" ref="AH9">IF(DSUM(TERCEIROS!$B$11:$AW$207,AH$2,{$A$2;$A9})=0,,DSUM(TERCEIROS!$B$11:$AW$207,AH$2,{$A$2;$A9}))</f>
        <v/>
      </c>
      <c r="AI9" s="290" t="str">
        <f t="array" ref="AI9">IF(DSUM(TERCEIROS!$B$11:$AW$207,AI$2,{$A$2;$A9})=0,,DSUM(TERCEIROS!$B$11:$AW$207,AI$2,{$A$2;$A9}))</f>
        <v/>
      </c>
      <c r="AJ9" s="290" t="str">
        <f t="array" ref="AJ9">IF(DSUM(TERCEIROS!$B$11:$AW$207,AJ$2,{$A$2;$A9})=0,,DSUM(TERCEIROS!$B$11:$AW$207,AJ$2,{$A$2;$A9}))</f>
        <v/>
      </c>
      <c r="AK9" s="290" t="str">
        <f t="array" ref="AK9">IF(DSUM(TERCEIROS!$B$11:$AW$207,AK$2,{$A$2;$A9})=0,,DSUM(TERCEIROS!$B$11:$AW$207,AK$2,{$A$2;$A9}))</f>
        <v/>
      </c>
      <c r="AL9" s="290" t="str">
        <f t="array" ref="AL9">IF(DSUM(TERCEIROS!$B$11:$AW$207,AL$2,{$A$2;$A9})=0,,DSUM(TERCEIROS!$B$11:$AW$207,AL$2,{$A$2;$A9}))</f>
        <v/>
      </c>
    </row>
    <row r="10">
      <c r="A10" s="291" t="s">
        <v>1733</v>
      </c>
      <c r="B10" s="292"/>
      <c r="C10" s="291" t="str">
        <f>VLOOKUP(A10,TERCEIROS!$D$12:$E$135,2,false)</f>
        <v>02.908.901/0001-12</v>
      </c>
      <c r="D10" s="293" t="str">
        <f>VLOOKUP(A10,TERCEIROS!$D$12:$I$135,6,false)</f>
        <v>Inscrição em congresso para apresentação de resultados de estudo de caso/divulgação científica</v>
      </c>
      <c r="E10" s="294" t="str">
        <f t="array" ref="E10">IF(DSUM(TERCEIROS!$B$11:$AW$207,E$2,{$A$2;$A10})=0,,DSUM(TERCEIROS!$B$11:$AW$207,E$2,{$A$2;$A10}))</f>
        <v/>
      </c>
      <c r="F10" s="294" t="str">
        <f t="array" ref="F10">IF(DSUM(TERCEIROS!$B$11:$AW$207,F$2,{$A$2;$A10})=0,,DSUM(TERCEIROS!$B$11:$AW$207,F$2,{$A$2;$A10}))</f>
        <v/>
      </c>
      <c r="G10" s="294" t="str">
        <f t="array" ref="G10">IF(DSUM(TERCEIROS!$B$11:$AW$207,G$2,{$A$2;$A10})=0,,DSUM(TERCEIROS!$B$11:$AW$207,G$2,{$A$2;$A10}))</f>
        <v/>
      </c>
      <c r="H10" s="294" t="str">
        <f t="array" ref="H10">IF(DSUM(TERCEIROS!$B$11:$AW$207,H$2,{$A$2;$A10})=0,,DSUM(TERCEIROS!$B$11:$AW$207,H$2,{$A$2;$A10}))</f>
        <v/>
      </c>
      <c r="I10" s="294" t="str">
        <f t="array" ref="I10">IF(DSUM(TERCEIROS!$B$11:$AW$207,I$2,{$A$2;$A10})=0,,DSUM(TERCEIROS!$B$11:$AW$207,I$2,{$A$2;$A10}))</f>
        <v/>
      </c>
      <c r="J10" s="294" t="str">
        <f t="array" ref="J10">IF(DSUM(TERCEIROS!$B$11:$AW$207,J$2,{$A$2;$A10})=0,,DSUM(TERCEIROS!$B$11:$AW$207,J$2,{$A$2;$A10}))</f>
        <v/>
      </c>
      <c r="K10" s="294" t="str">
        <f t="array" ref="K10">IF(DSUM(TERCEIROS!$B$11:$AW$207,K$2,{$A$2;$A10})=0,,DSUM(TERCEIROS!$B$11:$AW$207,K$2,{$A$2;$A10}))</f>
        <v/>
      </c>
      <c r="L10" s="294" t="str">
        <f t="array" ref="L10">IF(DSUM(TERCEIROS!$B$11:$AW$207,L$2,{$A$2;$A10})=0,,DSUM(TERCEIROS!$B$11:$AW$207,L$2,{$A$2;$A10}))</f>
        <v/>
      </c>
      <c r="M10" s="294" t="str">
        <f t="array" ref="M10">IF(DSUM(TERCEIROS!$B$11:$AW$207,M$2,{$A$2;$A10})=0,,DSUM(TERCEIROS!$B$11:$AW$207,M$2,{$A$2;$A10}))</f>
        <v/>
      </c>
      <c r="N10" s="294" t="str">
        <f t="array" ref="N10">IF(DSUM(TERCEIROS!$B$11:$AW$207,N$2,{$A$2;$A10})=0,,DSUM(TERCEIROS!$B$11:$AW$207,N$2,{$A$2;$A10}))</f>
        <v/>
      </c>
      <c r="O10" s="294" t="str">
        <f t="array" ref="O10">IF(DSUM(TERCEIROS!$B$11:$AW$207,O$2,{$A$2;$A10})=0,,DSUM(TERCEIROS!$B$11:$AW$207,O$2,{$A$2;$A10}))</f>
        <v/>
      </c>
      <c r="P10" s="294" t="str">
        <f t="array" ref="P10">IF(DSUM(TERCEIROS!$B$11:$AW$207,P$2,{$A$2;$A10})=0,,DSUM(TERCEIROS!$B$11:$AW$207,P$2,{$A$2;$A10}))</f>
        <v/>
      </c>
      <c r="Q10" s="294" t="str">
        <f t="array" ref="Q10">IF(DSUM(TERCEIROS!$B$11:$AW$207,Q$2,{$A$2;$A10})=0,,DSUM(TERCEIROS!$B$11:$AW$207,Q$2,{$A$2;$A10}))</f>
        <v/>
      </c>
      <c r="R10" s="294" t="str">
        <f t="array" ref="R10">IF(DSUM(TERCEIROS!$B$11:$AW$207,R$2,{$A$2;$A10})=0,,DSUM(TERCEIROS!$B$11:$AW$207,R$2,{$A$2;$A10}))</f>
        <v/>
      </c>
      <c r="S10" s="294" t="str">
        <f t="array" ref="S10">IF(DSUM(TERCEIROS!$B$11:$AW$207,S$2,{$A$2;$A10})=0,,DSUM(TERCEIROS!$B$11:$AW$207,S$2,{$A$2;$A10}))</f>
        <v/>
      </c>
      <c r="T10" s="294" t="str">
        <f t="array" ref="T10">IF(DSUM(TERCEIROS!$B$11:$AW$207,T$2,{$A$2;$A10})=0,,DSUM(TERCEIROS!$B$11:$AW$207,T$2,{$A$2;$A10}))</f>
        <v/>
      </c>
      <c r="U10" s="294" t="str">
        <f t="array" ref="U10">IF(DSUM(TERCEIROS!$B$11:$AW$207,U$2,{$A$2;$A10})=0,,DSUM(TERCEIROS!$B$11:$AW$207,U$2,{$A$2;$A10}))</f>
        <v/>
      </c>
      <c r="V10" s="294" t="str">
        <f t="array" ref="V10">IF(DSUM(TERCEIROS!$B$11:$AW$207,V$2,{$A$2;$A10})=0,,DSUM(TERCEIROS!$B$11:$AW$207,V$2,{$A$2;$A10}))</f>
        <v/>
      </c>
      <c r="W10" s="294" t="str">
        <f t="array" ref="W10">IF(DSUM(TERCEIROS!$B$11:$AW$207,W$2,{$A$2;$A10})=0,,DSUM(TERCEIROS!$B$11:$AW$207,W$2,{$A$2;$A10}))</f>
        <v/>
      </c>
      <c r="X10" s="294" t="str">
        <f t="array" ref="X10">IF(DSUM(TERCEIROS!$B$11:$AW$207,X$2,{$A$2;$A10})=0,,DSUM(TERCEIROS!$B$11:$AW$207,X$2,{$A$2;$A10}))</f>
        <v/>
      </c>
      <c r="Y10" s="294" t="str">
        <f t="array" ref="Y10">IF(DSUM(TERCEIROS!$B$11:$AW$207,Y$2,{$A$2;$A10})=0,,DSUM(TERCEIROS!$B$11:$AW$207,Y$2,{$A$2;$A10}))</f>
        <v/>
      </c>
      <c r="Z10" s="294" t="str">
        <f t="array" ref="Z10">IF(DSUM(TERCEIROS!$B$11:$AW$207,Z$2,{$A$2;$A10})=0,,DSUM(TERCEIROS!$B$11:$AW$207,Z$2,{$A$2;$A10}))</f>
        <v/>
      </c>
      <c r="AA10" s="294" t="str">
        <f t="array" ref="AA10">IF(DSUM(TERCEIROS!$B$11:$AW$207,AA$2,{$A$2;$A10})=0,,DSUM(TERCEIROS!$B$11:$AW$207,AA$2,{$A$2;$A10}))</f>
        <v/>
      </c>
      <c r="AB10" s="294" t="str">
        <f t="array" ref="AB10">IF(DSUM(TERCEIROS!$B$11:$AW$207,AB$2,{$A$2;$A10})=0,,DSUM(TERCEIROS!$B$11:$AW$207,AB$2,{$A$2;$A10}))</f>
        <v/>
      </c>
      <c r="AC10" s="294" t="str">
        <f t="array" ref="AC10">IF(DSUM(TERCEIROS!$B$11:$AW$207,AC$2,{$A$2;$A10})=0,,DSUM(TERCEIROS!$B$11:$AW$207,AC$2,{$A$2;$A10}))</f>
        <v/>
      </c>
      <c r="AD10" s="294" t="str">
        <f t="array" ref="AD10">IF(DSUM(TERCEIROS!$B$11:$AW$207,AD$2,{$A$2;$A10})=0,,DSUM(TERCEIROS!$B$11:$AW$207,AD$2,{$A$2;$A10}))</f>
        <v/>
      </c>
      <c r="AE10" s="294" t="str">
        <f t="array" ref="AE10">IF(DSUM(TERCEIROS!$B$11:$AW$207,AE$2,{$A$2;$A10})=0,,DSUM(TERCEIROS!$B$11:$AW$207,AE$2,{$A$2;$A10}))</f>
        <v/>
      </c>
      <c r="AF10" s="294" t="str">
        <f t="array" ref="AF10">IF(DSUM(TERCEIROS!$B$11:$AW$207,AF$2,{$A$2;$A10})=0,,DSUM(TERCEIROS!$B$11:$AW$207,AF$2,{$A$2;$A10}))</f>
        <v/>
      </c>
      <c r="AG10" s="294" t="str">
        <f t="array" ref="AG10">IF(DSUM(TERCEIROS!$B$11:$AW$207,AG$2,{$A$2;$A10})=0,,DSUM(TERCEIROS!$B$11:$AW$207,AG$2,{$A$2;$A10}))</f>
        <v/>
      </c>
      <c r="AH10" s="294" t="str">
        <f t="array" ref="AH10">IF(DSUM(TERCEIROS!$B$11:$AW$207,AH$2,{$A$2;$A10})=0,,DSUM(TERCEIROS!$B$11:$AW$207,AH$2,{$A$2;$A10}))</f>
        <v/>
      </c>
      <c r="AI10" s="294" t="str">
        <f t="array" ref="AI10">IF(DSUM(TERCEIROS!$B$11:$AW$207,AI$2,{$A$2;$A10})=0,,DSUM(TERCEIROS!$B$11:$AW$207,AI$2,{$A$2;$A10}))</f>
        <v/>
      </c>
      <c r="AJ10" s="294" t="str">
        <f t="array" ref="AJ10">IF(DSUM(TERCEIROS!$B$11:$AW$207,AJ$2,{$A$2;$A10})=0,,DSUM(TERCEIROS!$B$11:$AW$207,AJ$2,{$A$2;$A10}))</f>
        <v/>
      </c>
      <c r="AK10" s="294" t="str">
        <f t="array" ref="AK10">IF(DSUM(TERCEIROS!$B$11:$AW$207,AK$2,{$A$2;$A10})=0,,DSUM(TERCEIROS!$B$11:$AW$207,AK$2,{$A$2;$A10}))</f>
        <v/>
      </c>
      <c r="AL10" s="294" t="str">
        <f t="array" ref="AL10">IF(DSUM(TERCEIROS!$B$11:$AW$207,AL$2,{$A$2;$A10})=0,,DSUM(TERCEIROS!$B$11:$AW$207,AL$2,{$A$2;$A10}))</f>
        <v/>
      </c>
    </row>
    <row r="11">
      <c r="A11" s="287" t="s">
        <v>1755</v>
      </c>
      <c r="B11" s="288"/>
      <c r="C11" s="287" t="str">
        <f>VLOOKUP(A11,TERCEIROS!$D$12:$E$135,2,false)</f>
        <v>44.442.510/0001-94</v>
      </c>
      <c r="D11" s="289" t="str">
        <f>VLOOKUP(A11,TERCEIROS!$D$12:$I$135,6,false)</f>
        <v>Consultoria científica - envelhecimento e massa muscular</v>
      </c>
      <c r="E11" s="290" t="str">
        <f t="array" ref="E11">IF(DSUM(TERCEIROS!$B$11:$AW$207,E$2,{$A$2;$A11})=0,,DSUM(TERCEIROS!$B$11:$AW$207,E$2,{$A$2;$A11}))</f>
        <v/>
      </c>
      <c r="F11" s="290" t="str">
        <f t="array" ref="F11">IF(DSUM(TERCEIROS!$B$11:$AW$207,F$2,{$A$2;$A11})=0,,DSUM(TERCEIROS!$B$11:$AW$207,F$2,{$A$2;$A11}))</f>
        <v/>
      </c>
      <c r="G11" s="290" t="str">
        <f t="array" ref="G11">IF(DSUM(TERCEIROS!$B$11:$AW$207,G$2,{$A$2;$A11})=0,,DSUM(TERCEIROS!$B$11:$AW$207,G$2,{$A$2;$A11}))</f>
        <v/>
      </c>
      <c r="H11" s="290" t="str">
        <f t="array" ref="H11">IF(DSUM(TERCEIROS!$B$11:$AW$207,H$2,{$A$2;$A11})=0,,DSUM(TERCEIROS!$B$11:$AW$207,H$2,{$A$2;$A11}))</f>
        <v/>
      </c>
      <c r="I11" s="290">
        <f t="array" ref="I11">IF(DSUM(TERCEIROS!$B$11:$AW$207,I$2,{$A$2;$A11})=0,,DSUM(TERCEIROS!$B$11:$AW$207,I$2,{$A$2;$A11}))</f>
        <v>1598.295</v>
      </c>
      <c r="J11" s="290" t="str">
        <f t="array" ref="J11">IF(DSUM(TERCEIROS!$B$11:$AW$207,J$2,{$A$2;$A11})=0,,DSUM(TERCEIROS!$B$11:$AW$207,J$2,{$A$2;$A11}))</f>
        <v/>
      </c>
      <c r="K11" s="290" t="str">
        <f t="array" ref="K11">IF(DSUM(TERCEIROS!$B$11:$AW$207,K$2,{$A$2;$A11})=0,,DSUM(TERCEIROS!$B$11:$AW$207,K$2,{$A$2;$A11}))</f>
        <v/>
      </c>
      <c r="L11" s="290" t="str">
        <f t="array" ref="L11">IF(DSUM(TERCEIROS!$B$11:$AW$207,L$2,{$A$2;$A11})=0,,DSUM(TERCEIROS!$B$11:$AW$207,L$2,{$A$2;$A11}))</f>
        <v/>
      </c>
      <c r="M11" s="290" t="str">
        <f t="array" ref="M11">IF(DSUM(TERCEIROS!$B$11:$AW$207,M$2,{$A$2;$A11})=0,,DSUM(TERCEIROS!$B$11:$AW$207,M$2,{$A$2;$A11}))</f>
        <v/>
      </c>
      <c r="N11" s="290" t="str">
        <f t="array" ref="N11">IF(DSUM(TERCEIROS!$B$11:$AW$207,N$2,{$A$2;$A11})=0,,DSUM(TERCEIROS!$B$11:$AW$207,N$2,{$A$2;$A11}))</f>
        <v/>
      </c>
      <c r="O11" s="290" t="str">
        <f t="array" ref="O11">IF(DSUM(TERCEIROS!$B$11:$AW$207,O$2,{$A$2;$A11})=0,,DSUM(TERCEIROS!$B$11:$AW$207,O$2,{$A$2;$A11}))</f>
        <v/>
      </c>
      <c r="P11" s="290" t="str">
        <f t="array" ref="P11">IF(DSUM(TERCEIROS!$B$11:$AW$207,P$2,{$A$2;$A11})=0,,DSUM(TERCEIROS!$B$11:$AW$207,P$2,{$A$2;$A11}))</f>
        <v/>
      </c>
      <c r="Q11" s="290" t="str">
        <f t="array" ref="Q11">IF(DSUM(TERCEIROS!$B$11:$AW$207,Q$2,{$A$2;$A11})=0,,DSUM(TERCEIROS!$B$11:$AW$207,Q$2,{$A$2;$A11}))</f>
        <v/>
      </c>
      <c r="R11" s="290" t="str">
        <f t="array" ref="R11">IF(DSUM(TERCEIROS!$B$11:$AW$207,R$2,{$A$2;$A11})=0,,DSUM(TERCEIROS!$B$11:$AW$207,R$2,{$A$2;$A11}))</f>
        <v/>
      </c>
      <c r="S11" s="290" t="str">
        <f t="array" ref="S11">IF(DSUM(TERCEIROS!$B$11:$AW$207,S$2,{$A$2;$A11})=0,,DSUM(TERCEIROS!$B$11:$AW$207,S$2,{$A$2;$A11}))</f>
        <v/>
      </c>
      <c r="T11" s="290" t="str">
        <f t="array" ref="T11">IF(DSUM(TERCEIROS!$B$11:$AW$207,T$2,{$A$2;$A11})=0,,DSUM(TERCEIROS!$B$11:$AW$207,T$2,{$A$2;$A11}))</f>
        <v/>
      </c>
      <c r="U11" s="290" t="str">
        <f t="array" ref="U11">IF(DSUM(TERCEIROS!$B$11:$AW$207,U$2,{$A$2;$A11})=0,,DSUM(TERCEIROS!$B$11:$AW$207,U$2,{$A$2;$A11}))</f>
        <v/>
      </c>
      <c r="V11" s="290" t="str">
        <f t="array" ref="V11">IF(DSUM(TERCEIROS!$B$11:$AW$207,V$2,{$A$2;$A11})=0,,DSUM(TERCEIROS!$B$11:$AW$207,V$2,{$A$2;$A11}))</f>
        <v/>
      </c>
      <c r="W11" s="290" t="str">
        <f t="array" ref="W11">IF(DSUM(TERCEIROS!$B$11:$AW$207,W$2,{$A$2;$A11})=0,,DSUM(TERCEIROS!$B$11:$AW$207,W$2,{$A$2;$A11}))</f>
        <v/>
      </c>
      <c r="X11" s="290" t="str">
        <f t="array" ref="X11">IF(DSUM(TERCEIROS!$B$11:$AW$207,X$2,{$A$2;$A11})=0,,DSUM(TERCEIROS!$B$11:$AW$207,X$2,{$A$2;$A11}))</f>
        <v/>
      </c>
      <c r="Y11" s="290" t="str">
        <f t="array" ref="Y11">IF(DSUM(TERCEIROS!$B$11:$AW$207,Y$2,{$A$2;$A11})=0,,DSUM(TERCEIROS!$B$11:$AW$207,Y$2,{$A$2;$A11}))</f>
        <v/>
      </c>
      <c r="Z11" s="290" t="str">
        <f t="array" ref="Z11">IF(DSUM(TERCEIROS!$B$11:$AW$207,Z$2,{$A$2;$A11})=0,,DSUM(TERCEIROS!$B$11:$AW$207,Z$2,{$A$2;$A11}))</f>
        <v/>
      </c>
      <c r="AA11" s="290" t="str">
        <f t="array" ref="AA11">IF(DSUM(TERCEIROS!$B$11:$AW$207,AA$2,{$A$2;$A11})=0,,DSUM(TERCEIROS!$B$11:$AW$207,AA$2,{$A$2;$A11}))</f>
        <v/>
      </c>
      <c r="AB11" s="290" t="str">
        <f t="array" ref="AB11">IF(DSUM(TERCEIROS!$B$11:$AW$207,AB$2,{$A$2;$A11})=0,,DSUM(TERCEIROS!$B$11:$AW$207,AB$2,{$A$2;$A11}))</f>
        <v/>
      </c>
      <c r="AC11" s="290">
        <f t="array" ref="AC11">IF(DSUM(TERCEIROS!$B$11:$AW$207,AC$2,{$A$2;$A11})=0,,DSUM(TERCEIROS!$B$11:$AW$207,AC$2,{$A$2;$A11}))</f>
        <v>1598.295</v>
      </c>
      <c r="AD11" s="290" t="str">
        <f t="array" ref="AD11">IF(DSUM(TERCEIROS!$B$11:$AW$207,AD$2,{$A$2;$A11})=0,,DSUM(TERCEIROS!$B$11:$AW$207,AD$2,{$A$2;$A11}))</f>
        <v/>
      </c>
      <c r="AE11" s="290" t="str">
        <f t="array" ref="AE11">IF(DSUM(TERCEIROS!$B$11:$AW$207,AE$2,{$A$2;$A11})=0,,DSUM(TERCEIROS!$B$11:$AW$207,AE$2,{$A$2;$A11}))</f>
        <v/>
      </c>
      <c r="AF11" s="290" t="str">
        <f t="array" ref="AF11">IF(DSUM(TERCEIROS!$B$11:$AW$207,AF$2,{$A$2;$A11})=0,,DSUM(TERCEIROS!$B$11:$AW$207,AF$2,{$A$2;$A11}))</f>
        <v/>
      </c>
      <c r="AG11" s="290" t="str">
        <f t="array" ref="AG11">IF(DSUM(TERCEIROS!$B$11:$AW$207,AG$2,{$A$2;$A11})=0,,DSUM(TERCEIROS!$B$11:$AW$207,AG$2,{$A$2;$A11}))</f>
        <v/>
      </c>
      <c r="AH11" s="290" t="str">
        <f t="array" ref="AH11">IF(DSUM(TERCEIROS!$B$11:$AW$207,AH$2,{$A$2;$A11})=0,,DSUM(TERCEIROS!$B$11:$AW$207,AH$2,{$A$2;$A11}))</f>
        <v/>
      </c>
      <c r="AI11" s="290" t="str">
        <f t="array" ref="AI11">IF(DSUM(TERCEIROS!$B$11:$AW$207,AI$2,{$A$2;$A11})=0,,DSUM(TERCEIROS!$B$11:$AW$207,AI$2,{$A$2;$A11}))</f>
        <v/>
      </c>
      <c r="AJ11" s="290" t="str">
        <f t="array" ref="AJ11">IF(DSUM(TERCEIROS!$B$11:$AW$207,AJ$2,{$A$2;$A11})=0,,DSUM(TERCEIROS!$B$11:$AW$207,AJ$2,{$A$2;$A11}))</f>
        <v/>
      </c>
      <c r="AK11" s="290" t="str">
        <f t="array" ref="AK11">IF(DSUM(TERCEIROS!$B$11:$AW$207,AK$2,{$A$2;$A11})=0,,DSUM(TERCEIROS!$B$11:$AW$207,AK$2,{$A$2;$A11}))</f>
        <v/>
      </c>
      <c r="AL11" s="290" t="str">
        <f t="array" ref="AL11">IF(DSUM(TERCEIROS!$B$11:$AW$207,AL$2,{$A$2;$A11})=0,,DSUM(TERCEIROS!$B$11:$AW$207,AL$2,{$A$2;$A11}))</f>
        <v/>
      </c>
    </row>
    <row r="12">
      <c r="A12" s="291" t="s">
        <v>1742</v>
      </c>
      <c r="B12" s="292"/>
      <c r="C12" s="291" t="str">
        <f>VLOOKUP(A12,TERCEIROS!$D$12:$E$135,2,false)</f>
        <v>#N/A</v>
      </c>
      <c r="D12" s="293" t="str">
        <f>VLOOKUP(A12,TERCEIROS!$D$12:$I$135,6,false)</f>
        <v>Passagem aérea para teste P&amp;D - Latco</v>
      </c>
      <c r="E12" s="294" t="str">
        <f t="array" ref="E12">IF(DSUM(TERCEIROS!$B$11:$AW$207,E$2,{$A$2;$A12})=0,,DSUM(TERCEIROS!$B$11:$AW$207,E$2,{$A$2;$A12}))</f>
        <v/>
      </c>
      <c r="F12" s="294" t="str">
        <f t="array" ref="F12">IF(DSUM(TERCEIROS!$B$11:$AW$207,F$2,{$A$2;$A12})=0,,DSUM(TERCEIROS!$B$11:$AW$207,F$2,{$A$2;$A12}))</f>
        <v/>
      </c>
      <c r="G12" s="294" t="str">
        <f t="array" ref="G12">IF(DSUM(TERCEIROS!$B$11:$AW$207,G$2,{$A$2;$A12})=0,,DSUM(TERCEIROS!$B$11:$AW$207,G$2,{$A$2;$A12}))</f>
        <v/>
      </c>
      <c r="H12" s="294" t="str">
        <f t="array" ref="H12">IF(DSUM(TERCEIROS!$B$11:$AW$207,H$2,{$A$2;$A12})=0,,DSUM(TERCEIROS!$B$11:$AW$207,H$2,{$A$2;$A12}))</f>
        <v/>
      </c>
      <c r="I12" s="294" t="str">
        <f t="array" ref="I12">IF(DSUM(TERCEIROS!$B$11:$AW$207,I$2,{$A$2;$A12})=0,,DSUM(TERCEIROS!$B$11:$AW$207,I$2,{$A$2;$A12}))</f>
        <v/>
      </c>
      <c r="J12" s="294" t="str">
        <f t="array" ref="J12">IF(DSUM(TERCEIROS!$B$11:$AW$207,J$2,{$A$2;$A12})=0,,DSUM(TERCEIROS!$B$11:$AW$207,J$2,{$A$2;$A12}))</f>
        <v/>
      </c>
      <c r="K12" s="294" t="str">
        <f t="array" ref="K12">IF(DSUM(TERCEIROS!$B$11:$AW$207,K$2,{$A$2;$A12})=0,,DSUM(TERCEIROS!$B$11:$AW$207,K$2,{$A$2;$A12}))</f>
        <v/>
      </c>
      <c r="L12" s="294" t="str">
        <f t="array" ref="L12">IF(DSUM(TERCEIROS!$B$11:$AW$207,L$2,{$A$2;$A12})=0,,DSUM(TERCEIROS!$B$11:$AW$207,L$2,{$A$2;$A12}))</f>
        <v/>
      </c>
      <c r="M12" s="294" t="str">
        <f t="array" ref="M12">IF(DSUM(TERCEIROS!$B$11:$AW$207,M$2,{$A$2;$A12})=0,,DSUM(TERCEIROS!$B$11:$AW$207,M$2,{$A$2;$A12}))</f>
        <v/>
      </c>
      <c r="N12" s="294" t="str">
        <f t="array" ref="N12">IF(DSUM(TERCEIROS!$B$11:$AW$207,N$2,{$A$2;$A12})=0,,DSUM(TERCEIROS!$B$11:$AW$207,N$2,{$A$2;$A12}))</f>
        <v/>
      </c>
      <c r="O12" s="294" t="str">
        <f t="array" ref="O12">IF(DSUM(TERCEIROS!$B$11:$AW$207,O$2,{$A$2;$A12})=0,,DSUM(TERCEIROS!$B$11:$AW$207,O$2,{$A$2;$A12}))</f>
        <v/>
      </c>
      <c r="P12" s="294" t="str">
        <f t="array" ref="P12">IF(DSUM(TERCEIROS!$B$11:$AW$207,P$2,{$A$2;$A12})=0,,DSUM(TERCEIROS!$B$11:$AW$207,P$2,{$A$2;$A12}))</f>
        <v/>
      </c>
      <c r="Q12" s="294" t="str">
        <f t="array" ref="Q12">IF(DSUM(TERCEIROS!$B$11:$AW$207,Q$2,{$A$2;$A12})=0,,DSUM(TERCEIROS!$B$11:$AW$207,Q$2,{$A$2;$A12}))</f>
        <v/>
      </c>
      <c r="R12" s="294" t="str">
        <f t="array" ref="R12">IF(DSUM(TERCEIROS!$B$11:$AW$207,R$2,{$A$2;$A12})=0,,DSUM(TERCEIROS!$B$11:$AW$207,R$2,{$A$2;$A12}))</f>
        <v/>
      </c>
      <c r="S12" s="294" t="str">
        <f t="array" ref="S12">IF(DSUM(TERCEIROS!$B$11:$AW$207,S$2,{$A$2;$A12})=0,,DSUM(TERCEIROS!$B$11:$AW$207,S$2,{$A$2;$A12}))</f>
        <v/>
      </c>
      <c r="T12" s="294" t="str">
        <f t="array" ref="T12">IF(DSUM(TERCEIROS!$B$11:$AW$207,T$2,{$A$2;$A12})=0,,DSUM(TERCEIROS!$B$11:$AW$207,T$2,{$A$2;$A12}))</f>
        <v/>
      </c>
      <c r="U12" s="294" t="str">
        <f t="array" ref="U12">IF(DSUM(TERCEIROS!$B$11:$AW$207,U$2,{$A$2;$A12})=0,,DSUM(TERCEIROS!$B$11:$AW$207,U$2,{$A$2;$A12}))</f>
        <v/>
      </c>
      <c r="V12" s="294" t="str">
        <f t="array" ref="V12">IF(DSUM(TERCEIROS!$B$11:$AW$207,V$2,{$A$2;$A12})=0,,DSUM(TERCEIROS!$B$11:$AW$207,V$2,{$A$2;$A12}))</f>
        <v/>
      </c>
      <c r="W12" s="294" t="str">
        <f t="array" ref="W12">IF(DSUM(TERCEIROS!$B$11:$AW$207,W$2,{$A$2;$A12})=0,,DSUM(TERCEIROS!$B$11:$AW$207,W$2,{$A$2;$A12}))</f>
        <v/>
      </c>
      <c r="X12" s="294" t="str">
        <f t="array" ref="X12">IF(DSUM(TERCEIROS!$B$11:$AW$207,X$2,{$A$2;$A12})=0,,DSUM(TERCEIROS!$B$11:$AW$207,X$2,{$A$2;$A12}))</f>
        <v/>
      </c>
      <c r="Y12" s="294" t="str">
        <f t="array" ref="Y12">IF(DSUM(TERCEIROS!$B$11:$AW$207,Y$2,{$A$2;$A12})=0,,DSUM(TERCEIROS!$B$11:$AW$207,Y$2,{$A$2;$A12}))</f>
        <v/>
      </c>
      <c r="Z12" s="294" t="str">
        <f t="array" ref="Z12">IF(DSUM(TERCEIROS!$B$11:$AW$207,Z$2,{$A$2;$A12})=0,,DSUM(TERCEIROS!$B$11:$AW$207,Z$2,{$A$2;$A12}))</f>
        <v/>
      </c>
      <c r="AA12" s="294" t="str">
        <f t="array" ref="AA12">IF(DSUM(TERCEIROS!$B$11:$AW$207,AA$2,{$A$2;$A12})=0,,DSUM(TERCEIROS!$B$11:$AW$207,AA$2,{$A$2;$A12}))</f>
        <v/>
      </c>
      <c r="AB12" s="294" t="str">
        <f t="array" ref="AB12">IF(DSUM(TERCEIROS!$B$11:$AW$207,AB$2,{$A$2;$A12})=0,,DSUM(TERCEIROS!$B$11:$AW$207,AB$2,{$A$2;$A12}))</f>
        <v/>
      </c>
      <c r="AC12" s="294" t="str">
        <f t="array" ref="AC12">IF(DSUM(TERCEIROS!$B$11:$AW$207,AC$2,{$A$2;$A12})=0,,DSUM(TERCEIROS!$B$11:$AW$207,AC$2,{$A$2;$A12}))</f>
        <v/>
      </c>
      <c r="AD12" s="294" t="str">
        <f t="array" ref="AD12">IF(DSUM(TERCEIROS!$B$11:$AW$207,AD$2,{$A$2;$A12})=0,,DSUM(TERCEIROS!$B$11:$AW$207,AD$2,{$A$2;$A12}))</f>
        <v/>
      </c>
      <c r="AE12" s="294" t="str">
        <f t="array" ref="AE12">IF(DSUM(TERCEIROS!$B$11:$AW$207,AE$2,{$A$2;$A12})=0,,DSUM(TERCEIROS!$B$11:$AW$207,AE$2,{$A$2;$A12}))</f>
        <v/>
      </c>
      <c r="AF12" s="294" t="str">
        <f t="array" ref="AF12">IF(DSUM(TERCEIROS!$B$11:$AW$207,AF$2,{$A$2;$A12})=0,,DSUM(TERCEIROS!$B$11:$AW$207,AF$2,{$A$2;$A12}))</f>
        <v/>
      </c>
      <c r="AG12" s="294" t="str">
        <f t="array" ref="AG12">IF(DSUM(TERCEIROS!$B$11:$AW$207,AG$2,{$A$2;$A12})=0,,DSUM(TERCEIROS!$B$11:$AW$207,AG$2,{$A$2;$A12}))</f>
        <v/>
      </c>
      <c r="AH12" s="294" t="str">
        <f t="array" ref="AH12">IF(DSUM(TERCEIROS!$B$11:$AW$207,AH$2,{$A$2;$A12})=0,,DSUM(TERCEIROS!$B$11:$AW$207,AH$2,{$A$2;$A12}))</f>
        <v/>
      </c>
      <c r="AI12" s="294" t="str">
        <f t="array" ref="AI12">IF(DSUM(TERCEIROS!$B$11:$AW$207,AI$2,{$A$2;$A12})=0,,DSUM(TERCEIROS!$B$11:$AW$207,AI$2,{$A$2;$A12}))</f>
        <v/>
      </c>
      <c r="AJ12" s="294" t="str">
        <f t="array" ref="AJ12">IF(DSUM(TERCEIROS!$B$11:$AW$207,AJ$2,{$A$2;$A12})=0,,DSUM(TERCEIROS!$B$11:$AW$207,AJ$2,{$A$2;$A12}))</f>
        <v/>
      </c>
      <c r="AK12" s="294" t="str">
        <f t="array" ref="AK12">IF(DSUM(TERCEIROS!$B$11:$AW$207,AK$2,{$A$2;$A12})=0,,DSUM(TERCEIROS!$B$11:$AW$207,AK$2,{$A$2;$A12}))</f>
        <v/>
      </c>
      <c r="AL12" s="294" t="str">
        <f t="array" ref="AL12">IF(DSUM(TERCEIROS!$B$11:$AW$207,AL$2,{$A$2;$A12})=0,,DSUM(TERCEIROS!$B$11:$AW$207,AL$2,{$A$2;$A12}))</f>
        <v/>
      </c>
    </row>
    <row r="13">
      <c r="A13" s="287" t="s">
        <v>1661</v>
      </c>
      <c r="B13" s="287"/>
      <c r="C13" s="287" t="str">
        <f>VLOOKUP(A13,TERCEIROS!$D$12:$E$135,2,false)</f>
        <v>73.506.453/0001−68</v>
      </c>
      <c r="D13" s="289" t="str">
        <f>VLOOKUP(A13,TERCEIROS!$D$12:$I$135,6,false)</f>
        <v>Aluguel de veículo visita DSM Suíça</v>
      </c>
      <c r="E13" s="290">
        <f t="array" ref="E13">IF(DSUM(TERCEIROS!$B$11:$AW$207,E$2,{$A$2;$A13})=0,,DSUM(TERCEIROS!$B$11:$AW$207,E$2,{$A$2;$A13}))</f>
        <v>734</v>
      </c>
      <c r="F13" s="290" t="str">
        <f t="array" ref="F13">IF(DSUM(TERCEIROS!$B$11:$AW$207,F$2,{$A$2;$A13})=0,,DSUM(TERCEIROS!$B$11:$AW$207,F$2,{$A$2;$A13}))</f>
        <v/>
      </c>
      <c r="G13" s="290" t="str">
        <f t="array" ref="G13">IF(DSUM(TERCEIROS!$B$11:$AW$207,G$2,{$A$2;$A13})=0,,DSUM(TERCEIROS!$B$11:$AW$207,G$2,{$A$2;$A13}))</f>
        <v/>
      </c>
      <c r="H13" s="290" t="str">
        <f t="array" ref="H13">IF(DSUM(TERCEIROS!$B$11:$AW$207,H$2,{$A$2;$A13})=0,,DSUM(TERCEIROS!$B$11:$AW$207,H$2,{$A$2;$A13}))</f>
        <v/>
      </c>
      <c r="I13" s="290" t="str">
        <f t="array" ref="I13">IF(DSUM(TERCEIROS!$B$11:$AW$207,I$2,{$A$2;$A13})=0,,DSUM(TERCEIROS!$B$11:$AW$207,I$2,{$A$2;$A13}))</f>
        <v/>
      </c>
      <c r="J13" s="290" t="str">
        <f t="array" ref="J13">IF(DSUM(TERCEIROS!$B$11:$AW$207,J$2,{$A$2;$A13})=0,,DSUM(TERCEIROS!$B$11:$AW$207,J$2,{$A$2;$A13}))</f>
        <v/>
      </c>
      <c r="K13" s="290" t="str">
        <f t="array" ref="K13">IF(DSUM(TERCEIROS!$B$11:$AW$207,K$2,{$A$2;$A13})=0,,DSUM(TERCEIROS!$B$11:$AW$207,K$2,{$A$2;$A13}))</f>
        <v/>
      </c>
      <c r="L13" s="290" t="str">
        <f t="array" ref="L13">IF(DSUM(TERCEIROS!$B$11:$AW$207,L$2,{$A$2;$A13})=0,,DSUM(TERCEIROS!$B$11:$AW$207,L$2,{$A$2;$A13}))</f>
        <v/>
      </c>
      <c r="M13" s="290" t="str">
        <f t="array" ref="M13">IF(DSUM(TERCEIROS!$B$11:$AW$207,M$2,{$A$2;$A13})=0,,DSUM(TERCEIROS!$B$11:$AW$207,M$2,{$A$2;$A13}))</f>
        <v/>
      </c>
      <c r="N13" s="290" t="str">
        <f t="array" ref="N13">IF(DSUM(TERCEIROS!$B$11:$AW$207,N$2,{$A$2;$A13})=0,,DSUM(TERCEIROS!$B$11:$AW$207,N$2,{$A$2;$A13}))</f>
        <v/>
      </c>
      <c r="O13" s="290" t="str">
        <f t="array" ref="O13">IF(DSUM(TERCEIROS!$B$11:$AW$207,O$2,{$A$2;$A13})=0,,DSUM(TERCEIROS!$B$11:$AW$207,O$2,{$A$2;$A13}))</f>
        <v/>
      </c>
      <c r="P13" s="290" t="str">
        <f t="array" ref="P13">IF(DSUM(TERCEIROS!$B$11:$AW$207,P$2,{$A$2;$A13})=0,,DSUM(TERCEIROS!$B$11:$AW$207,P$2,{$A$2;$A13}))</f>
        <v/>
      </c>
      <c r="Q13" s="290" t="str">
        <f t="array" ref="Q13">IF(DSUM(TERCEIROS!$B$11:$AW$207,Q$2,{$A$2;$A13})=0,,DSUM(TERCEIROS!$B$11:$AW$207,Q$2,{$A$2;$A13}))</f>
        <v/>
      </c>
      <c r="R13" s="290" t="str">
        <f t="array" ref="R13">IF(DSUM(TERCEIROS!$B$11:$AW$207,R$2,{$A$2;$A13})=0,,DSUM(TERCEIROS!$B$11:$AW$207,R$2,{$A$2;$A13}))</f>
        <v/>
      </c>
      <c r="S13" s="290" t="str">
        <f t="array" ref="S13">IF(DSUM(TERCEIROS!$B$11:$AW$207,S$2,{$A$2;$A13})=0,,DSUM(TERCEIROS!$B$11:$AW$207,S$2,{$A$2;$A13}))</f>
        <v/>
      </c>
      <c r="T13" s="290" t="str">
        <f t="array" ref="T13">IF(DSUM(TERCEIROS!$B$11:$AW$207,T$2,{$A$2;$A13})=0,,DSUM(TERCEIROS!$B$11:$AW$207,T$2,{$A$2;$A13}))</f>
        <v/>
      </c>
      <c r="U13" s="290" t="str">
        <f t="array" ref="U13">IF(DSUM(TERCEIROS!$B$11:$AW$207,U$2,{$A$2;$A13})=0,,DSUM(TERCEIROS!$B$11:$AW$207,U$2,{$A$2;$A13}))</f>
        <v/>
      </c>
      <c r="V13" s="290" t="str">
        <f t="array" ref="V13">IF(DSUM(TERCEIROS!$B$11:$AW$207,V$2,{$A$2;$A13})=0,,DSUM(TERCEIROS!$B$11:$AW$207,V$2,{$A$2;$A13}))</f>
        <v/>
      </c>
      <c r="W13" s="290" t="str">
        <f t="array" ref="W13">IF(DSUM(TERCEIROS!$B$11:$AW$207,W$2,{$A$2;$A13})=0,,DSUM(TERCEIROS!$B$11:$AW$207,W$2,{$A$2;$A13}))</f>
        <v/>
      </c>
      <c r="X13" s="290" t="str">
        <f t="array" ref="X13">IF(DSUM(TERCEIROS!$B$11:$AW$207,X$2,{$A$2;$A13})=0,,DSUM(TERCEIROS!$B$11:$AW$207,X$2,{$A$2;$A13}))</f>
        <v/>
      </c>
      <c r="Y13" s="290" t="str">
        <f t="array" ref="Y13">IF(DSUM(TERCEIROS!$B$11:$AW$207,Y$2,{$A$2;$A13})=0,,DSUM(TERCEIROS!$B$11:$AW$207,Y$2,{$A$2;$A13}))</f>
        <v/>
      </c>
      <c r="Z13" s="290" t="str">
        <f t="array" ref="Z13">IF(DSUM(TERCEIROS!$B$11:$AW$207,Z$2,{$A$2;$A13})=0,,DSUM(TERCEIROS!$B$11:$AW$207,Z$2,{$A$2;$A13}))</f>
        <v/>
      </c>
      <c r="AA13" s="290" t="str">
        <f t="array" ref="AA13">IF(DSUM(TERCEIROS!$B$11:$AW$207,AA$2,{$A$2;$A13})=0,,DSUM(TERCEIROS!$B$11:$AW$207,AA$2,{$A$2;$A13}))</f>
        <v/>
      </c>
      <c r="AB13" s="290" t="str">
        <f t="array" ref="AB13">IF(DSUM(TERCEIROS!$B$11:$AW$207,AB$2,{$A$2;$A13})=0,,DSUM(TERCEIROS!$B$11:$AW$207,AB$2,{$A$2;$A13}))</f>
        <v/>
      </c>
      <c r="AC13" s="290" t="str">
        <f t="array" ref="AC13">IF(DSUM(TERCEIROS!$B$11:$AW$207,AC$2,{$A$2;$A13})=0,,DSUM(TERCEIROS!$B$11:$AW$207,AC$2,{$A$2;$A13}))</f>
        <v/>
      </c>
      <c r="AD13" s="290" t="str">
        <f t="array" ref="AD13">IF(DSUM(TERCEIROS!$B$11:$AW$207,AD$2,{$A$2;$A13})=0,,DSUM(TERCEIROS!$B$11:$AW$207,AD$2,{$A$2;$A13}))</f>
        <v/>
      </c>
      <c r="AE13" s="290" t="str">
        <f t="array" ref="AE13">IF(DSUM(TERCEIROS!$B$11:$AW$207,AE$2,{$A$2;$A13})=0,,DSUM(TERCEIROS!$B$11:$AW$207,AE$2,{$A$2;$A13}))</f>
        <v/>
      </c>
      <c r="AF13" s="290" t="str">
        <f t="array" ref="AF13">IF(DSUM(TERCEIROS!$B$11:$AW$207,AF$2,{$A$2;$A13})=0,,DSUM(TERCEIROS!$B$11:$AW$207,AF$2,{$A$2;$A13}))</f>
        <v/>
      </c>
      <c r="AG13" s="290" t="str">
        <f t="array" ref="AG13">IF(DSUM(TERCEIROS!$B$11:$AW$207,AG$2,{$A$2;$A13})=0,,DSUM(TERCEIROS!$B$11:$AW$207,AG$2,{$A$2;$A13}))</f>
        <v/>
      </c>
      <c r="AH13" s="290" t="str">
        <f t="array" ref="AH13">IF(DSUM(TERCEIROS!$B$11:$AW$207,AH$2,{$A$2;$A13})=0,,DSUM(TERCEIROS!$B$11:$AW$207,AH$2,{$A$2;$A13}))</f>
        <v/>
      </c>
      <c r="AI13" s="290" t="str">
        <f t="array" ref="AI13">IF(DSUM(TERCEIROS!$B$11:$AW$207,AI$2,{$A$2;$A13})=0,,DSUM(TERCEIROS!$B$11:$AW$207,AI$2,{$A$2;$A13}))</f>
        <v/>
      </c>
      <c r="AJ13" s="290" t="str">
        <f t="array" ref="AJ13">IF(DSUM(TERCEIROS!$B$11:$AW$207,AJ$2,{$A$2;$A13})=0,,DSUM(TERCEIROS!$B$11:$AW$207,AJ$2,{$A$2;$A13}))</f>
        <v/>
      </c>
      <c r="AK13" s="290" t="str">
        <f t="array" ref="AK13">IF(DSUM(TERCEIROS!$B$11:$AW$207,AK$2,{$A$2;$A13})=0,,DSUM(TERCEIROS!$B$11:$AW$207,AK$2,{$A$2;$A13}))</f>
        <v/>
      </c>
      <c r="AL13" s="290" t="str">
        <f t="array" ref="AL13">IF(DSUM(TERCEIROS!$B$11:$AW$207,AL$2,{$A$2;$A13})=0,,DSUM(TERCEIROS!$B$11:$AW$207,AL$2,{$A$2;$A13}))</f>
        <v/>
      </c>
    </row>
    <row r="14">
      <c r="A14" s="291" t="s">
        <v>1648</v>
      </c>
      <c r="B14" s="292"/>
      <c r="C14" s="291" t="str">
        <f>VLOOKUP(A14,TERCEIROS!$D$12:$E$135,2,false)</f>
        <v>04.329.668/0001-38</v>
      </c>
      <c r="D14" s="293" t="str">
        <f>VLOOKUP(A14,TERCEIROS!$D$12:$I$135,6,false)</f>
        <v>Análise de vitaminas, minerais e macronutrientes (Trophic Basic Enteral a vácuo - T6A / T12LD NHcF)</v>
      </c>
      <c r="E14" s="294">
        <f t="array" ref="E14">IF(DSUM(TERCEIROS!$B$11:$AW$207,E$2,{$A$2;$A14})=0,,DSUM(TERCEIROS!$B$11:$AW$207,E$2,{$A$2;$A14}))</f>
        <v>159410.985</v>
      </c>
      <c r="F14" s="294" t="str">
        <f t="array" ref="F14">IF(DSUM(TERCEIROS!$B$11:$AW$207,F$2,{$A$2;$A14})=0,,DSUM(TERCEIROS!$B$11:$AW$207,F$2,{$A$2;$A14}))</f>
        <v/>
      </c>
      <c r="G14" s="294" t="str">
        <f t="array" ref="G14">IF(DSUM(TERCEIROS!$B$11:$AW$207,G$2,{$A$2;$A14})=0,,DSUM(TERCEIROS!$B$11:$AW$207,G$2,{$A$2;$A14}))</f>
        <v/>
      </c>
      <c r="H14" s="294" t="str">
        <f t="array" ref="H14">IF(DSUM(TERCEIROS!$B$11:$AW$207,H$2,{$A$2;$A14})=0,,DSUM(TERCEIROS!$B$11:$AW$207,H$2,{$A$2;$A14}))</f>
        <v/>
      </c>
      <c r="I14" s="294">
        <f t="array" ref="I14">IF(DSUM(TERCEIROS!$B$11:$AW$207,I$2,{$A$2;$A14})=0,,DSUM(TERCEIROS!$B$11:$AW$207,I$2,{$A$2;$A14}))</f>
        <v>16393.19</v>
      </c>
      <c r="J14" s="294" t="str">
        <f t="array" ref="J14">IF(DSUM(TERCEIROS!$B$11:$AW$207,J$2,{$A$2;$A14})=0,,DSUM(TERCEIROS!$B$11:$AW$207,J$2,{$A$2;$A14}))</f>
        <v/>
      </c>
      <c r="K14" s="294">
        <f t="array" ref="K14">IF(DSUM(TERCEIROS!$B$11:$AW$207,K$2,{$A$2;$A14})=0,,DSUM(TERCEIROS!$B$11:$AW$207,K$2,{$A$2;$A14}))</f>
        <v>12989.14</v>
      </c>
      <c r="L14" s="294">
        <f t="array" ref="L14">IF(DSUM(TERCEIROS!$B$11:$AW$207,L$2,{$A$2;$A14})=0,,DSUM(TERCEIROS!$B$11:$AW$207,L$2,{$A$2;$A14}))</f>
        <v>1599.59</v>
      </c>
      <c r="M14" s="294" t="str">
        <f t="array" ref="M14">IF(DSUM(TERCEIROS!$B$11:$AW$207,M$2,{$A$2;$A14})=0,,DSUM(TERCEIROS!$B$11:$AW$207,M$2,{$A$2;$A14}))</f>
        <v/>
      </c>
      <c r="N14" s="294">
        <f t="array" ref="N14">IF(DSUM(TERCEIROS!$B$11:$AW$207,N$2,{$A$2;$A14})=0,,DSUM(TERCEIROS!$B$11:$AW$207,N$2,{$A$2;$A14}))</f>
        <v>48502.25</v>
      </c>
      <c r="O14" s="294">
        <f t="array" ref="O14">IF(DSUM(TERCEIROS!$B$11:$AW$207,O$2,{$A$2;$A14})=0,,DSUM(TERCEIROS!$B$11:$AW$207,O$2,{$A$2;$A14}))</f>
        <v>6431.18</v>
      </c>
      <c r="P14" s="294" t="str">
        <f t="array" ref="P14">IF(DSUM(TERCEIROS!$B$11:$AW$207,P$2,{$A$2;$A14})=0,,DSUM(TERCEIROS!$B$11:$AW$207,P$2,{$A$2;$A14}))</f>
        <v/>
      </c>
      <c r="Q14" s="294" t="str">
        <f t="array" ref="Q14">IF(DSUM(TERCEIROS!$B$11:$AW$207,Q$2,{$A$2;$A14})=0,,DSUM(TERCEIROS!$B$11:$AW$207,Q$2,{$A$2;$A14}))</f>
        <v/>
      </c>
      <c r="R14" s="294" t="str">
        <f t="array" ref="R14">IF(DSUM(TERCEIROS!$B$11:$AW$207,R$2,{$A$2;$A14})=0,,DSUM(TERCEIROS!$B$11:$AW$207,R$2,{$A$2;$A14}))</f>
        <v/>
      </c>
      <c r="S14" s="294">
        <f t="array" ref="S14">IF(DSUM(TERCEIROS!$B$11:$AW$207,S$2,{$A$2;$A14})=0,,DSUM(TERCEIROS!$B$11:$AW$207,S$2,{$A$2;$A14}))</f>
        <v>817.13</v>
      </c>
      <c r="T14" s="294" t="str">
        <f t="array" ref="T14">IF(DSUM(TERCEIROS!$B$11:$AW$207,T$2,{$A$2;$A14})=0,,DSUM(TERCEIROS!$B$11:$AW$207,T$2,{$A$2;$A14}))</f>
        <v/>
      </c>
      <c r="U14" s="294" t="str">
        <f t="array" ref="U14">IF(DSUM(TERCEIROS!$B$11:$AW$207,U$2,{$A$2;$A14})=0,,DSUM(TERCEIROS!$B$11:$AW$207,U$2,{$A$2;$A14}))</f>
        <v/>
      </c>
      <c r="V14" s="294" t="str">
        <f t="array" ref="V14">IF(DSUM(TERCEIROS!$B$11:$AW$207,V$2,{$A$2;$A14})=0,,DSUM(TERCEIROS!$B$11:$AW$207,V$2,{$A$2;$A14}))</f>
        <v/>
      </c>
      <c r="W14" s="294" t="str">
        <f t="array" ref="W14">IF(DSUM(TERCEIROS!$B$11:$AW$207,W$2,{$A$2;$A14})=0,,DSUM(TERCEIROS!$B$11:$AW$207,W$2,{$A$2;$A14}))</f>
        <v/>
      </c>
      <c r="X14" s="294" t="str">
        <f t="array" ref="X14">IF(DSUM(TERCEIROS!$B$11:$AW$207,X$2,{$A$2;$A14})=0,,DSUM(TERCEIROS!$B$11:$AW$207,X$2,{$A$2;$A14}))</f>
        <v/>
      </c>
      <c r="Y14" s="294" t="str">
        <f t="array" ref="Y14">IF(DSUM(TERCEIROS!$B$11:$AW$207,Y$2,{$A$2;$A14})=0,,DSUM(TERCEIROS!$B$11:$AW$207,Y$2,{$A$2;$A14}))</f>
        <v/>
      </c>
      <c r="Z14" s="294" t="str">
        <f t="array" ref="Z14">IF(DSUM(TERCEIROS!$B$11:$AW$207,Z$2,{$A$2;$A14})=0,,DSUM(TERCEIROS!$B$11:$AW$207,Z$2,{$A$2;$A14}))</f>
        <v/>
      </c>
      <c r="AA14" s="294" t="str">
        <f t="array" ref="AA14">IF(DSUM(TERCEIROS!$B$11:$AW$207,AA$2,{$A$2;$A14})=0,,DSUM(TERCEIROS!$B$11:$AW$207,AA$2,{$A$2;$A14}))</f>
        <v/>
      </c>
      <c r="AB14" s="294" t="str">
        <f t="array" ref="AB14">IF(DSUM(TERCEIROS!$B$11:$AW$207,AB$2,{$A$2;$A14})=0,,DSUM(TERCEIROS!$B$11:$AW$207,AB$2,{$A$2;$A14}))</f>
        <v/>
      </c>
      <c r="AC14" s="294">
        <f t="array" ref="AC14">IF(DSUM(TERCEIROS!$B$11:$AW$207,AC$2,{$A$2;$A14})=0,,DSUM(TERCEIROS!$B$11:$AW$207,AC$2,{$A$2;$A14}))</f>
        <v>13131.865</v>
      </c>
      <c r="AD14" s="294" t="str">
        <f t="array" ref="AD14">IF(DSUM(TERCEIROS!$B$11:$AW$207,AD$2,{$A$2;$A14})=0,,DSUM(TERCEIROS!$B$11:$AW$207,AD$2,{$A$2;$A14}))</f>
        <v/>
      </c>
      <c r="AE14" s="294" t="str">
        <f t="array" ref="AE14">IF(DSUM(TERCEIROS!$B$11:$AW$207,AE$2,{$A$2;$A14})=0,,DSUM(TERCEIROS!$B$11:$AW$207,AE$2,{$A$2;$A14}))</f>
        <v/>
      </c>
      <c r="AF14" s="294" t="str">
        <f t="array" ref="AF14">IF(DSUM(TERCEIROS!$B$11:$AW$207,AF$2,{$A$2;$A14})=0,,DSUM(TERCEIROS!$B$11:$AW$207,AF$2,{$A$2;$A14}))</f>
        <v/>
      </c>
      <c r="AG14" s="294" t="str">
        <f t="array" ref="AG14">IF(DSUM(TERCEIROS!$B$11:$AW$207,AG$2,{$A$2;$A14})=0,,DSUM(TERCEIROS!$B$11:$AW$207,AG$2,{$A$2;$A14}))</f>
        <v/>
      </c>
      <c r="AH14" s="294" t="str">
        <f t="array" ref="AH14">IF(DSUM(TERCEIROS!$B$11:$AW$207,AH$2,{$A$2;$A14})=0,,DSUM(TERCEIROS!$B$11:$AW$207,AH$2,{$A$2;$A14}))</f>
        <v/>
      </c>
      <c r="AI14" s="294" t="str">
        <f t="array" ref="AI14">IF(DSUM(TERCEIROS!$B$11:$AW$207,AI$2,{$A$2;$A14})=0,,DSUM(TERCEIROS!$B$11:$AW$207,AI$2,{$A$2;$A14}))</f>
        <v/>
      </c>
      <c r="AJ14" s="294" t="str">
        <f t="array" ref="AJ14">IF(DSUM(TERCEIROS!$B$11:$AW$207,AJ$2,{$A$2;$A14})=0,,DSUM(TERCEIROS!$B$11:$AW$207,AJ$2,{$A$2;$A14}))</f>
        <v/>
      </c>
      <c r="AK14" s="294" t="str">
        <f t="array" ref="AK14">IF(DSUM(TERCEIROS!$B$11:$AW$207,AK$2,{$A$2;$A14})=0,,DSUM(TERCEIROS!$B$11:$AW$207,AK$2,{$A$2;$A14}))</f>
        <v/>
      </c>
      <c r="AL14" s="294" t="str">
        <f t="array" ref="AL14">IF(DSUM(TERCEIROS!$B$11:$AW$207,AL$2,{$A$2;$A14})=0,,DSUM(TERCEIROS!$B$11:$AW$207,AL$2,{$A$2;$A14}))</f>
        <v/>
      </c>
    </row>
    <row r="15">
      <c r="A15" s="287" t="s">
        <v>1658</v>
      </c>
      <c r="B15" s="288"/>
      <c r="C15" s="287" t="str">
        <f>VLOOKUP(A15,TERCEIROS!$D$12:$E$135,2,false)</f>
        <v>26.785.411/0001-23</v>
      </c>
      <c r="D15" s="289" t="str">
        <f>VLOOKUP(A15,TERCEIROS!$D$12:$I$135,6,false)</f>
        <v>Curso FoodTech - Inovação de Alimentos</v>
      </c>
      <c r="E15" s="290" t="str">
        <f t="array" ref="E15">IF(DSUM(TERCEIROS!$B$11:$AW$207,E$2,{$A$2;$A15})=0,,DSUM(TERCEIROS!$B$11:$AW$207,E$2,{$A$2;$A15}))</f>
        <v/>
      </c>
      <c r="F15" s="290" t="str">
        <f t="array" ref="F15">IF(DSUM(TERCEIROS!$B$11:$AW$207,F$2,{$A$2;$A15})=0,,DSUM(TERCEIROS!$B$11:$AW$207,F$2,{$A$2;$A15}))</f>
        <v/>
      </c>
      <c r="G15" s="290" t="str">
        <f t="array" ref="G15">IF(DSUM(TERCEIROS!$B$11:$AW$207,G$2,{$A$2;$A15})=0,,DSUM(TERCEIROS!$B$11:$AW$207,G$2,{$A$2;$A15}))</f>
        <v/>
      </c>
      <c r="H15" s="290" t="str">
        <f t="array" ref="H15">IF(DSUM(TERCEIROS!$B$11:$AW$207,H$2,{$A$2;$A15})=0,,DSUM(TERCEIROS!$B$11:$AW$207,H$2,{$A$2;$A15}))</f>
        <v/>
      </c>
      <c r="I15" s="290" t="str">
        <f t="array" ref="I15">IF(DSUM(TERCEIROS!$B$11:$AW$207,I$2,{$A$2;$A15})=0,,DSUM(TERCEIROS!$B$11:$AW$207,I$2,{$A$2;$A15}))</f>
        <v/>
      </c>
      <c r="J15" s="290" t="str">
        <f t="array" ref="J15">IF(DSUM(TERCEIROS!$B$11:$AW$207,J$2,{$A$2;$A15})=0,,DSUM(TERCEIROS!$B$11:$AW$207,J$2,{$A$2;$A15}))</f>
        <v/>
      </c>
      <c r="K15" s="290" t="str">
        <f t="array" ref="K15">IF(DSUM(TERCEIROS!$B$11:$AW$207,K$2,{$A$2;$A15})=0,,DSUM(TERCEIROS!$B$11:$AW$207,K$2,{$A$2;$A15}))</f>
        <v/>
      </c>
      <c r="L15" s="290" t="str">
        <f t="array" ref="L15">IF(DSUM(TERCEIROS!$B$11:$AW$207,L$2,{$A$2;$A15})=0,,DSUM(TERCEIROS!$B$11:$AW$207,L$2,{$A$2;$A15}))</f>
        <v/>
      </c>
      <c r="M15" s="290" t="str">
        <f t="array" ref="M15">IF(DSUM(TERCEIROS!$B$11:$AW$207,M$2,{$A$2;$A15})=0,,DSUM(TERCEIROS!$B$11:$AW$207,M$2,{$A$2;$A15}))</f>
        <v/>
      </c>
      <c r="N15" s="290" t="str">
        <f t="array" ref="N15">IF(DSUM(TERCEIROS!$B$11:$AW$207,N$2,{$A$2;$A15})=0,,DSUM(TERCEIROS!$B$11:$AW$207,N$2,{$A$2;$A15}))</f>
        <v/>
      </c>
      <c r="O15" s="290" t="str">
        <f t="array" ref="O15">IF(DSUM(TERCEIROS!$B$11:$AW$207,O$2,{$A$2;$A15})=0,,DSUM(TERCEIROS!$B$11:$AW$207,O$2,{$A$2;$A15}))</f>
        <v/>
      </c>
      <c r="P15" s="290" t="str">
        <f t="array" ref="P15">IF(DSUM(TERCEIROS!$B$11:$AW$207,P$2,{$A$2;$A15})=0,,DSUM(TERCEIROS!$B$11:$AW$207,P$2,{$A$2;$A15}))</f>
        <v/>
      </c>
      <c r="Q15" s="290" t="str">
        <f t="array" ref="Q15">IF(DSUM(TERCEIROS!$B$11:$AW$207,Q$2,{$A$2;$A15})=0,,DSUM(TERCEIROS!$B$11:$AW$207,Q$2,{$A$2;$A15}))</f>
        <v/>
      </c>
      <c r="R15" s="290" t="str">
        <f t="array" ref="R15">IF(DSUM(TERCEIROS!$B$11:$AW$207,R$2,{$A$2;$A15})=0,,DSUM(TERCEIROS!$B$11:$AW$207,R$2,{$A$2;$A15}))</f>
        <v/>
      </c>
      <c r="S15" s="290" t="str">
        <f t="array" ref="S15">IF(DSUM(TERCEIROS!$B$11:$AW$207,S$2,{$A$2;$A15})=0,,DSUM(TERCEIROS!$B$11:$AW$207,S$2,{$A$2;$A15}))</f>
        <v/>
      </c>
      <c r="T15" s="290" t="str">
        <f t="array" ref="T15">IF(DSUM(TERCEIROS!$B$11:$AW$207,T$2,{$A$2;$A15})=0,,DSUM(TERCEIROS!$B$11:$AW$207,T$2,{$A$2;$A15}))</f>
        <v/>
      </c>
      <c r="U15" s="290" t="str">
        <f t="array" ref="U15">IF(DSUM(TERCEIROS!$B$11:$AW$207,U$2,{$A$2;$A15})=0,,DSUM(TERCEIROS!$B$11:$AW$207,U$2,{$A$2;$A15}))</f>
        <v/>
      </c>
      <c r="V15" s="290" t="str">
        <f t="array" ref="V15">IF(DSUM(TERCEIROS!$B$11:$AW$207,V$2,{$A$2;$A15})=0,,DSUM(TERCEIROS!$B$11:$AW$207,V$2,{$A$2;$A15}))</f>
        <v/>
      </c>
      <c r="W15" s="290" t="str">
        <f t="array" ref="W15">IF(DSUM(TERCEIROS!$B$11:$AW$207,W$2,{$A$2;$A15})=0,,DSUM(TERCEIROS!$B$11:$AW$207,W$2,{$A$2;$A15}))</f>
        <v/>
      </c>
      <c r="X15" s="290" t="str">
        <f t="array" ref="X15">IF(DSUM(TERCEIROS!$B$11:$AW$207,X$2,{$A$2;$A15})=0,,DSUM(TERCEIROS!$B$11:$AW$207,X$2,{$A$2;$A15}))</f>
        <v/>
      </c>
      <c r="Y15" s="290" t="str">
        <f t="array" ref="Y15">IF(DSUM(TERCEIROS!$B$11:$AW$207,Y$2,{$A$2;$A15})=0,,DSUM(TERCEIROS!$B$11:$AW$207,Y$2,{$A$2;$A15}))</f>
        <v/>
      </c>
      <c r="Z15" s="290" t="str">
        <f t="array" ref="Z15">IF(DSUM(TERCEIROS!$B$11:$AW$207,Z$2,{$A$2;$A15})=0,,DSUM(TERCEIROS!$B$11:$AW$207,Z$2,{$A$2;$A15}))</f>
        <v/>
      </c>
      <c r="AA15" s="290" t="str">
        <f t="array" ref="AA15">IF(DSUM(TERCEIROS!$B$11:$AW$207,AA$2,{$A$2;$A15})=0,,DSUM(TERCEIROS!$B$11:$AW$207,AA$2,{$A$2;$A15}))</f>
        <v/>
      </c>
      <c r="AB15" s="290" t="str">
        <f t="array" ref="AB15">IF(DSUM(TERCEIROS!$B$11:$AW$207,AB$2,{$A$2;$A15})=0,,DSUM(TERCEIROS!$B$11:$AW$207,AB$2,{$A$2;$A15}))</f>
        <v/>
      </c>
      <c r="AC15" s="290" t="str">
        <f t="array" ref="AC15">IF(DSUM(TERCEIROS!$B$11:$AW$207,AC$2,{$A$2;$A15})=0,,DSUM(TERCEIROS!$B$11:$AW$207,AC$2,{$A$2;$A15}))</f>
        <v/>
      </c>
      <c r="AD15" s="290" t="str">
        <f t="array" ref="AD15">IF(DSUM(TERCEIROS!$B$11:$AW$207,AD$2,{$A$2;$A15})=0,,DSUM(TERCEIROS!$B$11:$AW$207,AD$2,{$A$2;$A15}))</f>
        <v/>
      </c>
      <c r="AE15" s="290" t="str">
        <f t="array" ref="AE15">IF(DSUM(TERCEIROS!$B$11:$AW$207,AE$2,{$A$2;$A15})=0,,DSUM(TERCEIROS!$B$11:$AW$207,AE$2,{$A$2;$A15}))</f>
        <v/>
      </c>
      <c r="AF15" s="290" t="str">
        <f t="array" ref="AF15">IF(DSUM(TERCEIROS!$B$11:$AW$207,AF$2,{$A$2;$A15})=0,,DSUM(TERCEIROS!$B$11:$AW$207,AF$2,{$A$2;$A15}))</f>
        <v/>
      </c>
      <c r="AG15" s="290" t="str">
        <f t="array" ref="AG15">IF(DSUM(TERCEIROS!$B$11:$AW$207,AG$2,{$A$2;$A15})=0,,DSUM(TERCEIROS!$B$11:$AW$207,AG$2,{$A$2;$A15}))</f>
        <v/>
      </c>
      <c r="AH15" s="290" t="str">
        <f t="array" ref="AH15">IF(DSUM(TERCEIROS!$B$11:$AW$207,AH$2,{$A$2;$A15})=0,,DSUM(TERCEIROS!$B$11:$AW$207,AH$2,{$A$2;$A15}))</f>
        <v/>
      </c>
      <c r="AI15" s="290" t="str">
        <f t="array" ref="AI15">IF(DSUM(TERCEIROS!$B$11:$AW$207,AI$2,{$A$2;$A15})=0,,DSUM(TERCEIROS!$B$11:$AW$207,AI$2,{$A$2;$A15}))</f>
        <v/>
      </c>
      <c r="AJ15" s="290" t="str">
        <f t="array" ref="AJ15">IF(DSUM(TERCEIROS!$B$11:$AW$207,AJ$2,{$A$2;$A15})=0,,DSUM(TERCEIROS!$B$11:$AW$207,AJ$2,{$A$2;$A15}))</f>
        <v/>
      </c>
      <c r="AK15" s="290" t="str">
        <f t="array" ref="AK15">IF(DSUM(TERCEIROS!$B$11:$AW$207,AK$2,{$A$2;$A15})=0,,DSUM(TERCEIROS!$B$11:$AW$207,AK$2,{$A$2;$A15}))</f>
        <v/>
      </c>
      <c r="AL15" s="290" t="str">
        <f t="array" ref="AL15">IF(DSUM(TERCEIROS!$B$11:$AW$207,AL$2,{$A$2;$A15})=0,,DSUM(TERCEIROS!$B$11:$AW$207,AL$2,{$A$2;$A15}))</f>
        <v/>
      </c>
    </row>
    <row r="16">
      <c r="A16" s="291" t="s">
        <v>1722</v>
      </c>
      <c r="B16" s="292"/>
      <c r="C16" s="291" t="str">
        <f>VLOOKUP(A16,TERCEIROS!$D$12:$E$135,2,false)</f>
        <v>20.320.503/0001-51</v>
      </c>
      <c r="D16" s="293" t="str">
        <f>VLOOKUP(A16,TERCEIROS!$D$12:$I$135,6,false)</f>
        <v>1a/2 parcela contrato Embrapa FUNARBE de R$19.200,00 (contrato 004/23)</v>
      </c>
      <c r="E16" s="294">
        <f t="array" ref="E16">IF(DSUM(TERCEIROS!$B$11:$AW$207,E$2,{$A$2;$A16})=0,,DSUM(TERCEIROS!$B$11:$AW$207,E$2,{$A$2;$A16}))</f>
        <v>19200</v>
      </c>
      <c r="F16" s="294" t="str">
        <f t="array" ref="F16">IF(DSUM(TERCEIROS!$B$11:$AW$207,F$2,{$A$2;$A16})=0,,DSUM(TERCEIROS!$B$11:$AW$207,F$2,{$A$2;$A16}))</f>
        <v/>
      </c>
      <c r="G16" s="294" t="str">
        <f t="array" ref="G16">IF(DSUM(TERCEIROS!$B$11:$AW$207,G$2,{$A$2;$A16})=0,,DSUM(TERCEIROS!$B$11:$AW$207,G$2,{$A$2;$A16}))</f>
        <v/>
      </c>
      <c r="H16" s="294" t="str">
        <f t="array" ref="H16">IF(DSUM(TERCEIROS!$B$11:$AW$207,H$2,{$A$2;$A16})=0,,DSUM(TERCEIROS!$B$11:$AW$207,H$2,{$A$2;$A16}))</f>
        <v/>
      </c>
      <c r="I16" s="294" t="str">
        <f t="array" ref="I16">IF(DSUM(TERCEIROS!$B$11:$AW$207,I$2,{$A$2;$A16})=0,,DSUM(TERCEIROS!$B$11:$AW$207,I$2,{$A$2;$A16}))</f>
        <v/>
      </c>
      <c r="J16" s="294" t="str">
        <f t="array" ref="J16">IF(DSUM(TERCEIROS!$B$11:$AW$207,J$2,{$A$2;$A16})=0,,DSUM(TERCEIROS!$B$11:$AW$207,J$2,{$A$2;$A16}))</f>
        <v/>
      </c>
      <c r="K16" s="294" t="str">
        <f t="array" ref="K16">IF(DSUM(TERCEIROS!$B$11:$AW$207,K$2,{$A$2;$A16})=0,,DSUM(TERCEIROS!$B$11:$AW$207,K$2,{$A$2;$A16}))</f>
        <v/>
      </c>
      <c r="L16" s="294" t="str">
        <f t="array" ref="L16">IF(DSUM(TERCEIROS!$B$11:$AW$207,L$2,{$A$2;$A16})=0,,DSUM(TERCEIROS!$B$11:$AW$207,L$2,{$A$2;$A16}))</f>
        <v/>
      </c>
      <c r="M16" s="294" t="str">
        <f t="array" ref="M16">IF(DSUM(TERCEIROS!$B$11:$AW$207,M$2,{$A$2;$A16})=0,,DSUM(TERCEIROS!$B$11:$AW$207,M$2,{$A$2;$A16}))</f>
        <v/>
      </c>
      <c r="N16" s="294" t="str">
        <f t="array" ref="N16">IF(DSUM(TERCEIROS!$B$11:$AW$207,N$2,{$A$2;$A16})=0,,DSUM(TERCEIROS!$B$11:$AW$207,N$2,{$A$2;$A16}))</f>
        <v/>
      </c>
      <c r="O16" s="294" t="str">
        <f t="array" ref="O16">IF(DSUM(TERCEIROS!$B$11:$AW$207,O$2,{$A$2;$A16})=0,,DSUM(TERCEIROS!$B$11:$AW$207,O$2,{$A$2;$A16}))</f>
        <v/>
      </c>
      <c r="P16" s="294" t="str">
        <f t="array" ref="P16">IF(DSUM(TERCEIROS!$B$11:$AW$207,P$2,{$A$2;$A16})=0,,DSUM(TERCEIROS!$B$11:$AW$207,P$2,{$A$2;$A16}))</f>
        <v/>
      </c>
      <c r="Q16" s="294" t="str">
        <f t="array" ref="Q16">IF(DSUM(TERCEIROS!$B$11:$AW$207,Q$2,{$A$2;$A16})=0,,DSUM(TERCEIROS!$B$11:$AW$207,Q$2,{$A$2;$A16}))</f>
        <v/>
      </c>
      <c r="R16" s="294" t="str">
        <f t="array" ref="R16">IF(DSUM(TERCEIROS!$B$11:$AW$207,R$2,{$A$2;$A16})=0,,DSUM(TERCEIROS!$B$11:$AW$207,R$2,{$A$2;$A16}))</f>
        <v/>
      </c>
      <c r="S16" s="294" t="str">
        <f t="array" ref="S16">IF(DSUM(TERCEIROS!$B$11:$AW$207,S$2,{$A$2;$A16})=0,,DSUM(TERCEIROS!$B$11:$AW$207,S$2,{$A$2;$A16}))</f>
        <v/>
      </c>
      <c r="T16" s="294" t="str">
        <f t="array" ref="T16">IF(DSUM(TERCEIROS!$B$11:$AW$207,T$2,{$A$2;$A16})=0,,DSUM(TERCEIROS!$B$11:$AW$207,T$2,{$A$2;$A16}))</f>
        <v/>
      </c>
      <c r="U16" s="294" t="str">
        <f t="array" ref="U16">IF(DSUM(TERCEIROS!$B$11:$AW$207,U$2,{$A$2;$A16})=0,,DSUM(TERCEIROS!$B$11:$AW$207,U$2,{$A$2;$A16}))</f>
        <v/>
      </c>
      <c r="V16" s="294" t="str">
        <f t="array" ref="V16">IF(DSUM(TERCEIROS!$B$11:$AW$207,V$2,{$A$2;$A16})=0,,DSUM(TERCEIROS!$B$11:$AW$207,V$2,{$A$2;$A16}))</f>
        <v/>
      </c>
      <c r="W16" s="294" t="str">
        <f t="array" ref="W16">IF(DSUM(TERCEIROS!$B$11:$AW$207,W$2,{$A$2;$A16})=0,,DSUM(TERCEIROS!$B$11:$AW$207,W$2,{$A$2;$A16}))</f>
        <v/>
      </c>
      <c r="X16" s="294" t="str">
        <f t="array" ref="X16">IF(DSUM(TERCEIROS!$B$11:$AW$207,X$2,{$A$2;$A16})=0,,DSUM(TERCEIROS!$B$11:$AW$207,X$2,{$A$2;$A16}))</f>
        <v/>
      </c>
      <c r="Y16" s="294" t="str">
        <f t="array" ref="Y16">IF(DSUM(TERCEIROS!$B$11:$AW$207,Y$2,{$A$2;$A16})=0,,DSUM(TERCEIROS!$B$11:$AW$207,Y$2,{$A$2;$A16}))</f>
        <v/>
      </c>
      <c r="Z16" s="294" t="str">
        <f t="array" ref="Z16">IF(DSUM(TERCEIROS!$B$11:$AW$207,Z$2,{$A$2;$A16})=0,,DSUM(TERCEIROS!$B$11:$AW$207,Z$2,{$A$2;$A16}))</f>
        <v/>
      </c>
      <c r="AA16" s="294" t="str">
        <f t="array" ref="AA16">IF(DSUM(TERCEIROS!$B$11:$AW$207,AA$2,{$A$2;$A16})=0,,DSUM(TERCEIROS!$B$11:$AW$207,AA$2,{$A$2;$A16}))</f>
        <v/>
      </c>
      <c r="AB16" s="294" t="str">
        <f t="array" ref="AB16">IF(DSUM(TERCEIROS!$B$11:$AW$207,AB$2,{$A$2;$A16})=0,,DSUM(TERCEIROS!$B$11:$AW$207,AB$2,{$A$2;$A16}))</f>
        <v/>
      </c>
      <c r="AC16" s="294" t="str">
        <f t="array" ref="AC16">IF(DSUM(TERCEIROS!$B$11:$AW$207,AC$2,{$A$2;$A16})=0,,DSUM(TERCEIROS!$B$11:$AW$207,AC$2,{$A$2;$A16}))</f>
        <v/>
      </c>
      <c r="AD16" s="294" t="str">
        <f t="array" ref="AD16">IF(DSUM(TERCEIROS!$B$11:$AW$207,AD$2,{$A$2;$A16})=0,,DSUM(TERCEIROS!$B$11:$AW$207,AD$2,{$A$2;$A16}))</f>
        <v/>
      </c>
      <c r="AE16" s="294" t="str">
        <f t="array" ref="AE16">IF(DSUM(TERCEIROS!$B$11:$AW$207,AE$2,{$A$2;$A16})=0,,DSUM(TERCEIROS!$B$11:$AW$207,AE$2,{$A$2;$A16}))</f>
        <v/>
      </c>
      <c r="AF16" s="294" t="str">
        <f t="array" ref="AF16">IF(DSUM(TERCEIROS!$B$11:$AW$207,AF$2,{$A$2;$A16})=0,,DSUM(TERCEIROS!$B$11:$AW$207,AF$2,{$A$2;$A16}))</f>
        <v/>
      </c>
      <c r="AG16" s="294" t="str">
        <f t="array" ref="AG16">IF(DSUM(TERCEIROS!$B$11:$AW$207,AG$2,{$A$2;$A16})=0,,DSUM(TERCEIROS!$B$11:$AW$207,AG$2,{$A$2;$A16}))</f>
        <v/>
      </c>
      <c r="AH16" s="294" t="str">
        <f t="array" ref="AH16">IF(DSUM(TERCEIROS!$B$11:$AW$207,AH$2,{$A$2;$A16})=0,,DSUM(TERCEIROS!$B$11:$AW$207,AH$2,{$A$2;$A16}))</f>
        <v/>
      </c>
      <c r="AI16" s="294" t="str">
        <f t="array" ref="AI16">IF(DSUM(TERCEIROS!$B$11:$AW$207,AI$2,{$A$2;$A16})=0,,DSUM(TERCEIROS!$B$11:$AW$207,AI$2,{$A$2;$A16}))</f>
        <v/>
      </c>
      <c r="AJ16" s="294" t="str">
        <f t="array" ref="AJ16">IF(DSUM(TERCEIROS!$B$11:$AW$207,AJ$2,{$A$2;$A16})=0,,DSUM(TERCEIROS!$B$11:$AW$207,AJ$2,{$A$2;$A16}))</f>
        <v/>
      </c>
      <c r="AK16" s="294" t="str">
        <f t="array" ref="AK16">IF(DSUM(TERCEIROS!$B$11:$AW$207,AK$2,{$A$2;$A16})=0,,DSUM(TERCEIROS!$B$11:$AW$207,AK$2,{$A$2;$A16}))</f>
        <v/>
      </c>
      <c r="AL16" s="294" t="str">
        <f t="array" ref="AL16">IF(DSUM(TERCEIROS!$B$11:$AW$207,AL$2,{$A$2;$A16})=0,,DSUM(TERCEIROS!$B$11:$AW$207,AL$2,{$A$2;$A16}))</f>
        <v/>
      </c>
    </row>
    <row r="17">
      <c r="A17" s="287" t="s">
        <v>1665</v>
      </c>
      <c r="B17" s="288"/>
      <c r="C17" s="287" t="str">
        <f>VLOOKUP(A17,TERCEIROS!$D$12:$E$135,2,false)</f>
        <v>00.799.205/0001-89</v>
      </c>
      <c r="D17" s="289" t="str">
        <f>VLOOKUP(A17,TERCEIROS!$D$12:$I$135,6,false)</f>
        <v>Apoio à pesquisa clinica</v>
      </c>
      <c r="E17" s="290" t="str">
        <f t="array" ref="E17">IF(DSUM(TERCEIROS!$B$11:$AW$207,E$2,{$A$2;$A17})=0,,DSUM(TERCEIROS!$B$11:$AW$207,E$2,{$A$2;$A17}))</f>
        <v/>
      </c>
      <c r="F17" s="290" t="str">
        <f t="array" ref="F17">IF(DSUM(TERCEIROS!$B$11:$AW$207,F$2,{$A$2;$A17})=0,,DSUM(TERCEIROS!$B$11:$AW$207,F$2,{$A$2;$A17}))</f>
        <v/>
      </c>
      <c r="G17" s="290" t="str">
        <f t="array" ref="G17">IF(DSUM(TERCEIROS!$B$11:$AW$207,G$2,{$A$2;$A17})=0,,DSUM(TERCEIROS!$B$11:$AW$207,G$2,{$A$2;$A17}))</f>
        <v/>
      </c>
      <c r="H17" s="290" t="str">
        <f t="array" ref="H17">IF(DSUM(TERCEIROS!$B$11:$AW$207,H$2,{$A$2;$A17})=0,,DSUM(TERCEIROS!$B$11:$AW$207,H$2,{$A$2;$A17}))</f>
        <v/>
      </c>
      <c r="I17" s="290" t="str">
        <f t="array" ref="I17">IF(DSUM(TERCEIROS!$B$11:$AW$207,I$2,{$A$2;$A17})=0,,DSUM(TERCEIROS!$B$11:$AW$207,I$2,{$A$2;$A17}))</f>
        <v/>
      </c>
      <c r="J17" s="290" t="str">
        <f t="array" ref="J17">IF(DSUM(TERCEIROS!$B$11:$AW$207,J$2,{$A$2;$A17})=0,,DSUM(TERCEIROS!$B$11:$AW$207,J$2,{$A$2;$A17}))</f>
        <v/>
      </c>
      <c r="K17" s="290" t="str">
        <f t="array" ref="K17">IF(DSUM(TERCEIROS!$B$11:$AW$207,K$2,{$A$2;$A17})=0,,DSUM(TERCEIROS!$B$11:$AW$207,K$2,{$A$2;$A17}))</f>
        <v/>
      </c>
      <c r="L17" s="290" t="str">
        <f t="array" ref="L17">IF(DSUM(TERCEIROS!$B$11:$AW$207,L$2,{$A$2;$A17})=0,,DSUM(TERCEIROS!$B$11:$AW$207,L$2,{$A$2;$A17}))</f>
        <v/>
      </c>
      <c r="M17" s="290" t="str">
        <f t="array" ref="M17">IF(DSUM(TERCEIROS!$B$11:$AW$207,M$2,{$A$2;$A17})=0,,DSUM(TERCEIROS!$B$11:$AW$207,M$2,{$A$2;$A17}))</f>
        <v/>
      </c>
      <c r="N17" s="290" t="str">
        <f t="array" ref="N17">IF(DSUM(TERCEIROS!$B$11:$AW$207,N$2,{$A$2;$A17})=0,,DSUM(TERCEIROS!$B$11:$AW$207,N$2,{$A$2;$A17}))</f>
        <v/>
      </c>
      <c r="O17" s="290" t="str">
        <f t="array" ref="O17">IF(DSUM(TERCEIROS!$B$11:$AW$207,O$2,{$A$2;$A17})=0,,DSUM(TERCEIROS!$B$11:$AW$207,O$2,{$A$2;$A17}))</f>
        <v/>
      </c>
      <c r="P17" s="290" t="str">
        <f t="array" ref="P17">IF(DSUM(TERCEIROS!$B$11:$AW$207,P$2,{$A$2;$A17})=0,,DSUM(TERCEIROS!$B$11:$AW$207,P$2,{$A$2;$A17}))</f>
        <v/>
      </c>
      <c r="Q17" s="290" t="str">
        <f t="array" ref="Q17">IF(DSUM(TERCEIROS!$B$11:$AW$207,Q$2,{$A$2;$A17})=0,,DSUM(TERCEIROS!$B$11:$AW$207,Q$2,{$A$2;$A17}))</f>
        <v/>
      </c>
      <c r="R17" s="290" t="str">
        <f t="array" ref="R17">IF(DSUM(TERCEIROS!$B$11:$AW$207,R$2,{$A$2;$A17})=0,,DSUM(TERCEIROS!$B$11:$AW$207,R$2,{$A$2;$A17}))</f>
        <v/>
      </c>
      <c r="S17" s="290" t="str">
        <f t="array" ref="S17">IF(DSUM(TERCEIROS!$B$11:$AW$207,S$2,{$A$2;$A17})=0,,DSUM(TERCEIROS!$B$11:$AW$207,S$2,{$A$2;$A17}))</f>
        <v/>
      </c>
      <c r="T17" s="290" t="str">
        <f t="array" ref="T17">IF(DSUM(TERCEIROS!$B$11:$AW$207,T$2,{$A$2;$A17})=0,,DSUM(TERCEIROS!$B$11:$AW$207,T$2,{$A$2;$A17}))</f>
        <v/>
      </c>
      <c r="U17" s="290">
        <f t="array" ref="U17">IF(DSUM(TERCEIROS!$B$11:$AW$207,U$2,{$A$2;$A17})=0,,DSUM(TERCEIROS!$B$11:$AW$207,U$2,{$A$2;$A17}))</f>
        <v>7380</v>
      </c>
      <c r="V17" s="290" t="str">
        <f t="array" ref="V17">IF(DSUM(TERCEIROS!$B$11:$AW$207,V$2,{$A$2;$A17})=0,,DSUM(TERCEIROS!$B$11:$AW$207,V$2,{$A$2;$A17}))</f>
        <v/>
      </c>
      <c r="W17" s="290" t="str">
        <f t="array" ref="W17">IF(DSUM(TERCEIROS!$B$11:$AW$207,W$2,{$A$2;$A17})=0,,DSUM(TERCEIROS!$B$11:$AW$207,W$2,{$A$2;$A17}))</f>
        <v/>
      </c>
      <c r="X17" s="290" t="str">
        <f t="array" ref="X17">IF(DSUM(TERCEIROS!$B$11:$AW$207,X$2,{$A$2;$A17})=0,,DSUM(TERCEIROS!$B$11:$AW$207,X$2,{$A$2;$A17}))</f>
        <v/>
      </c>
      <c r="Y17" s="290" t="str">
        <f t="array" ref="Y17">IF(DSUM(TERCEIROS!$B$11:$AW$207,Y$2,{$A$2;$A17})=0,,DSUM(TERCEIROS!$B$11:$AW$207,Y$2,{$A$2;$A17}))</f>
        <v/>
      </c>
      <c r="Z17" s="290" t="str">
        <f t="array" ref="Z17">IF(DSUM(TERCEIROS!$B$11:$AW$207,Z$2,{$A$2;$A17})=0,,DSUM(TERCEIROS!$B$11:$AW$207,Z$2,{$A$2;$A17}))</f>
        <v/>
      </c>
      <c r="AA17" s="290" t="str">
        <f t="array" ref="AA17">IF(DSUM(TERCEIROS!$B$11:$AW$207,AA$2,{$A$2;$A17})=0,,DSUM(TERCEIROS!$B$11:$AW$207,AA$2,{$A$2;$A17}))</f>
        <v/>
      </c>
      <c r="AB17" s="290" t="str">
        <f t="array" ref="AB17">IF(DSUM(TERCEIROS!$B$11:$AW$207,AB$2,{$A$2;$A17})=0,,DSUM(TERCEIROS!$B$11:$AW$207,AB$2,{$A$2;$A17}))</f>
        <v/>
      </c>
      <c r="AC17" s="290" t="str">
        <f t="array" ref="AC17">IF(DSUM(TERCEIROS!$B$11:$AW$207,AC$2,{$A$2;$A17})=0,,DSUM(TERCEIROS!$B$11:$AW$207,AC$2,{$A$2;$A17}))</f>
        <v/>
      </c>
      <c r="AD17" s="290" t="str">
        <f t="array" ref="AD17">IF(DSUM(TERCEIROS!$B$11:$AW$207,AD$2,{$A$2;$A17})=0,,DSUM(TERCEIROS!$B$11:$AW$207,AD$2,{$A$2;$A17}))</f>
        <v/>
      </c>
      <c r="AE17" s="290" t="str">
        <f t="array" ref="AE17">IF(DSUM(TERCEIROS!$B$11:$AW$207,AE$2,{$A$2;$A17})=0,,DSUM(TERCEIROS!$B$11:$AW$207,AE$2,{$A$2;$A17}))</f>
        <v/>
      </c>
      <c r="AF17" s="290" t="str">
        <f t="array" ref="AF17">IF(DSUM(TERCEIROS!$B$11:$AW$207,AF$2,{$A$2;$A17})=0,,DSUM(TERCEIROS!$B$11:$AW$207,AF$2,{$A$2;$A17}))</f>
        <v/>
      </c>
      <c r="AG17" s="290" t="str">
        <f t="array" ref="AG17">IF(DSUM(TERCEIROS!$B$11:$AW$207,AG$2,{$A$2;$A17})=0,,DSUM(TERCEIROS!$B$11:$AW$207,AG$2,{$A$2;$A17}))</f>
        <v/>
      </c>
      <c r="AH17" s="290" t="str">
        <f t="array" ref="AH17">IF(DSUM(TERCEIROS!$B$11:$AW$207,AH$2,{$A$2;$A17})=0,,DSUM(TERCEIROS!$B$11:$AW$207,AH$2,{$A$2;$A17}))</f>
        <v/>
      </c>
      <c r="AI17" s="290" t="str">
        <f t="array" ref="AI17">IF(DSUM(TERCEIROS!$B$11:$AW$207,AI$2,{$A$2;$A17})=0,,DSUM(TERCEIROS!$B$11:$AW$207,AI$2,{$A$2;$A17}))</f>
        <v/>
      </c>
      <c r="AJ17" s="290" t="str">
        <f t="array" ref="AJ17">IF(DSUM(TERCEIROS!$B$11:$AW$207,AJ$2,{$A$2;$A17})=0,,DSUM(TERCEIROS!$B$11:$AW$207,AJ$2,{$A$2;$A17}))</f>
        <v/>
      </c>
      <c r="AK17" s="290" t="str">
        <f t="array" ref="AK17">IF(DSUM(TERCEIROS!$B$11:$AW$207,AK$2,{$A$2;$A17})=0,,DSUM(TERCEIROS!$B$11:$AW$207,AK$2,{$A$2;$A17}))</f>
        <v/>
      </c>
      <c r="AL17" s="290" t="str">
        <f t="array" ref="AL17">IF(DSUM(TERCEIROS!$B$11:$AW$207,AL$2,{$A$2;$A17})=0,,DSUM(TERCEIROS!$B$11:$AW$207,AL$2,{$A$2;$A17}))</f>
        <v/>
      </c>
    </row>
    <row r="18">
      <c r="A18" s="291" t="s">
        <v>1652</v>
      </c>
      <c r="B18" s="292"/>
      <c r="C18" s="291" t="str">
        <f>VLOOKUP(A18,TERCEIROS!$D$12:$E$135,2,false)</f>
        <v>68.314.830/0001-27</v>
      </c>
      <c r="D18" s="293" t="str">
        <f>VLOOKUP(A18,TERCEIROS!$D$12:$I$135,6,false)</f>
        <v>Análise de DP – Avaliação de pressão de homogeneização.</v>
      </c>
      <c r="E18" s="294" t="str">
        <f t="array" ref="E18">IF(DSUM(TERCEIROS!$B$11:$AW$207,E$2,{$A$2;$A18})=0,,DSUM(TERCEIROS!$B$11:$AW$207,E$2,{$A$2;$A18}))</f>
        <v/>
      </c>
      <c r="F18" s="294" t="str">
        <f t="array" ref="F18">IF(DSUM(TERCEIROS!$B$11:$AW$207,F$2,{$A$2;$A18})=0,,DSUM(TERCEIROS!$B$11:$AW$207,F$2,{$A$2;$A18}))</f>
        <v/>
      </c>
      <c r="G18" s="294" t="str">
        <f t="array" ref="G18">IF(DSUM(TERCEIROS!$B$11:$AW$207,G$2,{$A$2;$A18})=0,,DSUM(TERCEIROS!$B$11:$AW$207,G$2,{$A$2;$A18}))</f>
        <v/>
      </c>
      <c r="H18" s="294" t="str">
        <f t="array" ref="H18">IF(DSUM(TERCEIROS!$B$11:$AW$207,H$2,{$A$2;$A18})=0,,DSUM(TERCEIROS!$B$11:$AW$207,H$2,{$A$2;$A18}))</f>
        <v/>
      </c>
      <c r="I18" s="294" t="str">
        <f t="array" ref="I18">IF(DSUM(TERCEIROS!$B$11:$AW$207,I$2,{$A$2;$A18})=0,,DSUM(TERCEIROS!$B$11:$AW$207,I$2,{$A$2;$A18}))</f>
        <v/>
      </c>
      <c r="J18" s="294" t="str">
        <f t="array" ref="J18">IF(DSUM(TERCEIROS!$B$11:$AW$207,J$2,{$A$2;$A18})=0,,DSUM(TERCEIROS!$B$11:$AW$207,J$2,{$A$2;$A18}))</f>
        <v/>
      </c>
      <c r="K18" s="294" t="str">
        <f t="array" ref="K18">IF(DSUM(TERCEIROS!$B$11:$AW$207,K$2,{$A$2;$A18})=0,,DSUM(TERCEIROS!$B$11:$AW$207,K$2,{$A$2;$A18}))</f>
        <v/>
      </c>
      <c r="L18" s="294" t="str">
        <f t="array" ref="L18">IF(DSUM(TERCEIROS!$B$11:$AW$207,L$2,{$A$2;$A18})=0,,DSUM(TERCEIROS!$B$11:$AW$207,L$2,{$A$2;$A18}))</f>
        <v/>
      </c>
      <c r="M18" s="294" t="str">
        <f t="array" ref="M18">IF(DSUM(TERCEIROS!$B$11:$AW$207,M$2,{$A$2;$A18})=0,,DSUM(TERCEIROS!$B$11:$AW$207,M$2,{$A$2;$A18}))</f>
        <v/>
      </c>
      <c r="N18" s="294">
        <f t="array" ref="N18">IF(DSUM(TERCEIROS!$B$11:$AW$207,N$2,{$A$2;$A18})=0,,DSUM(TERCEIROS!$B$11:$AW$207,N$2,{$A$2;$A18}))</f>
        <v>1379</v>
      </c>
      <c r="O18" s="294" t="str">
        <f t="array" ref="O18">IF(DSUM(TERCEIROS!$B$11:$AW$207,O$2,{$A$2;$A18})=0,,DSUM(TERCEIROS!$B$11:$AW$207,O$2,{$A$2;$A18}))</f>
        <v/>
      </c>
      <c r="P18" s="294" t="str">
        <f t="array" ref="P18">IF(DSUM(TERCEIROS!$B$11:$AW$207,P$2,{$A$2;$A18})=0,,DSUM(TERCEIROS!$B$11:$AW$207,P$2,{$A$2;$A18}))</f>
        <v/>
      </c>
      <c r="Q18" s="294" t="str">
        <f t="array" ref="Q18">IF(DSUM(TERCEIROS!$B$11:$AW$207,Q$2,{$A$2;$A18})=0,,DSUM(TERCEIROS!$B$11:$AW$207,Q$2,{$A$2;$A18}))</f>
        <v/>
      </c>
      <c r="R18" s="294" t="str">
        <f t="array" ref="R18">IF(DSUM(TERCEIROS!$B$11:$AW$207,R$2,{$A$2;$A18})=0,,DSUM(TERCEIROS!$B$11:$AW$207,R$2,{$A$2;$A18}))</f>
        <v/>
      </c>
      <c r="S18" s="294" t="str">
        <f t="array" ref="S18">IF(DSUM(TERCEIROS!$B$11:$AW$207,S$2,{$A$2;$A18})=0,,DSUM(TERCEIROS!$B$11:$AW$207,S$2,{$A$2;$A18}))</f>
        <v/>
      </c>
      <c r="T18" s="294" t="str">
        <f t="array" ref="T18">IF(DSUM(TERCEIROS!$B$11:$AW$207,T$2,{$A$2;$A18})=0,,DSUM(TERCEIROS!$B$11:$AW$207,T$2,{$A$2;$A18}))</f>
        <v/>
      </c>
      <c r="U18" s="294" t="str">
        <f t="array" ref="U18">IF(DSUM(TERCEIROS!$B$11:$AW$207,U$2,{$A$2;$A18})=0,,DSUM(TERCEIROS!$B$11:$AW$207,U$2,{$A$2;$A18}))</f>
        <v/>
      </c>
      <c r="V18" s="294" t="str">
        <f t="array" ref="V18">IF(DSUM(TERCEIROS!$B$11:$AW$207,V$2,{$A$2;$A18})=0,,DSUM(TERCEIROS!$B$11:$AW$207,V$2,{$A$2;$A18}))</f>
        <v/>
      </c>
      <c r="W18" s="294" t="str">
        <f t="array" ref="W18">IF(DSUM(TERCEIROS!$B$11:$AW$207,W$2,{$A$2;$A18})=0,,DSUM(TERCEIROS!$B$11:$AW$207,W$2,{$A$2;$A18}))</f>
        <v/>
      </c>
      <c r="X18" s="294" t="str">
        <f t="array" ref="X18">IF(DSUM(TERCEIROS!$B$11:$AW$207,X$2,{$A$2;$A18})=0,,DSUM(TERCEIROS!$B$11:$AW$207,X$2,{$A$2;$A18}))</f>
        <v/>
      </c>
      <c r="Y18" s="294" t="str">
        <f t="array" ref="Y18">IF(DSUM(TERCEIROS!$B$11:$AW$207,Y$2,{$A$2;$A18})=0,,DSUM(TERCEIROS!$B$11:$AW$207,Y$2,{$A$2;$A18}))</f>
        <v/>
      </c>
      <c r="Z18" s="294" t="str">
        <f t="array" ref="Z18">IF(DSUM(TERCEIROS!$B$11:$AW$207,Z$2,{$A$2;$A18})=0,,DSUM(TERCEIROS!$B$11:$AW$207,Z$2,{$A$2;$A18}))</f>
        <v/>
      </c>
      <c r="AA18" s="294" t="str">
        <f t="array" ref="AA18">IF(DSUM(TERCEIROS!$B$11:$AW$207,AA$2,{$A$2;$A18})=0,,DSUM(TERCEIROS!$B$11:$AW$207,AA$2,{$A$2;$A18}))</f>
        <v/>
      </c>
      <c r="AB18" s="294" t="str">
        <f t="array" ref="AB18">IF(DSUM(TERCEIROS!$B$11:$AW$207,AB$2,{$A$2;$A18})=0,,DSUM(TERCEIROS!$B$11:$AW$207,AB$2,{$A$2;$A18}))</f>
        <v/>
      </c>
      <c r="AC18" s="294" t="str">
        <f t="array" ref="AC18">IF(DSUM(TERCEIROS!$B$11:$AW$207,AC$2,{$A$2;$A18})=0,,DSUM(TERCEIROS!$B$11:$AW$207,AC$2,{$A$2;$A18}))</f>
        <v/>
      </c>
      <c r="AD18" s="294" t="str">
        <f t="array" ref="AD18">IF(DSUM(TERCEIROS!$B$11:$AW$207,AD$2,{$A$2;$A18})=0,,DSUM(TERCEIROS!$B$11:$AW$207,AD$2,{$A$2;$A18}))</f>
        <v/>
      </c>
      <c r="AE18" s="294" t="str">
        <f t="array" ref="AE18">IF(DSUM(TERCEIROS!$B$11:$AW$207,AE$2,{$A$2;$A18})=0,,DSUM(TERCEIROS!$B$11:$AW$207,AE$2,{$A$2;$A18}))</f>
        <v/>
      </c>
      <c r="AF18" s="294" t="str">
        <f t="array" ref="AF18">IF(DSUM(TERCEIROS!$B$11:$AW$207,AF$2,{$A$2;$A18})=0,,DSUM(TERCEIROS!$B$11:$AW$207,AF$2,{$A$2;$A18}))</f>
        <v/>
      </c>
      <c r="AG18" s="294" t="str">
        <f t="array" ref="AG18">IF(DSUM(TERCEIROS!$B$11:$AW$207,AG$2,{$A$2;$A18})=0,,DSUM(TERCEIROS!$B$11:$AW$207,AG$2,{$A$2;$A18}))</f>
        <v/>
      </c>
      <c r="AH18" s="294" t="str">
        <f t="array" ref="AH18">IF(DSUM(TERCEIROS!$B$11:$AW$207,AH$2,{$A$2;$A18})=0,,DSUM(TERCEIROS!$B$11:$AW$207,AH$2,{$A$2;$A18}))</f>
        <v/>
      </c>
      <c r="AI18" s="294" t="str">
        <f t="array" ref="AI18">IF(DSUM(TERCEIROS!$B$11:$AW$207,AI$2,{$A$2;$A18})=0,,DSUM(TERCEIROS!$B$11:$AW$207,AI$2,{$A$2;$A18}))</f>
        <v/>
      </c>
      <c r="AJ18" s="294">
        <f t="array" ref="AJ18">IF(DSUM(TERCEIROS!$B$11:$AW$207,AJ$2,{$A$2;$A18})=0,,DSUM(TERCEIROS!$B$11:$AW$207,AJ$2,{$A$2;$A18}))</f>
        <v>13000</v>
      </c>
      <c r="AK18" s="294" t="str">
        <f t="array" ref="AK18">IF(DSUM(TERCEIROS!$B$11:$AW$207,AK$2,{$A$2;$A18})=0,,DSUM(TERCEIROS!$B$11:$AW$207,AK$2,{$A$2;$A18}))</f>
        <v/>
      </c>
      <c r="AL18" s="294" t="str">
        <f t="array" ref="AL18">IF(DSUM(TERCEIROS!$B$11:$AW$207,AL$2,{$A$2;$A18})=0,,DSUM(TERCEIROS!$B$11:$AW$207,AL$2,{$A$2;$A18}))</f>
        <v/>
      </c>
    </row>
    <row r="19">
      <c r="A19" s="287" t="s">
        <v>1678</v>
      </c>
      <c r="B19" s="288"/>
      <c r="C19" s="287" t="str">
        <f>VLOOKUP(A19,TERCEIROS!$D$12:$E$135,2,false)</f>
        <v>50.276.237/0001-78</v>
      </c>
      <c r="D19" s="289" t="str">
        <f>VLOOKUP(A19,TERCEIROS!$D$12:$I$135,6,false)</f>
        <v>Análise de perfil lipídico - T9</v>
      </c>
      <c r="E19" s="290">
        <f t="array" ref="E19">IF(DSUM(TERCEIROS!$B$11:$AW$207,E$2,{$A$2;$A19})=0,,DSUM(TERCEIROS!$B$11:$AW$207,E$2,{$A$2;$A19}))</f>
        <v>9362</v>
      </c>
      <c r="F19" s="290" t="str">
        <f t="array" ref="F19">IF(DSUM(TERCEIROS!$B$11:$AW$207,F$2,{$A$2;$A19})=0,,DSUM(TERCEIROS!$B$11:$AW$207,F$2,{$A$2;$A19}))</f>
        <v/>
      </c>
      <c r="G19" s="290" t="str">
        <f t="array" ref="G19">IF(DSUM(TERCEIROS!$B$11:$AW$207,G$2,{$A$2;$A19})=0,,DSUM(TERCEIROS!$B$11:$AW$207,G$2,{$A$2;$A19}))</f>
        <v/>
      </c>
      <c r="H19" s="290" t="str">
        <f t="array" ref="H19">IF(DSUM(TERCEIROS!$B$11:$AW$207,H$2,{$A$2;$A19})=0,,DSUM(TERCEIROS!$B$11:$AW$207,H$2,{$A$2;$A19}))</f>
        <v/>
      </c>
      <c r="I19" s="290">
        <f t="array" ref="I19">IF(DSUM(TERCEIROS!$B$11:$AW$207,I$2,{$A$2;$A19})=0,,DSUM(TERCEIROS!$B$11:$AW$207,I$2,{$A$2;$A19}))</f>
        <v>852</v>
      </c>
      <c r="J19" s="290" t="str">
        <f t="array" ref="J19">IF(DSUM(TERCEIROS!$B$11:$AW$207,J$2,{$A$2;$A19})=0,,DSUM(TERCEIROS!$B$11:$AW$207,J$2,{$A$2;$A19}))</f>
        <v/>
      </c>
      <c r="K19" s="290">
        <f t="array" ref="K19">IF(DSUM(TERCEIROS!$B$11:$AW$207,K$2,{$A$2;$A19})=0,,DSUM(TERCEIROS!$B$11:$AW$207,K$2,{$A$2;$A19}))</f>
        <v>1715</v>
      </c>
      <c r="L19" s="290" t="str">
        <f t="array" ref="L19">IF(DSUM(TERCEIROS!$B$11:$AW$207,L$2,{$A$2;$A19})=0,,DSUM(TERCEIROS!$B$11:$AW$207,L$2,{$A$2;$A19}))</f>
        <v/>
      </c>
      <c r="M19" s="290" t="str">
        <f t="array" ref="M19">IF(DSUM(TERCEIROS!$B$11:$AW$207,M$2,{$A$2;$A19})=0,,DSUM(TERCEIROS!$B$11:$AW$207,M$2,{$A$2;$A19}))</f>
        <v/>
      </c>
      <c r="N19" s="290">
        <f t="array" ref="N19">IF(DSUM(TERCEIROS!$B$11:$AW$207,N$2,{$A$2;$A19})=0,,DSUM(TERCEIROS!$B$11:$AW$207,N$2,{$A$2;$A19}))</f>
        <v>2556</v>
      </c>
      <c r="O19" s="290">
        <f t="array" ref="O19">IF(DSUM(TERCEIROS!$B$11:$AW$207,O$2,{$A$2;$A19})=0,,DSUM(TERCEIROS!$B$11:$AW$207,O$2,{$A$2;$A19}))</f>
        <v>918</v>
      </c>
      <c r="P19" s="290" t="str">
        <f t="array" ref="P19">IF(DSUM(TERCEIROS!$B$11:$AW$207,P$2,{$A$2;$A19})=0,,DSUM(TERCEIROS!$B$11:$AW$207,P$2,{$A$2;$A19}))</f>
        <v/>
      </c>
      <c r="Q19" s="290" t="str">
        <f t="array" ref="Q19">IF(DSUM(TERCEIROS!$B$11:$AW$207,Q$2,{$A$2;$A19})=0,,DSUM(TERCEIROS!$B$11:$AW$207,Q$2,{$A$2;$A19}))</f>
        <v/>
      </c>
      <c r="R19" s="290" t="str">
        <f t="array" ref="R19">IF(DSUM(TERCEIROS!$B$11:$AW$207,R$2,{$A$2;$A19})=0,,DSUM(TERCEIROS!$B$11:$AW$207,R$2,{$A$2;$A19}))</f>
        <v/>
      </c>
      <c r="S19" s="290" t="str">
        <f t="array" ref="S19">IF(DSUM(TERCEIROS!$B$11:$AW$207,S$2,{$A$2;$A19})=0,,DSUM(TERCEIROS!$B$11:$AW$207,S$2,{$A$2;$A19}))</f>
        <v/>
      </c>
      <c r="T19" s="290">
        <f t="array" ref="T19">IF(DSUM(TERCEIROS!$B$11:$AW$207,T$2,{$A$2;$A19})=0,,DSUM(TERCEIROS!$B$11:$AW$207,T$2,{$A$2;$A19}))</f>
        <v>730</v>
      </c>
      <c r="U19" s="290" t="str">
        <f t="array" ref="U19">IF(DSUM(TERCEIROS!$B$11:$AW$207,U$2,{$A$2;$A19})=0,,DSUM(TERCEIROS!$B$11:$AW$207,U$2,{$A$2;$A19}))</f>
        <v/>
      </c>
      <c r="V19" s="290" t="str">
        <f t="array" ref="V19">IF(DSUM(TERCEIROS!$B$11:$AW$207,V$2,{$A$2;$A19})=0,,DSUM(TERCEIROS!$B$11:$AW$207,V$2,{$A$2;$A19}))</f>
        <v/>
      </c>
      <c r="W19" s="290" t="str">
        <f t="array" ref="W19">IF(DSUM(TERCEIROS!$B$11:$AW$207,W$2,{$A$2;$A19})=0,,DSUM(TERCEIROS!$B$11:$AW$207,W$2,{$A$2;$A19}))</f>
        <v/>
      </c>
      <c r="X19" s="290" t="str">
        <f t="array" ref="X19">IF(DSUM(TERCEIROS!$B$11:$AW$207,X$2,{$A$2;$A19})=0,,DSUM(TERCEIROS!$B$11:$AW$207,X$2,{$A$2;$A19}))</f>
        <v/>
      </c>
      <c r="Y19" s="290" t="str">
        <f t="array" ref="Y19">IF(DSUM(TERCEIROS!$B$11:$AW$207,Y$2,{$A$2;$A19})=0,,DSUM(TERCEIROS!$B$11:$AW$207,Y$2,{$A$2;$A19}))</f>
        <v/>
      </c>
      <c r="Z19" s="290" t="str">
        <f t="array" ref="Z19">IF(DSUM(TERCEIROS!$B$11:$AW$207,Z$2,{$A$2;$A19})=0,,DSUM(TERCEIROS!$B$11:$AW$207,Z$2,{$A$2;$A19}))</f>
        <v/>
      </c>
      <c r="AA19" s="290" t="str">
        <f t="array" ref="AA19">IF(DSUM(TERCEIROS!$B$11:$AW$207,AA$2,{$A$2;$A19})=0,,DSUM(TERCEIROS!$B$11:$AW$207,AA$2,{$A$2;$A19}))</f>
        <v/>
      </c>
      <c r="AB19" s="290" t="str">
        <f t="array" ref="AB19">IF(DSUM(TERCEIROS!$B$11:$AW$207,AB$2,{$A$2;$A19})=0,,DSUM(TERCEIROS!$B$11:$AW$207,AB$2,{$A$2;$A19}))</f>
        <v/>
      </c>
      <c r="AC19" s="290">
        <f t="array" ref="AC19">IF(DSUM(TERCEIROS!$B$11:$AW$207,AC$2,{$A$2;$A19})=0,,DSUM(TERCEIROS!$B$11:$AW$207,AC$2,{$A$2;$A19}))</f>
        <v>2556</v>
      </c>
      <c r="AD19" s="290" t="str">
        <f t="array" ref="AD19">IF(DSUM(TERCEIROS!$B$11:$AW$207,AD$2,{$A$2;$A19})=0,,DSUM(TERCEIROS!$B$11:$AW$207,AD$2,{$A$2;$A19}))</f>
        <v/>
      </c>
      <c r="AE19" s="290" t="str">
        <f t="array" ref="AE19">IF(DSUM(TERCEIROS!$B$11:$AW$207,AE$2,{$A$2;$A19})=0,,DSUM(TERCEIROS!$B$11:$AW$207,AE$2,{$A$2;$A19}))</f>
        <v/>
      </c>
      <c r="AF19" s="290" t="str">
        <f t="array" ref="AF19">IF(DSUM(TERCEIROS!$B$11:$AW$207,AF$2,{$A$2;$A19})=0,,DSUM(TERCEIROS!$B$11:$AW$207,AF$2,{$A$2;$A19}))</f>
        <v/>
      </c>
      <c r="AG19" s="290" t="str">
        <f t="array" ref="AG19">IF(DSUM(TERCEIROS!$B$11:$AW$207,AG$2,{$A$2;$A19})=0,,DSUM(TERCEIROS!$B$11:$AW$207,AG$2,{$A$2;$A19}))</f>
        <v/>
      </c>
      <c r="AH19" s="290" t="str">
        <f t="array" ref="AH19">IF(DSUM(TERCEIROS!$B$11:$AW$207,AH$2,{$A$2;$A19})=0,,DSUM(TERCEIROS!$B$11:$AW$207,AH$2,{$A$2;$A19}))</f>
        <v/>
      </c>
      <c r="AI19" s="290" t="str">
        <f t="array" ref="AI19">IF(DSUM(TERCEIROS!$B$11:$AW$207,AI$2,{$A$2;$A19})=0,,DSUM(TERCEIROS!$B$11:$AW$207,AI$2,{$A$2;$A19}))</f>
        <v/>
      </c>
      <c r="AJ19" s="290" t="str">
        <f t="array" ref="AJ19">IF(DSUM(TERCEIROS!$B$11:$AW$207,AJ$2,{$A$2;$A19})=0,,DSUM(TERCEIROS!$B$11:$AW$207,AJ$2,{$A$2;$A19}))</f>
        <v/>
      </c>
      <c r="AK19" s="290" t="str">
        <f t="array" ref="AK19">IF(DSUM(TERCEIROS!$B$11:$AW$207,AK$2,{$A$2;$A19})=0,,DSUM(TERCEIROS!$B$11:$AW$207,AK$2,{$A$2;$A19}))</f>
        <v/>
      </c>
      <c r="AL19" s="290" t="str">
        <f t="array" ref="AL19">IF(DSUM(TERCEIROS!$B$11:$AW$207,AL$2,{$A$2;$A19})=0,,DSUM(TERCEIROS!$B$11:$AW$207,AL$2,{$A$2;$A19}))</f>
        <v/>
      </c>
    </row>
    <row r="20">
      <c r="A20" s="291" t="s">
        <v>1687</v>
      </c>
      <c r="B20" s="292"/>
      <c r="C20" s="291" t="str">
        <f>VLOOKUP(A20,TERCEIROS!$D$12:$E$135,2,false)</f>
        <v>07.575.651/0001-59</v>
      </c>
      <c r="D20" s="293" t="str">
        <f>VLOOKUP(A20,TERCEIROS!$D$12:$I$135,6,false)</f>
        <v>Aéreo teste Embrapa/RJ - Juliana</v>
      </c>
      <c r="E20" s="294" t="str">
        <f t="array" ref="E20">IF(DSUM(TERCEIROS!$B$11:$AW$207,E$2,{$A$2;$A20})=0,,DSUM(TERCEIROS!$B$11:$AW$207,E$2,{$A$2;$A20}))</f>
        <v/>
      </c>
      <c r="F20" s="294" t="str">
        <f t="array" ref="F20">IF(DSUM(TERCEIROS!$B$11:$AW$207,F$2,{$A$2;$A20})=0,,DSUM(TERCEIROS!$B$11:$AW$207,F$2,{$A$2;$A20}))</f>
        <v/>
      </c>
      <c r="G20" s="294" t="str">
        <f t="array" ref="G20">IF(DSUM(TERCEIROS!$B$11:$AW$207,G$2,{$A$2;$A20})=0,,DSUM(TERCEIROS!$B$11:$AW$207,G$2,{$A$2;$A20}))</f>
        <v/>
      </c>
      <c r="H20" s="294" t="str">
        <f t="array" ref="H20">IF(DSUM(TERCEIROS!$B$11:$AW$207,H$2,{$A$2;$A20})=0,,DSUM(TERCEIROS!$B$11:$AW$207,H$2,{$A$2;$A20}))</f>
        <v/>
      </c>
      <c r="I20" s="294" t="str">
        <f t="array" ref="I20">IF(DSUM(TERCEIROS!$B$11:$AW$207,I$2,{$A$2;$A20})=0,,DSUM(TERCEIROS!$B$11:$AW$207,I$2,{$A$2;$A20}))</f>
        <v/>
      </c>
      <c r="J20" s="294" t="str">
        <f t="array" ref="J20">IF(DSUM(TERCEIROS!$B$11:$AW$207,J$2,{$A$2;$A20})=0,,DSUM(TERCEIROS!$B$11:$AW$207,J$2,{$A$2;$A20}))</f>
        <v/>
      </c>
      <c r="K20" s="294" t="str">
        <f t="array" ref="K20">IF(DSUM(TERCEIROS!$B$11:$AW$207,K$2,{$A$2;$A20})=0,,DSUM(TERCEIROS!$B$11:$AW$207,K$2,{$A$2;$A20}))</f>
        <v/>
      </c>
      <c r="L20" s="294" t="str">
        <f t="array" ref="L20">IF(DSUM(TERCEIROS!$B$11:$AW$207,L$2,{$A$2;$A20})=0,,DSUM(TERCEIROS!$B$11:$AW$207,L$2,{$A$2;$A20}))</f>
        <v/>
      </c>
      <c r="M20" s="294" t="str">
        <f t="array" ref="M20">IF(DSUM(TERCEIROS!$B$11:$AW$207,M$2,{$A$2;$A20})=0,,DSUM(TERCEIROS!$B$11:$AW$207,M$2,{$A$2;$A20}))</f>
        <v/>
      </c>
      <c r="N20" s="294" t="str">
        <f t="array" ref="N20">IF(DSUM(TERCEIROS!$B$11:$AW$207,N$2,{$A$2;$A20})=0,,DSUM(TERCEIROS!$B$11:$AW$207,N$2,{$A$2;$A20}))</f>
        <v/>
      </c>
      <c r="O20" s="294" t="str">
        <f t="array" ref="O20">IF(DSUM(TERCEIROS!$B$11:$AW$207,O$2,{$A$2;$A20})=0,,DSUM(TERCEIROS!$B$11:$AW$207,O$2,{$A$2;$A20}))</f>
        <v/>
      </c>
      <c r="P20" s="294" t="str">
        <f t="array" ref="P20">IF(DSUM(TERCEIROS!$B$11:$AW$207,P$2,{$A$2;$A20})=0,,DSUM(TERCEIROS!$B$11:$AW$207,P$2,{$A$2;$A20}))</f>
        <v/>
      </c>
      <c r="Q20" s="294" t="str">
        <f t="array" ref="Q20">IF(DSUM(TERCEIROS!$B$11:$AW$207,Q$2,{$A$2;$A20})=0,,DSUM(TERCEIROS!$B$11:$AW$207,Q$2,{$A$2;$A20}))</f>
        <v/>
      </c>
      <c r="R20" s="294" t="str">
        <f t="array" ref="R20">IF(DSUM(TERCEIROS!$B$11:$AW$207,R$2,{$A$2;$A20})=0,,DSUM(TERCEIROS!$B$11:$AW$207,R$2,{$A$2;$A20}))</f>
        <v/>
      </c>
      <c r="S20" s="294" t="str">
        <f t="array" ref="S20">IF(DSUM(TERCEIROS!$B$11:$AW$207,S$2,{$A$2;$A20})=0,,DSUM(TERCEIROS!$B$11:$AW$207,S$2,{$A$2;$A20}))</f>
        <v/>
      </c>
      <c r="T20" s="294" t="str">
        <f t="array" ref="T20">IF(DSUM(TERCEIROS!$B$11:$AW$207,T$2,{$A$2;$A20})=0,,DSUM(TERCEIROS!$B$11:$AW$207,T$2,{$A$2;$A20}))</f>
        <v/>
      </c>
      <c r="U20" s="294" t="str">
        <f t="array" ref="U20">IF(DSUM(TERCEIROS!$B$11:$AW$207,U$2,{$A$2;$A20})=0,,DSUM(TERCEIROS!$B$11:$AW$207,U$2,{$A$2;$A20}))</f>
        <v/>
      </c>
      <c r="V20" s="294" t="str">
        <f t="array" ref="V20">IF(DSUM(TERCEIROS!$B$11:$AW$207,V$2,{$A$2;$A20})=0,,DSUM(TERCEIROS!$B$11:$AW$207,V$2,{$A$2;$A20}))</f>
        <v/>
      </c>
      <c r="W20" s="294" t="str">
        <f t="array" ref="W20">IF(DSUM(TERCEIROS!$B$11:$AW$207,W$2,{$A$2;$A20})=0,,DSUM(TERCEIROS!$B$11:$AW$207,W$2,{$A$2;$A20}))</f>
        <v/>
      </c>
      <c r="X20" s="294" t="str">
        <f t="array" ref="X20">IF(DSUM(TERCEIROS!$B$11:$AW$207,X$2,{$A$2;$A20})=0,,DSUM(TERCEIROS!$B$11:$AW$207,X$2,{$A$2;$A20}))</f>
        <v/>
      </c>
      <c r="Y20" s="294" t="str">
        <f t="array" ref="Y20">IF(DSUM(TERCEIROS!$B$11:$AW$207,Y$2,{$A$2;$A20})=0,,DSUM(TERCEIROS!$B$11:$AW$207,Y$2,{$A$2;$A20}))</f>
        <v/>
      </c>
      <c r="Z20" s="294" t="str">
        <f t="array" ref="Z20">IF(DSUM(TERCEIROS!$B$11:$AW$207,Z$2,{$A$2;$A20})=0,,DSUM(TERCEIROS!$B$11:$AW$207,Z$2,{$A$2;$A20}))</f>
        <v/>
      </c>
      <c r="AA20" s="294" t="str">
        <f t="array" ref="AA20">IF(DSUM(TERCEIROS!$B$11:$AW$207,AA$2,{$A$2;$A20})=0,,DSUM(TERCEIROS!$B$11:$AW$207,AA$2,{$A$2;$A20}))</f>
        <v/>
      </c>
      <c r="AB20" s="294" t="str">
        <f t="array" ref="AB20">IF(DSUM(TERCEIROS!$B$11:$AW$207,AB$2,{$A$2;$A20})=0,,DSUM(TERCEIROS!$B$11:$AW$207,AB$2,{$A$2;$A20}))</f>
        <v/>
      </c>
      <c r="AC20" s="294" t="str">
        <f t="array" ref="AC20">IF(DSUM(TERCEIROS!$B$11:$AW$207,AC$2,{$A$2;$A20})=0,,DSUM(TERCEIROS!$B$11:$AW$207,AC$2,{$A$2;$A20}))</f>
        <v/>
      </c>
      <c r="AD20" s="294" t="str">
        <f t="array" ref="AD20">IF(DSUM(TERCEIROS!$B$11:$AW$207,AD$2,{$A$2;$A20})=0,,DSUM(TERCEIROS!$B$11:$AW$207,AD$2,{$A$2;$A20}))</f>
        <v/>
      </c>
      <c r="AE20" s="294" t="str">
        <f t="array" ref="AE20">IF(DSUM(TERCEIROS!$B$11:$AW$207,AE$2,{$A$2;$A20})=0,,DSUM(TERCEIROS!$B$11:$AW$207,AE$2,{$A$2;$A20}))</f>
        <v/>
      </c>
      <c r="AF20" s="294" t="str">
        <f t="array" ref="AF20">IF(DSUM(TERCEIROS!$B$11:$AW$207,AF$2,{$A$2;$A20})=0,,DSUM(TERCEIROS!$B$11:$AW$207,AF$2,{$A$2;$A20}))</f>
        <v/>
      </c>
      <c r="AG20" s="294" t="str">
        <f t="array" ref="AG20">IF(DSUM(TERCEIROS!$B$11:$AW$207,AG$2,{$A$2;$A20})=0,,DSUM(TERCEIROS!$B$11:$AW$207,AG$2,{$A$2;$A20}))</f>
        <v/>
      </c>
      <c r="AH20" s="294" t="str">
        <f t="array" ref="AH20">IF(DSUM(TERCEIROS!$B$11:$AW$207,AH$2,{$A$2;$A20})=0,,DSUM(TERCEIROS!$B$11:$AW$207,AH$2,{$A$2;$A20}))</f>
        <v/>
      </c>
      <c r="AI20" s="294" t="str">
        <f t="array" ref="AI20">IF(DSUM(TERCEIROS!$B$11:$AW$207,AI$2,{$A$2;$A20})=0,,DSUM(TERCEIROS!$B$11:$AW$207,AI$2,{$A$2;$A20}))</f>
        <v/>
      </c>
      <c r="AJ20" s="294" t="str">
        <f t="array" ref="AJ20">IF(DSUM(TERCEIROS!$B$11:$AW$207,AJ$2,{$A$2;$A20})=0,,DSUM(TERCEIROS!$B$11:$AW$207,AJ$2,{$A$2;$A20}))</f>
        <v/>
      </c>
      <c r="AK20" s="294" t="str">
        <f t="array" ref="AK20">IF(DSUM(TERCEIROS!$B$11:$AW$207,AK$2,{$A$2;$A20})=0,,DSUM(TERCEIROS!$B$11:$AW$207,AK$2,{$A$2;$A20}))</f>
        <v/>
      </c>
      <c r="AL20" s="294" t="str">
        <f t="array" ref="AL20">IF(DSUM(TERCEIROS!$B$11:$AW$207,AL$2,{$A$2;$A20})=0,,DSUM(TERCEIROS!$B$11:$AW$207,AL$2,{$A$2;$A20}))</f>
        <v/>
      </c>
    </row>
    <row r="21">
      <c r="A21" s="287" t="s">
        <v>1650</v>
      </c>
      <c r="B21" s="288"/>
      <c r="C21" s="287" t="str">
        <f>VLOOKUP(A21,TERCEIROS!$D$12:$E$135,2,false)</f>
        <v>20.618.029/0001-49</v>
      </c>
      <c r="D21" s="289" t="str">
        <f>VLOOKUP(A21,TERCEIROS!$D$12:$I$135,6,false)</f>
        <v>Envio de amostra para análise</v>
      </c>
      <c r="E21" s="290">
        <f t="array" ref="E21">IF(DSUM(TERCEIROS!$B$11:$AW$207,E$2,{$A$2;$A21})=0,,DSUM(TERCEIROS!$B$11:$AW$207,E$2,{$A$2;$A21}))</f>
        <v>457.28</v>
      </c>
      <c r="F21" s="290" t="str">
        <f t="array" ref="F21">IF(DSUM(TERCEIROS!$B$11:$AW$207,F$2,{$A$2;$A21})=0,,DSUM(TERCEIROS!$B$11:$AW$207,F$2,{$A$2;$A21}))</f>
        <v/>
      </c>
      <c r="G21" s="290" t="str">
        <f t="array" ref="G21">IF(DSUM(TERCEIROS!$B$11:$AW$207,G$2,{$A$2;$A21})=0,,DSUM(TERCEIROS!$B$11:$AW$207,G$2,{$A$2;$A21}))</f>
        <v/>
      </c>
      <c r="H21" s="290" t="str">
        <f t="array" ref="H21">IF(DSUM(TERCEIROS!$B$11:$AW$207,H$2,{$A$2;$A21})=0,,DSUM(TERCEIROS!$B$11:$AW$207,H$2,{$A$2;$A21}))</f>
        <v/>
      </c>
      <c r="I21" s="290" t="str">
        <f t="array" ref="I21">IF(DSUM(TERCEIROS!$B$11:$AW$207,I$2,{$A$2;$A21})=0,,DSUM(TERCEIROS!$B$11:$AW$207,I$2,{$A$2;$A21}))</f>
        <v/>
      </c>
      <c r="J21" s="290" t="str">
        <f t="array" ref="J21">IF(DSUM(TERCEIROS!$B$11:$AW$207,J$2,{$A$2;$A21})=0,,DSUM(TERCEIROS!$B$11:$AW$207,J$2,{$A$2;$A21}))</f>
        <v/>
      </c>
      <c r="K21" s="290">
        <f t="array" ref="K21">IF(DSUM(TERCEIROS!$B$11:$AW$207,K$2,{$A$2;$A21})=0,,DSUM(TERCEIROS!$B$11:$AW$207,K$2,{$A$2;$A21}))</f>
        <v>98.51</v>
      </c>
      <c r="L21" s="290" t="str">
        <f t="array" ref="L21">IF(DSUM(TERCEIROS!$B$11:$AW$207,L$2,{$A$2;$A21})=0,,DSUM(TERCEIROS!$B$11:$AW$207,L$2,{$A$2;$A21}))</f>
        <v/>
      </c>
      <c r="M21" s="290" t="str">
        <f t="array" ref="M21">IF(DSUM(TERCEIROS!$B$11:$AW$207,M$2,{$A$2;$A21})=0,,DSUM(TERCEIROS!$B$11:$AW$207,M$2,{$A$2;$A21}))</f>
        <v/>
      </c>
      <c r="N21" s="290">
        <f t="array" ref="N21">IF(DSUM(TERCEIROS!$B$11:$AW$207,N$2,{$A$2;$A21})=0,,DSUM(TERCEIROS!$B$11:$AW$207,N$2,{$A$2;$A21}))</f>
        <v>333.505</v>
      </c>
      <c r="O21" s="290">
        <f t="array" ref="O21">IF(DSUM(TERCEIROS!$B$11:$AW$207,O$2,{$A$2;$A21})=0,,DSUM(TERCEIROS!$B$11:$AW$207,O$2,{$A$2;$A21}))</f>
        <v>29.95</v>
      </c>
      <c r="P21" s="290" t="str">
        <f t="array" ref="P21">IF(DSUM(TERCEIROS!$B$11:$AW$207,P$2,{$A$2;$A21})=0,,DSUM(TERCEIROS!$B$11:$AW$207,P$2,{$A$2;$A21}))</f>
        <v/>
      </c>
      <c r="Q21" s="290" t="str">
        <f t="array" ref="Q21">IF(DSUM(TERCEIROS!$B$11:$AW$207,Q$2,{$A$2;$A21})=0,,DSUM(TERCEIROS!$B$11:$AW$207,Q$2,{$A$2;$A21}))</f>
        <v/>
      </c>
      <c r="R21" s="290" t="str">
        <f t="array" ref="R21">IF(DSUM(TERCEIROS!$B$11:$AW$207,R$2,{$A$2;$A21})=0,,DSUM(TERCEIROS!$B$11:$AW$207,R$2,{$A$2;$A21}))</f>
        <v/>
      </c>
      <c r="S21" s="290" t="str">
        <f t="array" ref="S21">IF(DSUM(TERCEIROS!$B$11:$AW$207,S$2,{$A$2;$A21})=0,,DSUM(TERCEIROS!$B$11:$AW$207,S$2,{$A$2;$A21}))</f>
        <v/>
      </c>
      <c r="T21" s="290" t="str">
        <f t="array" ref="T21">IF(DSUM(TERCEIROS!$B$11:$AW$207,T$2,{$A$2;$A21})=0,,DSUM(TERCEIROS!$B$11:$AW$207,T$2,{$A$2;$A21}))</f>
        <v/>
      </c>
      <c r="U21" s="290" t="str">
        <f t="array" ref="U21">IF(DSUM(TERCEIROS!$B$11:$AW$207,U$2,{$A$2;$A21})=0,,DSUM(TERCEIROS!$B$11:$AW$207,U$2,{$A$2;$A21}))</f>
        <v/>
      </c>
      <c r="V21" s="290" t="str">
        <f t="array" ref="V21">IF(DSUM(TERCEIROS!$B$11:$AW$207,V$2,{$A$2;$A21})=0,,DSUM(TERCEIROS!$B$11:$AW$207,V$2,{$A$2;$A21}))</f>
        <v/>
      </c>
      <c r="W21" s="290" t="str">
        <f t="array" ref="W21">IF(DSUM(TERCEIROS!$B$11:$AW$207,W$2,{$A$2;$A21})=0,,DSUM(TERCEIROS!$B$11:$AW$207,W$2,{$A$2;$A21}))</f>
        <v/>
      </c>
      <c r="X21" s="290" t="str">
        <f t="array" ref="X21">IF(DSUM(TERCEIROS!$B$11:$AW$207,X$2,{$A$2;$A21})=0,,DSUM(TERCEIROS!$B$11:$AW$207,X$2,{$A$2;$A21}))</f>
        <v/>
      </c>
      <c r="Y21" s="290" t="str">
        <f t="array" ref="Y21">IF(DSUM(TERCEIROS!$B$11:$AW$207,Y$2,{$A$2;$A21})=0,,DSUM(TERCEIROS!$B$11:$AW$207,Y$2,{$A$2;$A21}))</f>
        <v/>
      </c>
      <c r="Z21" s="290" t="str">
        <f t="array" ref="Z21">IF(DSUM(TERCEIROS!$B$11:$AW$207,Z$2,{$A$2;$A21})=0,,DSUM(TERCEIROS!$B$11:$AW$207,Z$2,{$A$2;$A21}))</f>
        <v/>
      </c>
      <c r="AA21" s="290" t="str">
        <f t="array" ref="AA21">IF(DSUM(TERCEIROS!$B$11:$AW$207,AA$2,{$A$2;$A21})=0,,DSUM(TERCEIROS!$B$11:$AW$207,AA$2,{$A$2;$A21}))</f>
        <v/>
      </c>
      <c r="AB21" s="290" t="str">
        <f t="array" ref="AB21">IF(DSUM(TERCEIROS!$B$11:$AW$207,AB$2,{$A$2;$A21})=0,,DSUM(TERCEIROS!$B$11:$AW$207,AB$2,{$A$2;$A21}))</f>
        <v/>
      </c>
      <c r="AC21" s="290" t="str">
        <f t="array" ref="AC21">IF(DSUM(TERCEIROS!$B$11:$AW$207,AC$2,{$A$2;$A21})=0,,DSUM(TERCEIROS!$B$11:$AW$207,AC$2,{$A$2;$A21}))</f>
        <v/>
      </c>
      <c r="AD21" s="290" t="str">
        <f t="array" ref="AD21">IF(DSUM(TERCEIROS!$B$11:$AW$207,AD$2,{$A$2;$A21})=0,,DSUM(TERCEIROS!$B$11:$AW$207,AD$2,{$A$2;$A21}))</f>
        <v/>
      </c>
      <c r="AE21" s="290" t="str">
        <f t="array" ref="AE21">IF(DSUM(TERCEIROS!$B$11:$AW$207,AE$2,{$A$2;$A21})=0,,DSUM(TERCEIROS!$B$11:$AW$207,AE$2,{$A$2;$A21}))</f>
        <v/>
      </c>
      <c r="AF21" s="290" t="str">
        <f t="array" ref="AF21">IF(DSUM(TERCEIROS!$B$11:$AW$207,AF$2,{$A$2;$A21})=0,,DSUM(TERCEIROS!$B$11:$AW$207,AF$2,{$A$2;$A21}))</f>
        <v/>
      </c>
      <c r="AG21" s="290" t="str">
        <f t="array" ref="AG21">IF(DSUM(TERCEIROS!$B$11:$AW$207,AG$2,{$A$2;$A21})=0,,DSUM(TERCEIROS!$B$11:$AW$207,AG$2,{$A$2;$A21}))</f>
        <v/>
      </c>
      <c r="AH21" s="290" t="str">
        <f t="array" ref="AH21">IF(DSUM(TERCEIROS!$B$11:$AW$207,AH$2,{$A$2;$A21})=0,,DSUM(TERCEIROS!$B$11:$AW$207,AH$2,{$A$2;$A21}))</f>
        <v/>
      </c>
      <c r="AI21" s="290" t="str">
        <f t="array" ref="AI21">IF(DSUM(TERCEIROS!$B$11:$AW$207,AI$2,{$A$2;$A21})=0,,DSUM(TERCEIROS!$B$11:$AW$207,AI$2,{$A$2;$A21}))</f>
        <v/>
      </c>
      <c r="AJ21" s="290" t="str">
        <f t="array" ref="AJ21">IF(DSUM(TERCEIROS!$B$11:$AW$207,AJ$2,{$A$2;$A21})=0,,DSUM(TERCEIROS!$B$11:$AW$207,AJ$2,{$A$2;$A21}))</f>
        <v/>
      </c>
      <c r="AK21" s="290" t="str">
        <f t="array" ref="AK21">IF(DSUM(TERCEIROS!$B$11:$AW$207,AK$2,{$A$2;$A21})=0,,DSUM(TERCEIROS!$B$11:$AW$207,AK$2,{$A$2;$A21}))</f>
        <v/>
      </c>
      <c r="AL21" s="290" t="str">
        <f t="array" ref="AL21">IF(DSUM(TERCEIROS!$B$11:$AW$207,AL$2,{$A$2;$A21})=0,,DSUM(TERCEIROS!$B$11:$AW$207,AL$2,{$A$2;$A21}))</f>
        <v/>
      </c>
    </row>
    <row r="22">
      <c r="A22" s="291" t="s">
        <v>1713</v>
      </c>
      <c r="B22" s="292"/>
      <c r="C22" s="291" t="str">
        <f>VLOOKUP(A22,TERCEIROS!$D$12:$E$135,2,false)</f>
        <v>02.021.076/0001-29</v>
      </c>
      <c r="D22" s="293" t="str">
        <f>VLOOKUP(A22,TERCEIROS!$D$12:$I$135,6,false)</f>
        <v>Análise de esterilidade comercial - T0 UTI</v>
      </c>
      <c r="E22" s="294">
        <f t="array" ref="E22">IF(DSUM(TERCEIROS!$B$11:$AW$207,E$2,{$A$2;$A22})=0,,DSUM(TERCEIROS!$B$11:$AW$207,E$2,{$A$2;$A22}))</f>
        <v>254.1</v>
      </c>
      <c r="F22" s="294" t="str">
        <f t="array" ref="F22">IF(DSUM(TERCEIROS!$B$11:$AW$207,F$2,{$A$2;$A22})=0,,DSUM(TERCEIROS!$B$11:$AW$207,F$2,{$A$2;$A22}))</f>
        <v/>
      </c>
      <c r="G22" s="294" t="str">
        <f t="array" ref="G22">IF(DSUM(TERCEIROS!$B$11:$AW$207,G$2,{$A$2;$A22})=0,,DSUM(TERCEIROS!$B$11:$AW$207,G$2,{$A$2;$A22}))</f>
        <v/>
      </c>
      <c r="H22" s="294" t="str">
        <f t="array" ref="H22">IF(DSUM(TERCEIROS!$B$11:$AW$207,H$2,{$A$2;$A22})=0,,DSUM(TERCEIROS!$B$11:$AW$207,H$2,{$A$2;$A22}))</f>
        <v/>
      </c>
      <c r="I22" s="294" t="str">
        <f t="array" ref="I22">IF(DSUM(TERCEIROS!$B$11:$AW$207,I$2,{$A$2;$A22})=0,,DSUM(TERCEIROS!$B$11:$AW$207,I$2,{$A$2;$A22}))</f>
        <v/>
      </c>
      <c r="J22" s="294" t="str">
        <f t="array" ref="J22">IF(DSUM(TERCEIROS!$B$11:$AW$207,J$2,{$A$2;$A22})=0,,DSUM(TERCEIROS!$B$11:$AW$207,J$2,{$A$2;$A22}))</f>
        <v/>
      </c>
      <c r="K22" s="294" t="str">
        <f t="array" ref="K22">IF(DSUM(TERCEIROS!$B$11:$AW$207,K$2,{$A$2;$A22})=0,,DSUM(TERCEIROS!$B$11:$AW$207,K$2,{$A$2;$A22}))</f>
        <v/>
      </c>
      <c r="L22" s="294" t="str">
        <f t="array" ref="L22">IF(DSUM(TERCEIROS!$B$11:$AW$207,L$2,{$A$2;$A22})=0,,DSUM(TERCEIROS!$B$11:$AW$207,L$2,{$A$2;$A22}))</f>
        <v/>
      </c>
      <c r="M22" s="294" t="str">
        <f t="array" ref="M22">IF(DSUM(TERCEIROS!$B$11:$AW$207,M$2,{$A$2;$A22})=0,,DSUM(TERCEIROS!$B$11:$AW$207,M$2,{$A$2;$A22}))</f>
        <v/>
      </c>
      <c r="N22" s="294" t="str">
        <f t="array" ref="N22">IF(DSUM(TERCEIROS!$B$11:$AW$207,N$2,{$A$2;$A22})=0,,DSUM(TERCEIROS!$B$11:$AW$207,N$2,{$A$2;$A22}))</f>
        <v/>
      </c>
      <c r="O22" s="294" t="str">
        <f t="array" ref="O22">IF(DSUM(TERCEIROS!$B$11:$AW$207,O$2,{$A$2;$A22})=0,,DSUM(TERCEIROS!$B$11:$AW$207,O$2,{$A$2;$A22}))</f>
        <v/>
      </c>
      <c r="P22" s="294" t="str">
        <f t="array" ref="P22">IF(DSUM(TERCEIROS!$B$11:$AW$207,P$2,{$A$2;$A22})=0,,DSUM(TERCEIROS!$B$11:$AW$207,P$2,{$A$2;$A22}))</f>
        <v/>
      </c>
      <c r="Q22" s="294" t="str">
        <f t="array" ref="Q22">IF(DSUM(TERCEIROS!$B$11:$AW$207,Q$2,{$A$2;$A22})=0,,DSUM(TERCEIROS!$B$11:$AW$207,Q$2,{$A$2;$A22}))</f>
        <v/>
      </c>
      <c r="R22" s="294" t="str">
        <f t="array" ref="R22">IF(DSUM(TERCEIROS!$B$11:$AW$207,R$2,{$A$2;$A22})=0,,DSUM(TERCEIROS!$B$11:$AW$207,R$2,{$A$2;$A22}))</f>
        <v/>
      </c>
      <c r="S22" s="294" t="str">
        <f t="array" ref="S22">IF(DSUM(TERCEIROS!$B$11:$AW$207,S$2,{$A$2;$A22})=0,,DSUM(TERCEIROS!$B$11:$AW$207,S$2,{$A$2;$A22}))</f>
        <v/>
      </c>
      <c r="T22" s="294" t="str">
        <f t="array" ref="T22">IF(DSUM(TERCEIROS!$B$11:$AW$207,T$2,{$A$2;$A22})=0,,DSUM(TERCEIROS!$B$11:$AW$207,T$2,{$A$2;$A22}))</f>
        <v/>
      </c>
      <c r="U22" s="294" t="str">
        <f t="array" ref="U22">IF(DSUM(TERCEIROS!$B$11:$AW$207,U$2,{$A$2;$A22})=0,,DSUM(TERCEIROS!$B$11:$AW$207,U$2,{$A$2;$A22}))</f>
        <v/>
      </c>
      <c r="V22" s="294" t="str">
        <f t="array" ref="V22">IF(DSUM(TERCEIROS!$B$11:$AW$207,V$2,{$A$2;$A22})=0,,DSUM(TERCEIROS!$B$11:$AW$207,V$2,{$A$2;$A22}))</f>
        <v/>
      </c>
      <c r="W22" s="294" t="str">
        <f t="array" ref="W22">IF(DSUM(TERCEIROS!$B$11:$AW$207,W$2,{$A$2;$A22})=0,,DSUM(TERCEIROS!$B$11:$AW$207,W$2,{$A$2;$A22}))</f>
        <v/>
      </c>
      <c r="X22" s="294" t="str">
        <f t="array" ref="X22">IF(DSUM(TERCEIROS!$B$11:$AW$207,X$2,{$A$2;$A22})=0,,DSUM(TERCEIROS!$B$11:$AW$207,X$2,{$A$2;$A22}))</f>
        <v/>
      </c>
      <c r="Y22" s="294" t="str">
        <f t="array" ref="Y22">IF(DSUM(TERCEIROS!$B$11:$AW$207,Y$2,{$A$2;$A22})=0,,DSUM(TERCEIROS!$B$11:$AW$207,Y$2,{$A$2;$A22}))</f>
        <v/>
      </c>
      <c r="Z22" s="294" t="str">
        <f t="array" ref="Z22">IF(DSUM(TERCEIROS!$B$11:$AW$207,Z$2,{$A$2;$A22})=0,,DSUM(TERCEIROS!$B$11:$AW$207,Z$2,{$A$2;$A22}))</f>
        <v/>
      </c>
      <c r="AA22" s="294" t="str">
        <f t="array" ref="AA22">IF(DSUM(TERCEIROS!$B$11:$AW$207,AA$2,{$A$2;$A22})=0,,DSUM(TERCEIROS!$B$11:$AW$207,AA$2,{$A$2;$A22}))</f>
        <v/>
      </c>
      <c r="AB22" s="294" t="str">
        <f t="array" ref="AB22">IF(DSUM(TERCEIROS!$B$11:$AW$207,AB$2,{$A$2;$A22})=0,,DSUM(TERCEIROS!$B$11:$AW$207,AB$2,{$A$2;$A22}))</f>
        <v/>
      </c>
      <c r="AC22" s="294" t="str">
        <f t="array" ref="AC22">IF(DSUM(TERCEIROS!$B$11:$AW$207,AC$2,{$A$2;$A22})=0,,DSUM(TERCEIROS!$B$11:$AW$207,AC$2,{$A$2;$A22}))</f>
        <v/>
      </c>
      <c r="AD22" s="294" t="str">
        <f t="array" ref="AD22">IF(DSUM(TERCEIROS!$B$11:$AW$207,AD$2,{$A$2;$A22})=0,,DSUM(TERCEIROS!$B$11:$AW$207,AD$2,{$A$2;$A22}))</f>
        <v/>
      </c>
      <c r="AE22" s="294" t="str">
        <f t="array" ref="AE22">IF(DSUM(TERCEIROS!$B$11:$AW$207,AE$2,{$A$2;$A22})=0,,DSUM(TERCEIROS!$B$11:$AW$207,AE$2,{$A$2;$A22}))</f>
        <v/>
      </c>
      <c r="AF22" s="294" t="str">
        <f t="array" ref="AF22">IF(DSUM(TERCEIROS!$B$11:$AW$207,AF$2,{$A$2;$A22})=0,,DSUM(TERCEIROS!$B$11:$AW$207,AF$2,{$A$2;$A22}))</f>
        <v/>
      </c>
      <c r="AG22" s="294" t="str">
        <f t="array" ref="AG22">IF(DSUM(TERCEIROS!$B$11:$AW$207,AG$2,{$A$2;$A22})=0,,DSUM(TERCEIROS!$B$11:$AW$207,AG$2,{$A$2;$A22}))</f>
        <v/>
      </c>
      <c r="AH22" s="294" t="str">
        <f t="array" ref="AH22">IF(DSUM(TERCEIROS!$B$11:$AW$207,AH$2,{$A$2;$A22})=0,,DSUM(TERCEIROS!$B$11:$AW$207,AH$2,{$A$2;$A22}))</f>
        <v/>
      </c>
      <c r="AI22" s="294" t="str">
        <f t="array" ref="AI22">IF(DSUM(TERCEIROS!$B$11:$AW$207,AI$2,{$A$2;$A22})=0,,DSUM(TERCEIROS!$B$11:$AW$207,AI$2,{$A$2;$A22}))</f>
        <v/>
      </c>
      <c r="AJ22" s="294" t="str">
        <f t="array" ref="AJ22">IF(DSUM(TERCEIROS!$B$11:$AW$207,AJ$2,{$A$2;$A22})=0,,DSUM(TERCEIROS!$B$11:$AW$207,AJ$2,{$A$2;$A22}))</f>
        <v/>
      </c>
      <c r="AK22" s="294" t="str">
        <f t="array" ref="AK22">IF(DSUM(TERCEIROS!$B$11:$AW$207,AK$2,{$A$2;$A22})=0,,DSUM(TERCEIROS!$B$11:$AW$207,AK$2,{$A$2;$A22}))</f>
        <v/>
      </c>
      <c r="AL22" s="294" t="str">
        <f t="array" ref="AL22">IF(DSUM(TERCEIROS!$B$11:$AW$207,AL$2,{$A$2;$A22})=0,,DSUM(TERCEIROS!$B$11:$AW$207,AL$2,{$A$2;$A22}))</f>
        <v/>
      </c>
    </row>
    <row r="23">
      <c r="A23" s="287" t="s">
        <v>1788</v>
      </c>
      <c r="B23" s="288"/>
      <c r="C23" s="287" t="str">
        <f>VLOOKUP(A23,TERCEIROS!$D$12:$E$135,2,false)</f>
        <v>01.588.888/0032-94</v>
      </c>
      <c r="D23" s="289" t="str">
        <f>VLOOKUP(A23,TERCEIROS!$D$12:$I$135,6,false)</f>
        <v>Pagamento de exames laboratoriais</v>
      </c>
      <c r="E23" s="290" t="str">
        <f t="array" ref="E23">IF(DSUM(TERCEIROS!$B$11:$AW$207,E$2,{$A$2;$A23})=0,,DSUM(TERCEIROS!$B$11:$AW$207,E$2,{$A$2;$A23}))</f>
        <v/>
      </c>
      <c r="F23" s="290" t="str">
        <f t="array" ref="F23">IF(DSUM(TERCEIROS!$B$11:$AW$207,F$2,{$A$2;$A23})=0,,DSUM(TERCEIROS!$B$11:$AW$207,F$2,{$A$2;$A23}))</f>
        <v/>
      </c>
      <c r="G23" s="290" t="str">
        <f t="array" ref="G23">IF(DSUM(TERCEIROS!$B$11:$AW$207,G$2,{$A$2;$A23})=0,,DSUM(TERCEIROS!$B$11:$AW$207,G$2,{$A$2;$A23}))</f>
        <v/>
      </c>
      <c r="H23" s="290" t="str">
        <f t="array" ref="H23">IF(DSUM(TERCEIROS!$B$11:$AW$207,H$2,{$A$2;$A23})=0,,DSUM(TERCEIROS!$B$11:$AW$207,H$2,{$A$2;$A23}))</f>
        <v/>
      </c>
      <c r="I23" s="290" t="str">
        <f t="array" ref="I23">IF(DSUM(TERCEIROS!$B$11:$AW$207,I$2,{$A$2;$A23})=0,,DSUM(TERCEIROS!$B$11:$AW$207,I$2,{$A$2;$A23}))</f>
        <v/>
      </c>
      <c r="J23" s="290" t="str">
        <f t="array" ref="J23">IF(DSUM(TERCEIROS!$B$11:$AW$207,J$2,{$A$2;$A23})=0,,DSUM(TERCEIROS!$B$11:$AW$207,J$2,{$A$2;$A23}))</f>
        <v/>
      </c>
      <c r="K23" s="290" t="str">
        <f t="array" ref="K23">IF(DSUM(TERCEIROS!$B$11:$AW$207,K$2,{$A$2;$A23})=0,,DSUM(TERCEIROS!$B$11:$AW$207,K$2,{$A$2;$A23}))</f>
        <v/>
      </c>
      <c r="L23" s="290" t="str">
        <f t="array" ref="L23">IF(DSUM(TERCEIROS!$B$11:$AW$207,L$2,{$A$2;$A23})=0,,DSUM(TERCEIROS!$B$11:$AW$207,L$2,{$A$2;$A23}))</f>
        <v/>
      </c>
      <c r="M23" s="290" t="str">
        <f t="array" ref="M23">IF(DSUM(TERCEIROS!$B$11:$AW$207,M$2,{$A$2;$A23})=0,,DSUM(TERCEIROS!$B$11:$AW$207,M$2,{$A$2;$A23}))</f>
        <v/>
      </c>
      <c r="N23" s="290" t="str">
        <f t="array" ref="N23">IF(DSUM(TERCEIROS!$B$11:$AW$207,N$2,{$A$2;$A23})=0,,DSUM(TERCEIROS!$B$11:$AW$207,N$2,{$A$2;$A23}))</f>
        <v/>
      </c>
      <c r="O23" s="290" t="str">
        <f t="array" ref="O23">IF(DSUM(TERCEIROS!$B$11:$AW$207,O$2,{$A$2;$A23})=0,,DSUM(TERCEIROS!$B$11:$AW$207,O$2,{$A$2;$A23}))</f>
        <v/>
      </c>
      <c r="P23" s="290" t="str">
        <f t="array" ref="P23">IF(DSUM(TERCEIROS!$B$11:$AW$207,P$2,{$A$2;$A23})=0,,DSUM(TERCEIROS!$B$11:$AW$207,P$2,{$A$2;$A23}))</f>
        <v/>
      </c>
      <c r="Q23" s="290" t="str">
        <f t="array" ref="Q23">IF(DSUM(TERCEIROS!$B$11:$AW$207,Q$2,{$A$2;$A23})=0,,DSUM(TERCEIROS!$B$11:$AW$207,Q$2,{$A$2;$A23}))</f>
        <v/>
      </c>
      <c r="R23" s="290" t="str">
        <f t="array" ref="R23">IF(DSUM(TERCEIROS!$B$11:$AW$207,R$2,{$A$2;$A23})=0,,DSUM(TERCEIROS!$B$11:$AW$207,R$2,{$A$2;$A23}))</f>
        <v/>
      </c>
      <c r="S23" s="290" t="str">
        <f t="array" ref="S23">IF(DSUM(TERCEIROS!$B$11:$AW$207,S$2,{$A$2;$A23})=0,,DSUM(TERCEIROS!$B$11:$AW$207,S$2,{$A$2;$A23}))</f>
        <v/>
      </c>
      <c r="T23" s="290" t="str">
        <f t="array" ref="T23">IF(DSUM(TERCEIROS!$B$11:$AW$207,T$2,{$A$2;$A23})=0,,DSUM(TERCEIROS!$B$11:$AW$207,T$2,{$A$2;$A23}))</f>
        <v/>
      </c>
      <c r="U23" s="290" t="str">
        <f t="array" ref="U23">IF(DSUM(TERCEIROS!$B$11:$AW$207,U$2,{$A$2;$A23})=0,,DSUM(TERCEIROS!$B$11:$AW$207,U$2,{$A$2;$A23}))</f>
        <v/>
      </c>
      <c r="V23" s="290" t="str">
        <f t="array" ref="V23">IF(DSUM(TERCEIROS!$B$11:$AW$207,V$2,{$A$2;$A23})=0,,DSUM(TERCEIROS!$B$11:$AW$207,V$2,{$A$2;$A23}))</f>
        <v/>
      </c>
      <c r="W23" s="290" t="str">
        <f t="array" ref="W23">IF(DSUM(TERCEIROS!$B$11:$AW$207,W$2,{$A$2;$A23})=0,,DSUM(TERCEIROS!$B$11:$AW$207,W$2,{$A$2;$A23}))</f>
        <v/>
      </c>
      <c r="X23" s="290" t="str">
        <f t="array" ref="X23">IF(DSUM(TERCEIROS!$B$11:$AW$207,X$2,{$A$2;$A23})=0,,DSUM(TERCEIROS!$B$11:$AW$207,X$2,{$A$2;$A23}))</f>
        <v/>
      </c>
      <c r="Y23" s="290" t="str">
        <f t="array" ref="Y23">IF(DSUM(TERCEIROS!$B$11:$AW$207,Y$2,{$A$2;$A23})=0,,DSUM(TERCEIROS!$B$11:$AW$207,Y$2,{$A$2;$A23}))</f>
        <v/>
      </c>
      <c r="Z23" s="290" t="str">
        <f t="array" ref="Z23">IF(DSUM(TERCEIROS!$B$11:$AW$207,Z$2,{$A$2;$A23})=0,,DSUM(TERCEIROS!$B$11:$AW$207,Z$2,{$A$2;$A23}))</f>
        <v/>
      </c>
      <c r="AA23" s="290" t="str">
        <f t="array" ref="AA23">IF(DSUM(TERCEIROS!$B$11:$AW$207,AA$2,{$A$2;$A23})=0,,DSUM(TERCEIROS!$B$11:$AW$207,AA$2,{$A$2;$A23}))</f>
        <v/>
      </c>
      <c r="AB23" s="290" t="str">
        <f t="array" ref="AB23">IF(DSUM(TERCEIROS!$B$11:$AW$207,AB$2,{$A$2;$A23})=0,,DSUM(TERCEIROS!$B$11:$AW$207,AB$2,{$A$2;$A23}))</f>
        <v/>
      </c>
      <c r="AC23" s="290" t="str">
        <f t="array" ref="AC23">IF(DSUM(TERCEIROS!$B$11:$AW$207,AC$2,{$A$2;$A23})=0,,DSUM(TERCEIROS!$B$11:$AW$207,AC$2,{$A$2;$A23}))</f>
        <v/>
      </c>
      <c r="AD23" s="290" t="str">
        <f t="array" ref="AD23">IF(DSUM(TERCEIROS!$B$11:$AW$207,AD$2,{$A$2;$A23})=0,,DSUM(TERCEIROS!$B$11:$AW$207,AD$2,{$A$2;$A23}))</f>
        <v/>
      </c>
      <c r="AE23" s="290" t="str">
        <f t="array" ref="AE23">IF(DSUM(TERCEIROS!$B$11:$AW$207,AE$2,{$A$2;$A23})=0,,DSUM(TERCEIROS!$B$11:$AW$207,AE$2,{$A$2;$A23}))</f>
        <v/>
      </c>
      <c r="AF23" s="290" t="str">
        <f t="array" ref="AF23">IF(DSUM(TERCEIROS!$B$11:$AW$207,AF$2,{$A$2;$A23})=0,,DSUM(TERCEIROS!$B$11:$AW$207,AF$2,{$A$2;$A23}))</f>
        <v/>
      </c>
      <c r="AG23" s="290" t="str">
        <f t="array" ref="AG23">IF(DSUM(TERCEIROS!$B$11:$AW$207,AG$2,{$A$2;$A23})=0,,DSUM(TERCEIROS!$B$11:$AW$207,AG$2,{$A$2;$A23}))</f>
        <v/>
      </c>
      <c r="AH23" s="290" t="str">
        <f t="array" ref="AH23">IF(DSUM(TERCEIROS!$B$11:$AW$207,AH$2,{$A$2;$A23})=0,,DSUM(TERCEIROS!$B$11:$AW$207,AH$2,{$A$2;$A23}))</f>
        <v/>
      </c>
      <c r="AI23" s="290" t="str">
        <f t="array" ref="AI23">IF(DSUM(TERCEIROS!$B$11:$AW$207,AI$2,{$A$2;$A23})=0,,DSUM(TERCEIROS!$B$11:$AW$207,AI$2,{$A$2;$A23}))</f>
        <v/>
      </c>
      <c r="AJ23" s="290">
        <f t="array" ref="AJ23">IF(DSUM(TERCEIROS!$B$11:$AW$207,AJ$2,{$A$2;$A23})=0,,DSUM(TERCEIROS!$B$11:$AW$207,AJ$2,{$A$2;$A23}))</f>
        <v>18</v>
      </c>
      <c r="AK23" s="290" t="str">
        <f t="array" ref="AK23">IF(DSUM(TERCEIROS!$B$11:$AW$207,AK$2,{$A$2;$A23})=0,,DSUM(TERCEIROS!$B$11:$AW$207,AK$2,{$A$2;$A23}))</f>
        <v/>
      </c>
      <c r="AL23" s="290" t="str">
        <f t="array" ref="AL23">IF(DSUM(TERCEIROS!$B$11:$AW$207,AL$2,{$A$2;$A23})=0,,DSUM(TERCEIROS!$B$11:$AW$207,AL$2,{$A$2;$A23}))</f>
        <v/>
      </c>
    </row>
    <row r="24">
      <c r="A24" s="291" t="s">
        <v>1765</v>
      </c>
      <c r="B24" s="292"/>
      <c r="C24" s="291" t="str">
        <f>VLOOKUP(A24,TERCEIROS!$D$12:$E$135,2,false)</f>
        <v>16.670.085/0166-63</v>
      </c>
      <c r="D24" s="293" t="str">
        <f>VLOOKUP(A24,TERCEIROS!$D$12:$I$135,6,false)</f>
        <v>Aluguel de carro para o teste piloto na EMBRAPA/RJ</v>
      </c>
      <c r="E24" s="294">
        <f t="array" ref="E24">IF(DSUM(TERCEIROS!$B$11:$AW$207,E$2,{$A$2;$A24})=0,,DSUM(TERCEIROS!$B$11:$AW$207,E$2,{$A$2;$A24}))</f>
        <v>255.63</v>
      </c>
      <c r="F24" s="294" t="str">
        <f t="array" ref="F24">IF(DSUM(TERCEIROS!$B$11:$AW$207,F$2,{$A$2;$A24})=0,,DSUM(TERCEIROS!$B$11:$AW$207,F$2,{$A$2;$A24}))</f>
        <v/>
      </c>
      <c r="G24" s="294" t="str">
        <f t="array" ref="G24">IF(DSUM(TERCEIROS!$B$11:$AW$207,G$2,{$A$2;$A24})=0,,DSUM(TERCEIROS!$B$11:$AW$207,G$2,{$A$2;$A24}))</f>
        <v/>
      </c>
      <c r="H24" s="294" t="str">
        <f t="array" ref="H24">IF(DSUM(TERCEIROS!$B$11:$AW$207,H$2,{$A$2;$A24})=0,,DSUM(TERCEIROS!$B$11:$AW$207,H$2,{$A$2;$A24}))</f>
        <v/>
      </c>
      <c r="I24" s="294" t="str">
        <f t="array" ref="I24">IF(DSUM(TERCEIROS!$B$11:$AW$207,I$2,{$A$2;$A24})=0,,DSUM(TERCEIROS!$B$11:$AW$207,I$2,{$A$2;$A24}))</f>
        <v/>
      </c>
      <c r="J24" s="294" t="str">
        <f t="array" ref="J24">IF(DSUM(TERCEIROS!$B$11:$AW$207,J$2,{$A$2;$A24})=0,,DSUM(TERCEIROS!$B$11:$AW$207,J$2,{$A$2;$A24}))</f>
        <v/>
      </c>
      <c r="K24" s="294" t="str">
        <f t="array" ref="K24">IF(DSUM(TERCEIROS!$B$11:$AW$207,K$2,{$A$2;$A24})=0,,DSUM(TERCEIROS!$B$11:$AW$207,K$2,{$A$2;$A24}))</f>
        <v/>
      </c>
      <c r="L24" s="294" t="str">
        <f t="array" ref="L24">IF(DSUM(TERCEIROS!$B$11:$AW$207,L$2,{$A$2;$A24})=0,,DSUM(TERCEIROS!$B$11:$AW$207,L$2,{$A$2;$A24}))</f>
        <v/>
      </c>
      <c r="M24" s="294" t="str">
        <f t="array" ref="M24">IF(DSUM(TERCEIROS!$B$11:$AW$207,M$2,{$A$2;$A24})=0,,DSUM(TERCEIROS!$B$11:$AW$207,M$2,{$A$2;$A24}))</f>
        <v/>
      </c>
      <c r="N24" s="294" t="str">
        <f t="array" ref="N24">IF(DSUM(TERCEIROS!$B$11:$AW$207,N$2,{$A$2;$A24})=0,,DSUM(TERCEIROS!$B$11:$AW$207,N$2,{$A$2;$A24}))</f>
        <v/>
      </c>
      <c r="O24" s="294" t="str">
        <f t="array" ref="O24">IF(DSUM(TERCEIROS!$B$11:$AW$207,O$2,{$A$2;$A24})=0,,DSUM(TERCEIROS!$B$11:$AW$207,O$2,{$A$2;$A24}))</f>
        <v/>
      </c>
      <c r="P24" s="294" t="str">
        <f t="array" ref="P24">IF(DSUM(TERCEIROS!$B$11:$AW$207,P$2,{$A$2;$A24})=0,,DSUM(TERCEIROS!$B$11:$AW$207,P$2,{$A$2;$A24}))</f>
        <v/>
      </c>
      <c r="Q24" s="294" t="str">
        <f t="array" ref="Q24">IF(DSUM(TERCEIROS!$B$11:$AW$207,Q$2,{$A$2;$A24})=0,,DSUM(TERCEIROS!$B$11:$AW$207,Q$2,{$A$2;$A24}))</f>
        <v/>
      </c>
      <c r="R24" s="294" t="str">
        <f t="array" ref="R24">IF(DSUM(TERCEIROS!$B$11:$AW$207,R$2,{$A$2;$A24})=0,,DSUM(TERCEIROS!$B$11:$AW$207,R$2,{$A$2;$A24}))</f>
        <v/>
      </c>
      <c r="S24" s="294" t="str">
        <f t="array" ref="S24">IF(DSUM(TERCEIROS!$B$11:$AW$207,S$2,{$A$2;$A24})=0,,DSUM(TERCEIROS!$B$11:$AW$207,S$2,{$A$2;$A24}))</f>
        <v/>
      </c>
      <c r="T24" s="294" t="str">
        <f t="array" ref="T24">IF(DSUM(TERCEIROS!$B$11:$AW$207,T$2,{$A$2;$A24})=0,,DSUM(TERCEIROS!$B$11:$AW$207,T$2,{$A$2;$A24}))</f>
        <v/>
      </c>
      <c r="U24" s="294" t="str">
        <f t="array" ref="U24">IF(DSUM(TERCEIROS!$B$11:$AW$207,U$2,{$A$2;$A24})=0,,DSUM(TERCEIROS!$B$11:$AW$207,U$2,{$A$2;$A24}))</f>
        <v/>
      </c>
      <c r="V24" s="294" t="str">
        <f t="array" ref="V24">IF(DSUM(TERCEIROS!$B$11:$AW$207,V$2,{$A$2;$A24})=0,,DSUM(TERCEIROS!$B$11:$AW$207,V$2,{$A$2;$A24}))</f>
        <v/>
      </c>
      <c r="W24" s="294" t="str">
        <f t="array" ref="W24">IF(DSUM(TERCEIROS!$B$11:$AW$207,W$2,{$A$2;$A24})=0,,DSUM(TERCEIROS!$B$11:$AW$207,W$2,{$A$2;$A24}))</f>
        <v/>
      </c>
      <c r="X24" s="294" t="str">
        <f t="array" ref="X24">IF(DSUM(TERCEIROS!$B$11:$AW$207,X$2,{$A$2;$A24})=0,,DSUM(TERCEIROS!$B$11:$AW$207,X$2,{$A$2;$A24}))</f>
        <v/>
      </c>
      <c r="Y24" s="294" t="str">
        <f t="array" ref="Y24">IF(DSUM(TERCEIROS!$B$11:$AW$207,Y$2,{$A$2;$A24})=0,,DSUM(TERCEIROS!$B$11:$AW$207,Y$2,{$A$2;$A24}))</f>
        <v/>
      </c>
      <c r="Z24" s="294" t="str">
        <f t="array" ref="Z24">IF(DSUM(TERCEIROS!$B$11:$AW$207,Z$2,{$A$2;$A24})=0,,DSUM(TERCEIROS!$B$11:$AW$207,Z$2,{$A$2;$A24}))</f>
        <v/>
      </c>
      <c r="AA24" s="294" t="str">
        <f t="array" ref="AA24">IF(DSUM(TERCEIROS!$B$11:$AW$207,AA$2,{$A$2;$A24})=0,,DSUM(TERCEIROS!$B$11:$AW$207,AA$2,{$A$2;$A24}))</f>
        <v/>
      </c>
      <c r="AB24" s="294" t="str">
        <f t="array" ref="AB24">IF(DSUM(TERCEIROS!$B$11:$AW$207,AB$2,{$A$2;$A24})=0,,DSUM(TERCEIROS!$B$11:$AW$207,AB$2,{$A$2;$A24}))</f>
        <v/>
      </c>
      <c r="AC24" s="294" t="str">
        <f t="array" ref="AC24">IF(DSUM(TERCEIROS!$B$11:$AW$207,AC$2,{$A$2;$A24})=0,,DSUM(TERCEIROS!$B$11:$AW$207,AC$2,{$A$2;$A24}))</f>
        <v/>
      </c>
      <c r="AD24" s="294" t="str">
        <f t="array" ref="AD24">IF(DSUM(TERCEIROS!$B$11:$AW$207,AD$2,{$A$2;$A24})=0,,DSUM(TERCEIROS!$B$11:$AW$207,AD$2,{$A$2;$A24}))</f>
        <v/>
      </c>
      <c r="AE24" s="294" t="str">
        <f t="array" ref="AE24">IF(DSUM(TERCEIROS!$B$11:$AW$207,AE$2,{$A$2;$A24})=0,,DSUM(TERCEIROS!$B$11:$AW$207,AE$2,{$A$2;$A24}))</f>
        <v/>
      </c>
      <c r="AF24" s="294" t="str">
        <f t="array" ref="AF24">IF(DSUM(TERCEIROS!$B$11:$AW$207,AF$2,{$A$2;$A24})=0,,DSUM(TERCEIROS!$B$11:$AW$207,AF$2,{$A$2;$A24}))</f>
        <v/>
      </c>
      <c r="AG24" s="294" t="str">
        <f t="array" ref="AG24">IF(DSUM(TERCEIROS!$B$11:$AW$207,AG$2,{$A$2;$A24})=0,,DSUM(TERCEIROS!$B$11:$AW$207,AG$2,{$A$2;$A24}))</f>
        <v/>
      </c>
      <c r="AH24" s="294" t="str">
        <f t="array" ref="AH24">IF(DSUM(TERCEIROS!$B$11:$AW$207,AH$2,{$A$2;$A24})=0,,DSUM(TERCEIROS!$B$11:$AW$207,AH$2,{$A$2;$A24}))</f>
        <v/>
      </c>
      <c r="AI24" s="294" t="str">
        <f t="array" ref="AI24">IF(DSUM(TERCEIROS!$B$11:$AW$207,AI$2,{$A$2;$A24})=0,,DSUM(TERCEIROS!$B$11:$AW$207,AI$2,{$A$2;$A24}))</f>
        <v/>
      </c>
      <c r="AJ24" s="294" t="str">
        <f t="array" ref="AJ24">IF(DSUM(TERCEIROS!$B$11:$AW$207,AJ$2,{$A$2;$A24})=0,,DSUM(TERCEIROS!$B$11:$AW$207,AJ$2,{$A$2;$A24}))</f>
        <v/>
      </c>
      <c r="AK24" s="294" t="str">
        <f t="array" ref="AK24">IF(DSUM(TERCEIROS!$B$11:$AW$207,AK$2,{$A$2;$A24})=0,,DSUM(TERCEIROS!$B$11:$AW$207,AK$2,{$A$2;$A24}))</f>
        <v/>
      </c>
      <c r="AL24" s="294">
        <f t="array" ref="AL24">IF(DSUM(TERCEIROS!$B$11:$AW$207,AL$2,{$A$2;$A24})=0,,DSUM(TERCEIROS!$B$11:$AW$207,AL$2,{$A$2;$A24}))</f>
        <v>255.63</v>
      </c>
    </row>
    <row r="25">
      <c r="A25" s="287" t="s">
        <v>1711</v>
      </c>
      <c r="B25" s="288"/>
      <c r="C25" s="287" t="str">
        <f>VLOOKUP(A25,TERCEIROS!$D$12:$E$135,2,false)</f>
        <v>43.503.492/0001-40</v>
      </c>
      <c r="D25" s="289" t="str">
        <f>VLOOKUP(A25,TERCEIROS!$D$12:$I$135,6,false)</f>
        <v>Tradução de resumo para congresso</v>
      </c>
      <c r="E25" s="290" t="str">
        <f t="array" ref="E25">IF(DSUM(TERCEIROS!$B$11:$AW$207,E$2,{$A$2;$A25})=0,,DSUM(TERCEIROS!$B$11:$AW$207,E$2,{$A$2;$A25}))</f>
        <v/>
      </c>
      <c r="F25" s="290" t="str">
        <f t="array" ref="F25">IF(DSUM(TERCEIROS!$B$11:$AW$207,F$2,{$A$2;$A25})=0,,DSUM(TERCEIROS!$B$11:$AW$207,F$2,{$A$2;$A25}))</f>
        <v/>
      </c>
      <c r="G25" s="290" t="str">
        <f t="array" ref="G25">IF(DSUM(TERCEIROS!$B$11:$AW$207,G$2,{$A$2;$A25})=0,,DSUM(TERCEIROS!$B$11:$AW$207,G$2,{$A$2;$A25}))</f>
        <v/>
      </c>
      <c r="H25" s="290" t="str">
        <f t="array" ref="H25">IF(DSUM(TERCEIROS!$B$11:$AW$207,H$2,{$A$2;$A25})=0,,DSUM(TERCEIROS!$B$11:$AW$207,H$2,{$A$2;$A25}))</f>
        <v/>
      </c>
      <c r="I25" s="290" t="str">
        <f t="array" ref="I25">IF(DSUM(TERCEIROS!$B$11:$AW$207,I$2,{$A$2;$A25})=0,,DSUM(TERCEIROS!$B$11:$AW$207,I$2,{$A$2;$A25}))</f>
        <v/>
      </c>
      <c r="J25" s="290" t="str">
        <f t="array" ref="J25">IF(DSUM(TERCEIROS!$B$11:$AW$207,J$2,{$A$2;$A25})=0,,DSUM(TERCEIROS!$B$11:$AW$207,J$2,{$A$2;$A25}))</f>
        <v/>
      </c>
      <c r="K25" s="290" t="str">
        <f t="array" ref="K25">IF(DSUM(TERCEIROS!$B$11:$AW$207,K$2,{$A$2;$A25})=0,,DSUM(TERCEIROS!$B$11:$AW$207,K$2,{$A$2;$A25}))</f>
        <v/>
      </c>
      <c r="L25" s="290" t="str">
        <f t="array" ref="L25">IF(DSUM(TERCEIROS!$B$11:$AW$207,L$2,{$A$2;$A25})=0,,DSUM(TERCEIROS!$B$11:$AW$207,L$2,{$A$2;$A25}))</f>
        <v/>
      </c>
      <c r="M25" s="290" t="str">
        <f t="array" ref="M25">IF(DSUM(TERCEIROS!$B$11:$AW$207,M$2,{$A$2;$A25})=0,,DSUM(TERCEIROS!$B$11:$AW$207,M$2,{$A$2;$A25}))</f>
        <v/>
      </c>
      <c r="N25" s="290" t="str">
        <f t="array" ref="N25">IF(DSUM(TERCEIROS!$B$11:$AW$207,N$2,{$A$2;$A25})=0,,DSUM(TERCEIROS!$B$11:$AW$207,N$2,{$A$2;$A25}))</f>
        <v/>
      </c>
      <c r="O25" s="290" t="str">
        <f t="array" ref="O25">IF(DSUM(TERCEIROS!$B$11:$AW$207,O$2,{$A$2;$A25})=0,,DSUM(TERCEIROS!$B$11:$AW$207,O$2,{$A$2;$A25}))</f>
        <v/>
      </c>
      <c r="P25" s="290" t="str">
        <f t="array" ref="P25">IF(DSUM(TERCEIROS!$B$11:$AW$207,P$2,{$A$2;$A25})=0,,DSUM(TERCEIROS!$B$11:$AW$207,P$2,{$A$2;$A25}))</f>
        <v/>
      </c>
      <c r="Q25" s="290" t="str">
        <f t="array" ref="Q25">IF(DSUM(TERCEIROS!$B$11:$AW$207,Q$2,{$A$2;$A25})=0,,DSUM(TERCEIROS!$B$11:$AW$207,Q$2,{$A$2;$A25}))</f>
        <v/>
      </c>
      <c r="R25" s="290" t="str">
        <f t="array" ref="R25">IF(DSUM(TERCEIROS!$B$11:$AW$207,R$2,{$A$2;$A25})=0,,DSUM(TERCEIROS!$B$11:$AW$207,R$2,{$A$2;$A25}))</f>
        <v/>
      </c>
      <c r="S25" s="290" t="str">
        <f t="array" ref="S25">IF(DSUM(TERCEIROS!$B$11:$AW$207,S$2,{$A$2;$A25})=0,,DSUM(TERCEIROS!$B$11:$AW$207,S$2,{$A$2;$A25}))</f>
        <v/>
      </c>
      <c r="T25" s="290" t="str">
        <f t="array" ref="T25">IF(DSUM(TERCEIROS!$B$11:$AW$207,T$2,{$A$2;$A25})=0,,DSUM(TERCEIROS!$B$11:$AW$207,T$2,{$A$2;$A25}))</f>
        <v/>
      </c>
      <c r="U25" s="290" t="str">
        <f t="array" ref="U25">IF(DSUM(TERCEIROS!$B$11:$AW$207,U$2,{$A$2;$A25})=0,,DSUM(TERCEIROS!$B$11:$AW$207,U$2,{$A$2;$A25}))</f>
        <v/>
      </c>
      <c r="V25" s="290" t="str">
        <f t="array" ref="V25">IF(DSUM(TERCEIROS!$B$11:$AW$207,V$2,{$A$2;$A25})=0,,DSUM(TERCEIROS!$B$11:$AW$207,V$2,{$A$2;$A25}))</f>
        <v/>
      </c>
      <c r="W25" s="290" t="str">
        <f t="array" ref="W25">IF(DSUM(TERCEIROS!$B$11:$AW$207,W$2,{$A$2;$A25})=0,,DSUM(TERCEIROS!$B$11:$AW$207,W$2,{$A$2;$A25}))</f>
        <v/>
      </c>
      <c r="X25" s="290" t="str">
        <f t="array" ref="X25">IF(DSUM(TERCEIROS!$B$11:$AW$207,X$2,{$A$2;$A25})=0,,DSUM(TERCEIROS!$B$11:$AW$207,X$2,{$A$2;$A25}))</f>
        <v/>
      </c>
      <c r="Y25" s="290" t="str">
        <f t="array" ref="Y25">IF(DSUM(TERCEIROS!$B$11:$AW$207,Y$2,{$A$2;$A25})=0,,DSUM(TERCEIROS!$B$11:$AW$207,Y$2,{$A$2;$A25}))</f>
        <v/>
      </c>
      <c r="Z25" s="290" t="str">
        <f t="array" ref="Z25">IF(DSUM(TERCEIROS!$B$11:$AW$207,Z$2,{$A$2;$A25})=0,,DSUM(TERCEIROS!$B$11:$AW$207,Z$2,{$A$2;$A25}))</f>
        <v/>
      </c>
      <c r="AA25" s="290" t="str">
        <f t="array" ref="AA25">IF(DSUM(TERCEIROS!$B$11:$AW$207,AA$2,{$A$2;$A25})=0,,DSUM(TERCEIROS!$B$11:$AW$207,AA$2,{$A$2;$A25}))</f>
        <v/>
      </c>
      <c r="AB25" s="290" t="str">
        <f t="array" ref="AB25">IF(DSUM(TERCEIROS!$B$11:$AW$207,AB$2,{$A$2;$A25})=0,,DSUM(TERCEIROS!$B$11:$AW$207,AB$2,{$A$2;$A25}))</f>
        <v/>
      </c>
      <c r="AC25" s="290" t="str">
        <f t="array" ref="AC25">IF(DSUM(TERCEIROS!$B$11:$AW$207,AC$2,{$A$2;$A25})=0,,DSUM(TERCEIROS!$B$11:$AW$207,AC$2,{$A$2;$A25}))</f>
        <v/>
      </c>
      <c r="AD25" s="290" t="str">
        <f t="array" ref="AD25">IF(DSUM(TERCEIROS!$B$11:$AW$207,AD$2,{$A$2;$A25})=0,,DSUM(TERCEIROS!$B$11:$AW$207,AD$2,{$A$2;$A25}))</f>
        <v/>
      </c>
      <c r="AE25" s="290" t="str">
        <f t="array" ref="AE25">IF(DSUM(TERCEIROS!$B$11:$AW$207,AE$2,{$A$2;$A25})=0,,DSUM(TERCEIROS!$B$11:$AW$207,AE$2,{$A$2;$A25}))</f>
        <v/>
      </c>
      <c r="AF25" s="290" t="str">
        <f t="array" ref="AF25">IF(DSUM(TERCEIROS!$B$11:$AW$207,AF$2,{$A$2;$A25})=0,,DSUM(TERCEIROS!$B$11:$AW$207,AF$2,{$A$2;$A25}))</f>
        <v/>
      </c>
      <c r="AG25" s="290" t="str">
        <f t="array" ref="AG25">IF(DSUM(TERCEIROS!$B$11:$AW$207,AG$2,{$A$2;$A25})=0,,DSUM(TERCEIROS!$B$11:$AW$207,AG$2,{$A$2;$A25}))</f>
        <v/>
      </c>
      <c r="AH25" s="290" t="str">
        <f t="array" ref="AH25">IF(DSUM(TERCEIROS!$B$11:$AW$207,AH$2,{$A$2;$A25})=0,,DSUM(TERCEIROS!$B$11:$AW$207,AH$2,{$A$2;$A25}))</f>
        <v/>
      </c>
      <c r="AI25" s="290" t="str">
        <f t="array" ref="AI25">IF(DSUM(TERCEIROS!$B$11:$AW$207,AI$2,{$A$2;$A25})=0,,DSUM(TERCEIROS!$B$11:$AW$207,AI$2,{$A$2;$A25}))</f>
        <v/>
      </c>
      <c r="AJ25" s="290" t="str">
        <f t="array" ref="AJ25">IF(DSUM(TERCEIROS!$B$11:$AW$207,AJ$2,{$A$2;$A25})=0,,DSUM(TERCEIROS!$B$11:$AW$207,AJ$2,{$A$2;$A25}))</f>
        <v/>
      </c>
      <c r="AK25" s="290" t="str">
        <f t="array" ref="AK25">IF(DSUM(TERCEIROS!$B$11:$AW$207,AK$2,{$A$2;$A25})=0,,DSUM(TERCEIROS!$B$11:$AW$207,AK$2,{$A$2;$A25}))</f>
        <v/>
      </c>
      <c r="AL25" s="290" t="str">
        <f t="array" ref="AL25">IF(DSUM(TERCEIROS!$B$11:$AW$207,AL$2,{$A$2;$A25})=0,,DSUM(TERCEIROS!$B$11:$AW$207,AL$2,{$A$2;$A25}))</f>
        <v/>
      </c>
    </row>
    <row r="26">
      <c r="A26" s="291" t="s">
        <v>1731</v>
      </c>
      <c r="B26" s="292"/>
      <c r="C26" s="291" t="str">
        <f>VLOOKUP(A26,TERCEIROS!$D$12:$E$135,2,false)</f>
        <v>#N/A</v>
      </c>
      <c r="D26" s="293" t="str">
        <f>VLOOKUP(A26,TERCEIROS!$D$12:$I$135,6,false)</f>
        <v>Inscrição em congresso ESPEN</v>
      </c>
      <c r="E26" s="294" t="str">
        <f t="array" ref="E26">IF(DSUM(TERCEIROS!$B$11:$AW$207,E$2,{$A$2;$A26})=0,,DSUM(TERCEIROS!$B$11:$AW$207,E$2,{$A$2;$A26}))</f>
        <v/>
      </c>
      <c r="F26" s="294" t="str">
        <f t="array" ref="F26">IF(DSUM(TERCEIROS!$B$11:$AW$207,F$2,{$A$2;$A26})=0,,DSUM(TERCEIROS!$B$11:$AW$207,F$2,{$A$2;$A26}))</f>
        <v/>
      </c>
      <c r="G26" s="294" t="str">
        <f t="array" ref="G26">IF(DSUM(TERCEIROS!$B$11:$AW$207,G$2,{$A$2;$A26})=0,,DSUM(TERCEIROS!$B$11:$AW$207,G$2,{$A$2;$A26}))</f>
        <v/>
      </c>
      <c r="H26" s="294" t="str">
        <f t="array" ref="H26">IF(DSUM(TERCEIROS!$B$11:$AW$207,H$2,{$A$2;$A26})=0,,DSUM(TERCEIROS!$B$11:$AW$207,H$2,{$A$2;$A26}))</f>
        <v/>
      </c>
      <c r="I26" s="294" t="str">
        <f t="array" ref="I26">IF(DSUM(TERCEIROS!$B$11:$AW$207,I$2,{$A$2;$A26})=0,,DSUM(TERCEIROS!$B$11:$AW$207,I$2,{$A$2;$A26}))</f>
        <v/>
      </c>
      <c r="J26" s="294" t="str">
        <f t="array" ref="J26">IF(DSUM(TERCEIROS!$B$11:$AW$207,J$2,{$A$2;$A26})=0,,DSUM(TERCEIROS!$B$11:$AW$207,J$2,{$A$2;$A26}))</f>
        <v/>
      </c>
      <c r="K26" s="294" t="str">
        <f t="array" ref="K26">IF(DSUM(TERCEIROS!$B$11:$AW$207,K$2,{$A$2;$A26})=0,,DSUM(TERCEIROS!$B$11:$AW$207,K$2,{$A$2;$A26}))</f>
        <v/>
      </c>
      <c r="L26" s="294" t="str">
        <f t="array" ref="L26">IF(DSUM(TERCEIROS!$B$11:$AW$207,L$2,{$A$2;$A26})=0,,DSUM(TERCEIROS!$B$11:$AW$207,L$2,{$A$2;$A26}))</f>
        <v/>
      </c>
      <c r="M26" s="294" t="str">
        <f t="array" ref="M26">IF(DSUM(TERCEIROS!$B$11:$AW$207,M$2,{$A$2;$A26})=0,,DSUM(TERCEIROS!$B$11:$AW$207,M$2,{$A$2;$A26}))</f>
        <v/>
      </c>
      <c r="N26" s="294" t="str">
        <f t="array" ref="N26">IF(DSUM(TERCEIROS!$B$11:$AW$207,N$2,{$A$2;$A26})=0,,DSUM(TERCEIROS!$B$11:$AW$207,N$2,{$A$2;$A26}))</f>
        <v/>
      </c>
      <c r="O26" s="294" t="str">
        <f t="array" ref="O26">IF(DSUM(TERCEIROS!$B$11:$AW$207,O$2,{$A$2;$A26})=0,,DSUM(TERCEIROS!$B$11:$AW$207,O$2,{$A$2;$A26}))</f>
        <v/>
      </c>
      <c r="P26" s="294" t="str">
        <f t="array" ref="P26">IF(DSUM(TERCEIROS!$B$11:$AW$207,P$2,{$A$2;$A26})=0,,DSUM(TERCEIROS!$B$11:$AW$207,P$2,{$A$2;$A26}))</f>
        <v/>
      </c>
      <c r="Q26" s="294" t="str">
        <f t="array" ref="Q26">IF(DSUM(TERCEIROS!$B$11:$AW$207,Q$2,{$A$2;$A26})=0,,DSUM(TERCEIROS!$B$11:$AW$207,Q$2,{$A$2;$A26}))</f>
        <v/>
      </c>
      <c r="R26" s="294" t="str">
        <f t="array" ref="R26">IF(DSUM(TERCEIROS!$B$11:$AW$207,R$2,{$A$2;$A26})=0,,DSUM(TERCEIROS!$B$11:$AW$207,R$2,{$A$2;$A26}))</f>
        <v/>
      </c>
      <c r="S26" s="294" t="str">
        <f t="array" ref="S26">IF(DSUM(TERCEIROS!$B$11:$AW$207,S$2,{$A$2;$A26})=0,,DSUM(TERCEIROS!$B$11:$AW$207,S$2,{$A$2;$A26}))</f>
        <v/>
      </c>
      <c r="T26" s="294" t="str">
        <f t="array" ref="T26">IF(DSUM(TERCEIROS!$B$11:$AW$207,T$2,{$A$2;$A26})=0,,DSUM(TERCEIROS!$B$11:$AW$207,T$2,{$A$2;$A26}))</f>
        <v/>
      </c>
      <c r="U26" s="294" t="str">
        <f t="array" ref="U26">IF(DSUM(TERCEIROS!$B$11:$AW$207,U$2,{$A$2;$A26})=0,,DSUM(TERCEIROS!$B$11:$AW$207,U$2,{$A$2;$A26}))</f>
        <v/>
      </c>
      <c r="V26" s="294" t="str">
        <f t="array" ref="V26">IF(DSUM(TERCEIROS!$B$11:$AW$207,V$2,{$A$2;$A26})=0,,DSUM(TERCEIROS!$B$11:$AW$207,V$2,{$A$2;$A26}))</f>
        <v/>
      </c>
      <c r="W26" s="294" t="str">
        <f t="array" ref="W26">IF(DSUM(TERCEIROS!$B$11:$AW$207,W$2,{$A$2;$A26})=0,,DSUM(TERCEIROS!$B$11:$AW$207,W$2,{$A$2;$A26}))</f>
        <v/>
      </c>
      <c r="X26" s="294" t="str">
        <f t="array" ref="X26">IF(DSUM(TERCEIROS!$B$11:$AW$207,X$2,{$A$2;$A26})=0,,DSUM(TERCEIROS!$B$11:$AW$207,X$2,{$A$2;$A26}))</f>
        <v/>
      </c>
      <c r="Y26" s="294" t="str">
        <f t="array" ref="Y26">IF(DSUM(TERCEIROS!$B$11:$AW$207,Y$2,{$A$2;$A26})=0,,DSUM(TERCEIROS!$B$11:$AW$207,Y$2,{$A$2;$A26}))</f>
        <v/>
      </c>
      <c r="Z26" s="294" t="str">
        <f t="array" ref="Z26">IF(DSUM(TERCEIROS!$B$11:$AW$207,Z$2,{$A$2;$A26})=0,,DSUM(TERCEIROS!$B$11:$AW$207,Z$2,{$A$2;$A26}))</f>
        <v/>
      </c>
      <c r="AA26" s="294" t="str">
        <f t="array" ref="AA26">IF(DSUM(TERCEIROS!$B$11:$AW$207,AA$2,{$A$2;$A26})=0,,DSUM(TERCEIROS!$B$11:$AW$207,AA$2,{$A$2;$A26}))</f>
        <v/>
      </c>
      <c r="AB26" s="294" t="str">
        <f t="array" ref="AB26">IF(DSUM(TERCEIROS!$B$11:$AW$207,AB$2,{$A$2;$A26})=0,,DSUM(TERCEIROS!$B$11:$AW$207,AB$2,{$A$2;$A26}))</f>
        <v/>
      </c>
      <c r="AC26" s="294" t="str">
        <f t="array" ref="AC26">IF(DSUM(TERCEIROS!$B$11:$AW$207,AC$2,{$A$2;$A26})=0,,DSUM(TERCEIROS!$B$11:$AW$207,AC$2,{$A$2;$A26}))</f>
        <v/>
      </c>
      <c r="AD26" s="294" t="str">
        <f t="array" ref="AD26">IF(DSUM(TERCEIROS!$B$11:$AW$207,AD$2,{$A$2;$A26})=0,,DSUM(TERCEIROS!$B$11:$AW$207,AD$2,{$A$2;$A26}))</f>
        <v/>
      </c>
      <c r="AE26" s="294" t="str">
        <f t="array" ref="AE26">IF(DSUM(TERCEIROS!$B$11:$AW$207,AE$2,{$A$2;$A26})=0,,DSUM(TERCEIROS!$B$11:$AW$207,AE$2,{$A$2;$A26}))</f>
        <v/>
      </c>
      <c r="AF26" s="294" t="str">
        <f t="array" ref="AF26">IF(DSUM(TERCEIROS!$B$11:$AW$207,AF$2,{$A$2;$A26})=0,,DSUM(TERCEIROS!$B$11:$AW$207,AF$2,{$A$2;$A26}))</f>
        <v/>
      </c>
      <c r="AG26" s="294" t="str">
        <f t="array" ref="AG26">IF(DSUM(TERCEIROS!$B$11:$AW$207,AG$2,{$A$2;$A26})=0,,DSUM(TERCEIROS!$B$11:$AW$207,AG$2,{$A$2;$A26}))</f>
        <v/>
      </c>
      <c r="AH26" s="294" t="str">
        <f t="array" ref="AH26">IF(DSUM(TERCEIROS!$B$11:$AW$207,AH$2,{$A$2;$A26})=0,,DSUM(TERCEIROS!$B$11:$AW$207,AH$2,{$A$2;$A26}))</f>
        <v/>
      </c>
      <c r="AI26" s="294" t="str">
        <f t="array" ref="AI26">IF(DSUM(TERCEIROS!$B$11:$AW$207,AI$2,{$A$2;$A26})=0,,DSUM(TERCEIROS!$B$11:$AW$207,AI$2,{$A$2;$A26}))</f>
        <v/>
      </c>
      <c r="AJ26" s="294" t="str">
        <f t="array" ref="AJ26">IF(DSUM(TERCEIROS!$B$11:$AW$207,AJ$2,{$A$2;$A26})=0,,DSUM(TERCEIROS!$B$11:$AW$207,AJ$2,{$A$2;$A26}))</f>
        <v/>
      </c>
      <c r="AK26" s="294" t="str">
        <f t="array" ref="AK26">IF(DSUM(TERCEIROS!$B$11:$AW$207,AK$2,{$A$2;$A26})=0,,DSUM(TERCEIROS!$B$11:$AW$207,AK$2,{$A$2;$A26}))</f>
        <v/>
      </c>
      <c r="AL26" s="294" t="str">
        <f t="array" ref="AL26">IF(DSUM(TERCEIROS!$B$11:$AW$207,AL$2,{$A$2;$A26})=0,,DSUM(TERCEIROS!$B$11:$AW$207,AL$2,{$A$2;$A26}))</f>
        <v/>
      </c>
    </row>
    <row r="27">
      <c r="A27" s="287" t="s">
        <v>1667</v>
      </c>
      <c r="B27" s="288"/>
      <c r="C27" s="287" t="str">
        <f>VLOOKUP(A27,TERCEIROS!$D$12:$E$135,2,false)</f>
        <v>08.183.359/0003-15</v>
      </c>
      <c r="D27" s="289" t="str">
        <f>VLOOKUP(A27,TERCEIROS!$D$12:$I$135,6,false)</f>
        <v>Doação de Produtos para Estudo de Caso</v>
      </c>
      <c r="E27" s="290">
        <f t="array" ref="E27">IF(DSUM(TERCEIROS!$B$11:$AW$207,E$2,{$A$2;$A27})=0,,DSUM(TERCEIROS!$B$11:$AW$207,E$2,{$A$2;$A27}))</f>
        <v>4670.07</v>
      </c>
      <c r="F27" s="290" t="str">
        <f t="array" ref="F27">IF(DSUM(TERCEIROS!$B$11:$AW$207,F$2,{$A$2;$A27})=0,,DSUM(TERCEIROS!$B$11:$AW$207,F$2,{$A$2;$A27}))</f>
        <v/>
      </c>
      <c r="G27" s="290" t="str">
        <f t="array" ref="G27">IF(DSUM(TERCEIROS!$B$11:$AW$207,G$2,{$A$2;$A27})=0,,DSUM(TERCEIROS!$B$11:$AW$207,G$2,{$A$2;$A27}))</f>
        <v/>
      </c>
      <c r="H27" s="290" t="str">
        <f t="array" ref="H27">IF(DSUM(TERCEIROS!$B$11:$AW$207,H$2,{$A$2;$A27})=0,,DSUM(TERCEIROS!$B$11:$AW$207,H$2,{$A$2;$A27}))</f>
        <v/>
      </c>
      <c r="I27" s="290" t="str">
        <f t="array" ref="I27">IF(DSUM(TERCEIROS!$B$11:$AW$207,I$2,{$A$2;$A27})=0,,DSUM(TERCEIROS!$B$11:$AW$207,I$2,{$A$2;$A27}))</f>
        <v/>
      </c>
      <c r="J27" s="290" t="str">
        <f t="array" ref="J27">IF(DSUM(TERCEIROS!$B$11:$AW$207,J$2,{$A$2;$A27})=0,,DSUM(TERCEIROS!$B$11:$AW$207,J$2,{$A$2;$A27}))</f>
        <v/>
      </c>
      <c r="K27" s="290" t="str">
        <f t="array" ref="K27">IF(DSUM(TERCEIROS!$B$11:$AW$207,K$2,{$A$2;$A27})=0,,DSUM(TERCEIROS!$B$11:$AW$207,K$2,{$A$2;$A27}))</f>
        <v/>
      </c>
      <c r="L27" s="290">
        <f t="array" ref="L27">IF(DSUM(TERCEIROS!$B$11:$AW$207,L$2,{$A$2;$A27})=0,,DSUM(TERCEIROS!$B$11:$AW$207,L$2,{$A$2;$A27}))</f>
        <v>314.64</v>
      </c>
      <c r="M27" s="290" t="str">
        <f t="array" ref="M27">IF(DSUM(TERCEIROS!$B$11:$AW$207,M$2,{$A$2;$A27})=0,,DSUM(TERCEIROS!$B$11:$AW$207,M$2,{$A$2;$A27}))</f>
        <v/>
      </c>
      <c r="N27" s="290" t="str">
        <f t="array" ref="N27">IF(DSUM(TERCEIROS!$B$11:$AW$207,N$2,{$A$2;$A27})=0,,DSUM(TERCEIROS!$B$11:$AW$207,N$2,{$A$2;$A27}))</f>
        <v/>
      </c>
      <c r="O27" s="290" t="str">
        <f t="array" ref="O27">IF(DSUM(TERCEIROS!$B$11:$AW$207,O$2,{$A$2;$A27})=0,,DSUM(TERCEIROS!$B$11:$AW$207,O$2,{$A$2;$A27}))</f>
        <v/>
      </c>
      <c r="P27" s="290" t="str">
        <f t="array" ref="P27">IF(DSUM(TERCEIROS!$B$11:$AW$207,P$2,{$A$2;$A27})=0,,DSUM(TERCEIROS!$B$11:$AW$207,P$2,{$A$2;$A27}))</f>
        <v/>
      </c>
      <c r="Q27" s="290" t="str">
        <f t="array" ref="Q27">IF(DSUM(TERCEIROS!$B$11:$AW$207,Q$2,{$A$2;$A27})=0,,DSUM(TERCEIROS!$B$11:$AW$207,Q$2,{$A$2;$A27}))</f>
        <v/>
      </c>
      <c r="R27" s="290" t="str">
        <f t="array" ref="R27">IF(DSUM(TERCEIROS!$B$11:$AW$207,R$2,{$A$2;$A27})=0,,DSUM(TERCEIROS!$B$11:$AW$207,R$2,{$A$2;$A27}))</f>
        <v/>
      </c>
      <c r="S27" s="290" t="str">
        <f t="array" ref="S27">IF(DSUM(TERCEIROS!$B$11:$AW$207,S$2,{$A$2;$A27})=0,,DSUM(TERCEIROS!$B$11:$AW$207,S$2,{$A$2;$A27}))</f>
        <v/>
      </c>
      <c r="T27" s="290" t="str">
        <f t="array" ref="T27">IF(DSUM(TERCEIROS!$B$11:$AW$207,T$2,{$A$2;$A27})=0,,DSUM(TERCEIROS!$B$11:$AW$207,T$2,{$A$2;$A27}))</f>
        <v/>
      </c>
      <c r="U27" s="290" t="str">
        <f t="array" ref="U27">IF(DSUM(TERCEIROS!$B$11:$AW$207,U$2,{$A$2;$A27})=0,,DSUM(TERCEIROS!$B$11:$AW$207,U$2,{$A$2;$A27}))</f>
        <v/>
      </c>
      <c r="V27" s="290" t="str">
        <f t="array" ref="V27">IF(DSUM(TERCEIROS!$B$11:$AW$207,V$2,{$A$2;$A27})=0,,DSUM(TERCEIROS!$B$11:$AW$207,V$2,{$A$2;$A27}))</f>
        <v/>
      </c>
      <c r="W27" s="290" t="str">
        <f t="array" ref="W27">IF(DSUM(TERCEIROS!$B$11:$AW$207,W$2,{$A$2;$A27})=0,,DSUM(TERCEIROS!$B$11:$AW$207,W$2,{$A$2;$A27}))</f>
        <v/>
      </c>
      <c r="X27" s="290" t="str">
        <f t="array" ref="X27">IF(DSUM(TERCEIROS!$B$11:$AW$207,X$2,{$A$2;$A27})=0,,DSUM(TERCEIROS!$B$11:$AW$207,X$2,{$A$2;$A27}))</f>
        <v/>
      </c>
      <c r="Y27" s="290" t="str">
        <f t="array" ref="Y27">IF(DSUM(TERCEIROS!$B$11:$AW$207,Y$2,{$A$2;$A27})=0,,DSUM(TERCEIROS!$B$11:$AW$207,Y$2,{$A$2;$A27}))</f>
        <v/>
      </c>
      <c r="Z27" s="290" t="str">
        <f t="array" ref="Z27">IF(DSUM(TERCEIROS!$B$11:$AW$207,Z$2,{$A$2;$A27})=0,,DSUM(TERCEIROS!$B$11:$AW$207,Z$2,{$A$2;$A27}))</f>
        <v/>
      </c>
      <c r="AA27" s="290" t="str">
        <f t="array" ref="AA27">IF(DSUM(TERCEIROS!$B$11:$AW$207,AA$2,{$A$2;$A27})=0,,DSUM(TERCEIROS!$B$11:$AW$207,AA$2,{$A$2;$A27}))</f>
        <v/>
      </c>
      <c r="AB27" s="290" t="str">
        <f t="array" ref="AB27">IF(DSUM(TERCEIROS!$B$11:$AW$207,AB$2,{$A$2;$A27})=0,,DSUM(TERCEIROS!$B$11:$AW$207,AB$2,{$A$2;$A27}))</f>
        <v/>
      </c>
      <c r="AC27" s="290" t="str">
        <f t="array" ref="AC27">IF(DSUM(TERCEIROS!$B$11:$AW$207,AC$2,{$A$2;$A27})=0,,DSUM(TERCEIROS!$B$11:$AW$207,AC$2,{$A$2;$A27}))</f>
        <v/>
      </c>
      <c r="AD27" s="290" t="str">
        <f t="array" ref="AD27">IF(DSUM(TERCEIROS!$B$11:$AW$207,AD$2,{$A$2;$A27})=0,,DSUM(TERCEIROS!$B$11:$AW$207,AD$2,{$A$2;$A27}))</f>
        <v/>
      </c>
      <c r="AE27" s="290" t="str">
        <f t="array" ref="AE27">IF(DSUM(TERCEIROS!$B$11:$AW$207,AE$2,{$A$2;$A27})=0,,DSUM(TERCEIROS!$B$11:$AW$207,AE$2,{$A$2;$A27}))</f>
        <v/>
      </c>
      <c r="AF27" s="290" t="str">
        <f t="array" ref="AF27">IF(DSUM(TERCEIROS!$B$11:$AW$207,AF$2,{$A$2;$A27})=0,,DSUM(TERCEIROS!$B$11:$AW$207,AF$2,{$A$2;$A27}))</f>
        <v/>
      </c>
      <c r="AG27" s="290" t="str">
        <f t="array" ref="AG27">IF(DSUM(TERCEIROS!$B$11:$AW$207,AG$2,{$A$2;$A27})=0,,DSUM(TERCEIROS!$B$11:$AW$207,AG$2,{$A$2;$A27}))</f>
        <v/>
      </c>
      <c r="AH27" s="290" t="str">
        <f t="array" ref="AH27">IF(DSUM(TERCEIROS!$B$11:$AW$207,AH$2,{$A$2;$A27})=0,,DSUM(TERCEIROS!$B$11:$AW$207,AH$2,{$A$2;$A27}))</f>
        <v/>
      </c>
      <c r="AI27" s="290" t="str">
        <f t="array" ref="AI27">IF(DSUM(TERCEIROS!$B$11:$AW$207,AI$2,{$A$2;$A27})=0,,DSUM(TERCEIROS!$B$11:$AW$207,AI$2,{$A$2;$A27}))</f>
        <v/>
      </c>
      <c r="AJ27" s="290" t="str">
        <f t="array" ref="AJ27">IF(DSUM(TERCEIROS!$B$11:$AW$207,AJ$2,{$A$2;$A27})=0,,DSUM(TERCEIROS!$B$11:$AW$207,AJ$2,{$A$2;$A27}))</f>
        <v/>
      </c>
      <c r="AK27" s="290" t="str">
        <f t="array" ref="AK27">IF(DSUM(TERCEIROS!$B$11:$AW$207,AK$2,{$A$2;$A27})=0,,DSUM(TERCEIROS!$B$11:$AW$207,AK$2,{$A$2;$A27}))</f>
        <v/>
      </c>
      <c r="AL27" s="290" t="str">
        <f t="array" ref="AL27">IF(DSUM(TERCEIROS!$B$11:$AW$207,AL$2,{$A$2;$A27})=0,,DSUM(TERCEIROS!$B$11:$AW$207,AL$2,{$A$2;$A27}))</f>
        <v/>
      </c>
    </row>
    <row r="28">
      <c r="A28" s="291" t="s">
        <v>1676</v>
      </c>
      <c r="B28" s="292"/>
      <c r="C28" s="291" t="str">
        <f>VLOOKUP(A28,TERCEIROS!$D$12:$E$135,2,false)</f>
        <v>11.115.312/0001-67</v>
      </c>
      <c r="D28" s="293" t="str">
        <f>VLOOKUP(A28,TERCEIROS!$D$12:$I$135,6,false)</f>
        <v>Serviços de marketing - Desenvolvimento de rotulagem, naming, estudos de concorrentes / Ajuste de rotulagem</v>
      </c>
      <c r="E28" s="294" t="str">
        <f t="array" ref="E28">IF(DSUM(TERCEIROS!$B$11:$AW$207,E$2,{$A$2;$A28})=0,,DSUM(TERCEIROS!$B$11:$AW$207,E$2,{$A$2;$A28}))</f>
        <v/>
      </c>
      <c r="F28" s="294" t="str">
        <f t="array" ref="F28">IF(DSUM(TERCEIROS!$B$11:$AW$207,F$2,{$A$2;$A28})=0,,DSUM(TERCEIROS!$B$11:$AW$207,F$2,{$A$2;$A28}))</f>
        <v/>
      </c>
      <c r="G28" s="294" t="str">
        <f t="array" ref="G28">IF(DSUM(TERCEIROS!$B$11:$AW$207,G$2,{$A$2;$A28})=0,,DSUM(TERCEIROS!$B$11:$AW$207,G$2,{$A$2;$A28}))</f>
        <v/>
      </c>
      <c r="H28" s="294" t="str">
        <f t="array" ref="H28">IF(DSUM(TERCEIROS!$B$11:$AW$207,H$2,{$A$2;$A28})=0,,DSUM(TERCEIROS!$B$11:$AW$207,H$2,{$A$2;$A28}))</f>
        <v/>
      </c>
      <c r="I28" s="294" t="str">
        <f t="array" ref="I28">IF(DSUM(TERCEIROS!$B$11:$AW$207,I$2,{$A$2;$A28})=0,,DSUM(TERCEIROS!$B$11:$AW$207,I$2,{$A$2;$A28}))</f>
        <v/>
      </c>
      <c r="J28" s="294" t="str">
        <f t="array" ref="J28">IF(DSUM(TERCEIROS!$B$11:$AW$207,J$2,{$A$2;$A28})=0,,DSUM(TERCEIROS!$B$11:$AW$207,J$2,{$A$2;$A28}))</f>
        <v/>
      </c>
      <c r="K28" s="294" t="str">
        <f t="array" ref="K28">IF(DSUM(TERCEIROS!$B$11:$AW$207,K$2,{$A$2;$A28})=0,,DSUM(TERCEIROS!$B$11:$AW$207,K$2,{$A$2;$A28}))</f>
        <v/>
      </c>
      <c r="L28" s="294" t="str">
        <f t="array" ref="L28">IF(DSUM(TERCEIROS!$B$11:$AW$207,L$2,{$A$2;$A28})=0,,DSUM(TERCEIROS!$B$11:$AW$207,L$2,{$A$2;$A28}))</f>
        <v/>
      </c>
      <c r="M28" s="294" t="str">
        <f t="array" ref="M28">IF(DSUM(TERCEIROS!$B$11:$AW$207,M$2,{$A$2;$A28})=0,,DSUM(TERCEIROS!$B$11:$AW$207,M$2,{$A$2;$A28}))</f>
        <v/>
      </c>
      <c r="N28" s="294" t="str">
        <f t="array" ref="N28">IF(DSUM(TERCEIROS!$B$11:$AW$207,N$2,{$A$2;$A28})=0,,DSUM(TERCEIROS!$B$11:$AW$207,N$2,{$A$2;$A28}))</f>
        <v/>
      </c>
      <c r="O28" s="294" t="str">
        <f t="array" ref="O28">IF(DSUM(TERCEIROS!$B$11:$AW$207,O$2,{$A$2;$A28})=0,,DSUM(TERCEIROS!$B$11:$AW$207,O$2,{$A$2;$A28}))</f>
        <v/>
      </c>
      <c r="P28" s="294" t="str">
        <f t="array" ref="P28">IF(DSUM(TERCEIROS!$B$11:$AW$207,P$2,{$A$2;$A28})=0,,DSUM(TERCEIROS!$B$11:$AW$207,P$2,{$A$2;$A28}))</f>
        <v/>
      </c>
      <c r="Q28" s="294" t="str">
        <f t="array" ref="Q28">IF(DSUM(TERCEIROS!$B$11:$AW$207,Q$2,{$A$2;$A28})=0,,DSUM(TERCEIROS!$B$11:$AW$207,Q$2,{$A$2;$A28}))</f>
        <v/>
      </c>
      <c r="R28" s="294" t="str">
        <f t="array" ref="R28">IF(DSUM(TERCEIROS!$B$11:$AW$207,R$2,{$A$2;$A28})=0,,DSUM(TERCEIROS!$B$11:$AW$207,R$2,{$A$2;$A28}))</f>
        <v/>
      </c>
      <c r="S28" s="294" t="str">
        <f t="array" ref="S28">IF(DSUM(TERCEIROS!$B$11:$AW$207,S$2,{$A$2;$A28})=0,,DSUM(TERCEIROS!$B$11:$AW$207,S$2,{$A$2;$A28}))</f>
        <v/>
      </c>
      <c r="T28" s="294" t="str">
        <f t="array" ref="T28">IF(DSUM(TERCEIROS!$B$11:$AW$207,T$2,{$A$2;$A28})=0,,DSUM(TERCEIROS!$B$11:$AW$207,T$2,{$A$2;$A28}))</f>
        <v/>
      </c>
      <c r="U28" s="294" t="str">
        <f t="array" ref="U28">IF(DSUM(TERCEIROS!$B$11:$AW$207,U$2,{$A$2;$A28})=0,,DSUM(TERCEIROS!$B$11:$AW$207,U$2,{$A$2;$A28}))</f>
        <v/>
      </c>
      <c r="V28" s="294" t="str">
        <f t="array" ref="V28">IF(DSUM(TERCEIROS!$B$11:$AW$207,V$2,{$A$2;$A28})=0,,DSUM(TERCEIROS!$B$11:$AW$207,V$2,{$A$2;$A28}))</f>
        <v/>
      </c>
      <c r="W28" s="294" t="str">
        <f t="array" ref="W28">IF(DSUM(TERCEIROS!$B$11:$AW$207,W$2,{$A$2;$A28})=0,,DSUM(TERCEIROS!$B$11:$AW$207,W$2,{$A$2;$A28}))</f>
        <v/>
      </c>
      <c r="X28" s="294" t="str">
        <f t="array" ref="X28">IF(DSUM(TERCEIROS!$B$11:$AW$207,X$2,{$A$2;$A28})=0,,DSUM(TERCEIROS!$B$11:$AW$207,X$2,{$A$2;$A28}))</f>
        <v/>
      </c>
      <c r="Y28" s="294" t="str">
        <f t="array" ref="Y28">IF(DSUM(TERCEIROS!$B$11:$AW$207,Y$2,{$A$2;$A28})=0,,DSUM(TERCEIROS!$B$11:$AW$207,Y$2,{$A$2;$A28}))</f>
        <v/>
      </c>
      <c r="Z28" s="294" t="str">
        <f t="array" ref="Z28">IF(DSUM(TERCEIROS!$B$11:$AW$207,Z$2,{$A$2;$A28})=0,,DSUM(TERCEIROS!$B$11:$AW$207,Z$2,{$A$2;$A28}))</f>
        <v/>
      </c>
      <c r="AA28" s="294" t="str">
        <f t="array" ref="AA28">IF(DSUM(TERCEIROS!$B$11:$AW$207,AA$2,{$A$2;$A28})=0,,DSUM(TERCEIROS!$B$11:$AW$207,AA$2,{$A$2;$A28}))</f>
        <v/>
      </c>
      <c r="AB28" s="294" t="str">
        <f t="array" ref="AB28">IF(DSUM(TERCEIROS!$B$11:$AW$207,AB$2,{$A$2;$A28})=0,,DSUM(TERCEIROS!$B$11:$AW$207,AB$2,{$A$2;$A28}))</f>
        <v/>
      </c>
      <c r="AC28" s="294" t="str">
        <f t="array" ref="AC28">IF(DSUM(TERCEIROS!$B$11:$AW$207,AC$2,{$A$2;$A28})=0,,DSUM(TERCEIROS!$B$11:$AW$207,AC$2,{$A$2;$A28}))</f>
        <v/>
      </c>
      <c r="AD28" s="294" t="str">
        <f t="array" ref="AD28">IF(DSUM(TERCEIROS!$B$11:$AW$207,AD$2,{$A$2;$A28})=0,,DSUM(TERCEIROS!$B$11:$AW$207,AD$2,{$A$2;$A28}))</f>
        <v/>
      </c>
      <c r="AE28" s="294" t="str">
        <f t="array" ref="AE28">IF(DSUM(TERCEIROS!$B$11:$AW$207,AE$2,{$A$2;$A28})=0,,DSUM(TERCEIROS!$B$11:$AW$207,AE$2,{$A$2;$A28}))</f>
        <v/>
      </c>
      <c r="AF28" s="294" t="str">
        <f t="array" ref="AF28">IF(DSUM(TERCEIROS!$B$11:$AW$207,AF$2,{$A$2;$A28})=0,,DSUM(TERCEIROS!$B$11:$AW$207,AF$2,{$A$2;$A28}))</f>
        <v/>
      </c>
      <c r="AG28" s="294" t="str">
        <f t="array" ref="AG28">IF(DSUM(TERCEIROS!$B$11:$AW$207,AG$2,{$A$2;$A28})=0,,DSUM(TERCEIROS!$B$11:$AW$207,AG$2,{$A$2;$A28}))</f>
        <v/>
      </c>
      <c r="AH28" s="294" t="str">
        <f t="array" ref="AH28">IF(DSUM(TERCEIROS!$B$11:$AW$207,AH$2,{$A$2;$A28})=0,,DSUM(TERCEIROS!$B$11:$AW$207,AH$2,{$A$2;$A28}))</f>
        <v/>
      </c>
      <c r="AI28" s="294" t="str">
        <f t="array" ref="AI28">IF(DSUM(TERCEIROS!$B$11:$AW$207,AI$2,{$A$2;$A28})=0,,DSUM(TERCEIROS!$B$11:$AW$207,AI$2,{$A$2;$A28}))</f>
        <v/>
      </c>
      <c r="AJ28" s="294" t="str">
        <f t="array" ref="AJ28">IF(DSUM(TERCEIROS!$B$11:$AW$207,AJ$2,{$A$2;$A28})=0,,DSUM(TERCEIROS!$B$11:$AW$207,AJ$2,{$A$2;$A28}))</f>
        <v/>
      </c>
      <c r="AK28" s="294" t="str">
        <f t="array" ref="AK28">IF(DSUM(TERCEIROS!$B$11:$AW$207,AK$2,{$A$2;$A28})=0,,DSUM(TERCEIROS!$B$11:$AW$207,AK$2,{$A$2;$A28}))</f>
        <v/>
      </c>
      <c r="AL28" s="294" t="str">
        <f t="array" ref="AL28">IF(DSUM(TERCEIROS!$B$11:$AW$207,AL$2,{$A$2;$A28})=0,,DSUM(TERCEIROS!$B$11:$AW$207,AL$2,{$A$2;$A28}))</f>
        <v/>
      </c>
    </row>
    <row r="29">
      <c r="A29" s="287" t="s">
        <v>1705</v>
      </c>
      <c r="B29" s="288"/>
      <c r="C29" s="287" t="str">
        <f>VLOOKUP(A29,TERCEIROS!$D$12:$E$135,2,false)</f>
        <v>02.012.862/0001-60</v>
      </c>
      <c r="D29" s="289" t="str">
        <f>VLOOKUP(A29,TERCEIROS!$D$12:$I$135,6,false)</f>
        <v>Aéreo teste IFF/SP - Lorini</v>
      </c>
      <c r="E29" s="290" t="str">
        <f t="array" ref="E29">IF(DSUM(TERCEIROS!$B$11:$AW$207,E$2,{$A$2;$A29})=0,,DSUM(TERCEIROS!$B$11:$AW$207,E$2,{$A$2;$A29}))</f>
        <v/>
      </c>
      <c r="F29" s="290" t="str">
        <f t="array" ref="F29">IF(DSUM(TERCEIROS!$B$11:$AW$207,F$2,{$A$2;$A29})=0,,DSUM(TERCEIROS!$B$11:$AW$207,F$2,{$A$2;$A29}))</f>
        <v/>
      </c>
      <c r="G29" s="290" t="str">
        <f t="array" ref="G29">IF(DSUM(TERCEIROS!$B$11:$AW$207,G$2,{$A$2;$A29})=0,,DSUM(TERCEIROS!$B$11:$AW$207,G$2,{$A$2;$A29}))</f>
        <v/>
      </c>
      <c r="H29" s="290" t="str">
        <f t="array" ref="H29">IF(DSUM(TERCEIROS!$B$11:$AW$207,H$2,{$A$2;$A29})=0,,DSUM(TERCEIROS!$B$11:$AW$207,H$2,{$A$2;$A29}))</f>
        <v/>
      </c>
      <c r="I29" s="290" t="str">
        <f t="array" ref="I29">IF(DSUM(TERCEIROS!$B$11:$AW$207,I$2,{$A$2;$A29})=0,,DSUM(TERCEIROS!$B$11:$AW$207,I$2,{$A$2;$A29}))</f>
        <v/>
      </c>
      <c r="J29" s="290" t="str">
        <f t="array" ref="J29">IF(DSUM(TERCEIROS!$B$11:$AW$207,J$2,{$A$2;$A29})=0,,DSUM(TERCEIROS!$B$11:$AW$207,J$2,{$A$2;$A29}))</f>
        <v/>
      </c>
      <c r="K29" s="290" t="str">
        <f t="array" ref="K29">IF(DSUM(TERCEIROS!$B$11:$AW$207,K$2,{$A$2;$A29})=0,,DSUM(TERCEIROS!$B$11:$AW$207,K$2,{$A$2;$A29}))</f>
        <v/>
      </c>
      <c r="L29" s="290" t="str">
        <f t="array" ref="L29">IF(DSUM(TERCEIROS!$B$11:$AW$207,L$2,{$A$2;$A29})=0,,DSUM(TERCEIROS!$B$11:$AW$207,L$2,{$A$2;$A29}))</f>
        <v/>
      </c>
      <c r="M29" s="290" t="str">
        <f t="array" ref="M29">IF(DSUM(TERCEIROS!$B$11:$AW$207,M$2,{$A$2;$A29})=0,,DSUM(TERCEIROS!$B$11:$AW$207,M$2,{$A$2;$A29}))</f>
        <v/>
      </c>
      <c r="N29" s="290" t="str">
        <f t="array" ref="N29">IF(DSUM(TERCEIROS!$B$11:$AW$207,N$2,{$A$2;$A29})=0,,DSUM(TERCEIROS!$B$11:$AW$207,N$2,{$A$2;$A29}))</f>
        <v/>
      </c>
      <c r="O29" s="290" t="str">
        <f t="array" ref="O29">IF(DSUM(TERCEIROS!$B$11:$AW$207,O$2,{$A$2;$A29})=0,,DSUM(TERCEIROS!$B$11:$AW$207,O$2,{$A$2;$A29}))</f>
        <v/>
      </c>
      <c r="P29" s="290" t="str">
        <f t="array" ref="P29">IF(DSUM(TERCEIROS!$B$11:$AW$207,P$2,{$A$2;$A29})=0,,DSUM(TERCEIROS!$B$11:$AW$207,P$2,{$A$2;$A29}))</f>
        <v/>
      </c>
      <c r="Q29" s="290" t="str">
        <f t="array" ref="Q29">IF(DSUM(TERCEIROS!$B$11:$AW$207,Q$2,{$A$2;$A29})=0,,DSUM(TERCEIROS!$B$11:$AW$207,Q$2,{$A$2;$A29}))</f>
        <v/>
      </c>
      <c r="R29" s="290" t="str">
        <f t="array" ref="R29">IF(DSUM(TERCEIROS!$B$11:$AW$207,R$2,{$A$2;$A29})=0,,DSUM(TERCEIROS!$B$11:$AW$207,R$2,{$A$2;$A29}))</f>
        <v/>
      </c>
      <c r="S29" s="290" t="str">
        <f t="array" ref="S29">IF(DSUM(TERCEIROS!$B$11:$AW$207,S$2,{$A$2;$A29})=0,,DSUM(TERCEIROS!$B$11:$AW$207,S$2,{$A$2;$A29}))</f>
        <v/>
      </c>
      <c r="T29" s="290" t="str">
        <f t="array" ref="T29">IF(DSUM(TERCEIROS!$B$11:$AW$207,T$2,{$A$2;$A29})=0,,DSUM(TERCEIROS!$B$11:$AW$207,T$2,{$A$2;$A29}))</f>
        <v/>
      </c>
      <c r="U29" s="290" t="str">
        <f t="array" ref="U29">IF(DSUM(TERCEIROS!$B$11:$AW$207,U$2,{$A$2;$A29})=0,,DSUM(TERCEIROS!$B$11:$AW$207,U$2,{$A$2;$A29}))</f>
        <v/>
      </c>
      <c r="V29" s="290" t="str">
        <f t="array" ref="V29">IF(DSUM(TERCEIROS!$B$11:$AW$207,V$2,{$A$2;$A29})=0,,DSUM(TERCEIROS!$B$11:$AW$207,V$2,{$A$2;$A29}))</f>
        <v/>
      </c>
      <c r="W29" s="290" t="str">
        <f t="array" ref="W29">IF(DSUM(TERCEIROS!$B$11:$AW$207,W$2,{$A$2;$A29})=0,,DSUM(TERCEIROS!$B$11:$AW$207,W$2,{$A$2;$A29}))</f>
        <v/>
      </c>
      <c r="X29" s="290" t="str">
        <f t="array" ref="X29">IF(DSUM(TERCEIROS!$B$11:$AW$207,X$2,{$A$2;$A29})=0,,DSUM(TERCEIROS!$B$11:$AW$207,X$2,{$A$2;$A29}))</f>
        <v/>
      </c>
      <c r="Y29" s="290" t="str">
        <f t="array" ref="Y29">IF(DSUM(TERCEIROS!$B$11:$AW$207,Y$2,{$A$2;$A29})=0,,DSUM(TERCEIROS!$B$11:$AW$207,Y$2,{$A$2;$A29}))</f>
        <v/>
      </c>
      <c r="Z29" s="290" t="str">
        <f t="array" ref="Z29">IF(DSUM(TERCEIROS!$B$11:$AW$207,Z$2,{$A$2;$A29})=0,,DSUM(TERCEIROS!$B$11:$AW$207,Z$2,{$A$2;$A29}))</f>
        <v/>
      </c>
      <c r="AA29" s="290" t="str">
        <f t="array" ref="AA29">IF(DSUM(TERCEIROS!$B$11:$AW$207,AA$2,{$A$2;$A29})=0,,DSUM(TERCEIROS!$B$11:$AW$207,AA$2,{$A$2;$A29}))</f>
        <v/>
      </c>
      <c r="AB29" s="290" t="str">
        <f t="array" ref="AB29">IF(DSUM(TERCEIROS!$B$11:$AW$207,AB$2,{$A$2;$A29})=0,,DSUM(TERCEIROS!$B$11:$AW$207,AB$2,{$A$2;$A29}))</f>
        <v/>
      </c>
      <c r="AC29" s="290" t="str">
        <f t="array" ref="AC29">IF(DSUM(TERCEIROS!$B$11:$AW$207,AC$2,{$A$2;$A29})=0,,DSUM(TERCEIROS!$B$11:$AW$207,AC$2,{$A$2;$A29}))</f>
        <v/>
      </c>
      <c r="AD29" s="290" t="str">
        <f t="array" ref="AD29">IF(DSUM(TERCEIROS!$B$11:$AW$207,AD$2,{$A$2;$A29})=0,,DSUM(TERCEIROS!$B$11:$AW$207,AD$2,{$A$2;$A29}))</f>
        <v/>
      </c>
      <c r="AE29" s="290" t="str">
        <f t="array" ref="AE29">IF(DSUM(TERCEIROS!$B$11:$AW$207,AE$2,{$A$2;$A29})=0,,DSUM(TERCEIROS!$B$11:$AW$207,AE$2,{$A$2;$A29}))</f>
        <v/>
      </c>
      <c r="AF29" s="290" t="str">
        <f t="array" ref="AF29">IF(DSUM(TERCEIROS!$B$11:$AW$207,AF$2,{$A$2;$A29})=0,,DSUM(TERCEIROS!$B$11:$AW$207,AF$2,{$A$2;$A29}))</f>
        <v/>
      </c>
      <c r="AG29" s="290" t="str">
        <f t="array" ref="AG29">IF(DSUM(TERCEIROS!$B$11:$AW$207,AG$2,{$A$2;$A29})=0,,DSUM(TERCEIROS!$B$11:$AW$207,AG$2,{$A$2;$A29}))</f>
        <v/>
      </c>
      <c r="AH29" s="290" t="str">
        <f t="array" ref="AH29">IF(DSUM(TERCEIROS!$B$11:$AW$207,AH$2,{$A$2;$A29})=0,,DSUM(TERCEIROS!$B$11:$AW$207,AH$2,{$A$2;$A29}))</f>
        <v/>
      </c>
      <c r="AI29" s="290" t="str">
        <f t="array" ref="AI29">IF(DSUM(TERCEIROS!$B$11:$AW$207,AI$2,{$A$2;$A29})=0,,DSUM(TERCEIROS!$B$11:$AW$207,AI$2,{$A$2;$A29}))</f>
        <v/>
      </c>
      <c r="AJ29" s="290" t="str">
        <f t="array" ref="AJ29">IF(DSUM(TERCEIROS!$B$11:$AW$207,AJ$2,{$A$2;$A29})=0,,DSUM(TERCEIROS!$B$11:$AW$207,AJ$2,{$A$2;$A29}))</f>
        <v/>
      </c>
      <c r="AK29" s="290" t="str">
        <f t="array" ref="AK29">IF(DSUM(TERCEIROS!$B$11:$AW$207,AK$2,{$A$2;$A29})=0,,DSUM(TERCEIROS!$B$11:$AW$207,AK$2,{$A$2;$A29}))</f>
        <v/>
      </c>
      <c r="AL29" s="290" t="str">
        <f t="array" ref="AL29">IF(DSUM(TERCEIROS!$B$11:$AW$207,AL$2,{$A$2;$A29})=0,,DSUM(TERCEIROS!$B$11:$AW$207,AL$2,{$A$2;$A29}))</f>
        <v/>
      </c>
    </row>
    <row r="30">
      <c r="A30" s="291" t="s">
        <v>1762</v>
      </c>
      <c r="B30" s="292"/>
      <c r="C30" s="291" t="str">
        <f>VLOOKUP(A30,TERCEIROS!$D$12:$E$135,2,false)</f>
        <v>61.528.030/0001-60</v>
      </c>
      <c r="D30" s="293" t="str">
        <f>VLOOKUP(A30,TERCEIROS!$D$12:$I$135,6,false)</f>
        <v>Teste industrial do Trophic Soya 1.5 Fiber na Tetra Pak.</v>
      </c>
      <c r="E30" s="294" t="str">
        <f t="array" ref="E30">IF(DSUM(TERCEIROS!$B$11:$AW$207,E$2,{$A$2;$A30})=0,,DSUM(TERCEIROS!$B$11:$AW$207,E$2,{$A$2;$A30}))</f>
        <v/>
      </c>
      <c r="F30" s="294" t="str">
        <f t="array" ref="F30">IF(DSUM(TERCEIROS!$B$11:$AW$207,F$2,{$A$2;$A30})=0,,DSUM(TERCEIROS!$B$11:$AW$207,F$2,{$A$2;$A30}))</f>
        <v/>
      </c>
      <c r="G30" s="294" t="str">
        <f t="array" ref="G30">IF(DSUM(TERCEIROS!$B$11:$AW$207,G$2,{$A$2;$A30})=0,,DSUM(TERCEIROS!$B$11:$AW$207,G$2,{$A$2;$A30}))</f>
        <v/>
      </c>
      <c r="H30" s="294" t="str">
        <f t="array" ref="H30">IF(DSUM(TERCEIROS!$B$11:$AW$207,H$2,{$A$2;$A30})=0,,DSUM(TERCEIROS!$B$11:$AW$207,H$2,{$A$2;$A30}))</f>
        <v/>
      </c>
      <c r="I30" s="294" t="str">
        <f t="array" ref="I30">IF(DSUM(TERCEIROS!$B$11:$AW$207,I$2,{$A$2;$A30})=0,,DSUM(TERCEIROS!$B$11:$AW$207,I$2,{$A$2;$A30}))</f>
        <v/>
      </c>
      <c r="J30" s="294" t="str">
        <f t="array" ref="J30">IF(DSUM(TERCEIROS!$B$11:$AW$207,J$2,{$A$2;$A30})=0,,DSUM(TERCEIROS!$B$11:$AW$207,J$2,{$A$2;$A30}))</f>
        <v/>
      </c>
      <c r="K30" s="294" t="str">
        <f t="array" ref="K30">IF(DSUM(TERCEIROS!$B$11:$AW$207,K$2,{$A$2;$A30})=0,,DSUM(TERCEIROS!$B$11:$AW$207,K$2,{$A$2;$A30}))</f>
        <v/>
      </c>
      <c r="L30" s="294" t="str">
        <f t="array" ref="L30">IF(DSUM(TERCEIROS!$B$11:$AW$207,L$2,{$A$2;$A30})=0,,DSUM(TERCEIROS!$B$11:$AW$207,L$2,{$A$2;$A30}))</f>
        <v/>
      </c>
      <c r="M30" s="294" t="str">
        <f t="array" ref="M30">IF(DSUM(TERCEIROS!$B$11:$AW$207,M$2,{$A$2;$A30})=0,,DSUM(TERCEIROS!$B$11:$AW$207,M$2,{$A$2;$A30}))</f>
        <v/>
      </c>
      <c r="N30" s="294">
        <f t="array" ref="N30">IF(DSUM(TERCEIROS!$B$11:$AW$207,N$2,{$A$2;$A30})=0,,DSUM(TERCEIROS!$B$11:$AW$207,N$2,{$A$2;$A30}))</f>
        <v>20814.27</v>
      </c>
      <c r="O30" s="294" t="str">
        <f t="array" ref="O30">IF(DSUM(TERCEIROS!$B$11:$AW$207,O$2,{$A$2;$A30})=0,,DSUM(TERCEIROS!$B$11:$AW$207,O$2,{$A$2;$A30}))</f>
        <v/>
      </c>
      <c r="P30" s="294" t="str">
        <f t="array" ref="P30">IF(DSUM(TERCEIROS!$B$11:$AW$207,P$2,{$A$2;$A30})=0,,DSUM(TERCEIROS!$B$11:$AW$207,P$2,{$A$2;$A30}))</f>
        <v/>
      </c>
      <c r="Q30" s="294" t="str">
        <f t="array" ref="Q30">IF(DSUM(TERCEIROS!$B$11:$AW$207,Q$2,{$A$2;$A30})=0,,DSUM(TERCEIROS!$B$11:$AW$207,Q$2,{$A$2;$A30}))</f>
        <v/>
      </c>
      <c r="R30" s="294" t="str">
        <f t="array" ref="R30">IF(DSUM(TERCEIROS!$B$11:$AW$207,R$2,{$A$2;$A30})=0,,DSUM(TERCEIROS!$B$11:$AW$207,R$2,{$A$2;$A30}))</f>
        <v/>
      </c>
      <c r="S30" s="294" t="str">
        <f t="array" ref="S30">IF(DSUM(TERCEIROS!$B$11:$AW$207,S$2,{$A$2;$A30})=0,,DSUM(TERCEIROS!$B$11:$AW$207,S$2,{$A$2;$A30}))</f>
        <v/>
      </c>
      <c r="T30" s="294" t="str">
        <f t="array" ref="T30">IF(DSUM(TERCEIROS!$B$11:$AW$207,T$2,{$A$2;$A30})=0,,DSUM(TERCEIROS!$B$11:$AW$207,T$2,{$A$2;$A30}))</f>
        <v/>
      </c>
      <c r="U30" s="294" t="str">
        <f t="array" ref="U30">IF(DSUM(TERCEIROS!$B$11:$AW$207,U$2,{$A$2;$A30})=0,,DSUM(TERCEIROS!$B$11:$AW$207,U$2,{$A$2;$A30}))</f>
        <v/>
      </c>
      <c r="V30" s="294" t="str">
        <f t="array" ref="V30">IF(DSUM(TERCEIROS!$B$11:$AW$207,V$2,{$A$2;$A30})=0,,DSUM(TERCEIROS!$B$11:$AW$207,V$2,{$A$2;$A30}))</f>
        <v/>
      </c>
      <c r="W30" s="294" t="str">
        <f t="array" ref="W30">IF(DSUM(TERCEIROS!$B$11:$AW$207,W$2,{$A$2;$A30})=0,,DSUM(TERCEIROS!$B$11:$AW$207,W$2,{$A$2;$A30}))</f>
        <v/>
      </c>
      <c r="X30" s="294" t="str">
        <f t="array" ref="X30">IF(DSUM(TERCEIROS!$B$11:$AW$207,X$2,{$A$2;$A30})=0,,DSUM(TERCEIROS!$B$11:$AW$207,X$2,{$A$2;$A30}))</f>
        <v/>
      </c>
      <c r="Y30" s="294" t="str">
        <f t="array" ref="Y30">IF(DSUM(TERCEIROS!$B$11:$AW$207,Y$2,{$A$2;$A30})=0,,DSUM(TERCEIROS!$B$11:$AW$207,Y$2,{$A$2;$A30}))</f>
        <v/>
      </c>
      <c r="Z30" s="294" t="str">
        <f t="array" ref="Z30">IF(DSUM(TERCEIROS!$B$11:$AW$207,Z$2,{$A$2;$A30})=0,,DSUM(TERCEIROS!$B$11:$AW$207,Z$2,{$A$2;$A30}))</f>
        <v/>
      </c>
      <c r="AA30" s="294" t="str">
        <f t="array" ref="AA30">IF(DSUM(TERCEIROS!$B$11:$AW$207,AA$2,{$A$2;$A30})=0,,DSUM(TERCEIROS!$B$11:$AW$207,AA$2,{$A$2;$A30}))</f>
        <v/>
      </c>
      <c r="AB30" s="294" t="str">
        <f t="array" ref="AB30">IF(DSUM(TERCEIROS!$B$11:$AW$207,AB$2,{$A$2;$A30})=0,,DSUM(TERCEIROS!$B$11:$AW$207,AB$2,{$A$2;$A30}))</f>
        <v/>
      </c>
      <c r="AC30" s="294" t="str">
        <f t="array" ref="AC30">IF(DSUM(TERCEIROS!$B$11:$AW$207,AC$2,{$A$2;$A30})=0,,DSUM(TERCEIROS!$B$11:$AW$207,AC$2,{$A$2;$A30}))</f>
        <v/>
      </c>
      <c r="AD30" s="294" t="str">
        <f t="array" ref="AD30">IF(DSUM(TERCEIROS!$B$11:$AW$207,AD$2,{$A$2;$A30})=0,,DSUM(TERCEIROS!$B$11:$AW$207,AD$2,{$A$2;$A30}))</f>
        <v/>
      </c>
      <c r="AE30" s="294" t="str">
        <f t="array" ref="AE30">IF(DSUM(TERCEIROS!$B$11:$AW$207,AE$2,{$A$2;$A30})=0,,DSUM(TERCEIROS!$B$11:$AW$207,AE$2,{$A$2;$A30}))</f>
        <v/>
      </c>
      <c r="AF30" s="294" t="str">
        <f t="array" ref="AF30">IF(DSUM(TERCEIROS!$B$11:$AW$207,AF$2,{$A$2;$A30})=0,,DSUM(TERCEIROS!$B$11:$AW$207,AF$2,{$A$2;$A30}))</f>
        <v/>
      </c>
      <c r="AG30" s="294" t="str">
        <f t="array" ref="AG30">IF(DSUM(TERCEIROS!$B$11:$AW$207,AG$2,{$A$2;$A30})=0,,DSUM(TERCEIROS!$B$11:$AW$207,AG$2,{$A$2;$A30}))</f>
        <v/>
      </c>
      <c r="AH30" s="294" t="str">
        <f t="array" ref="AH30">IF(DSUM(TERCEIROS!$B$11:$AW$207,AH$2,{$A$2;$A30})=0,,DSUM(TERCEIROS!$B$11:$AW$207,AH$2,{$A$2;$A30}))</f>
        <v/>
      </c>
      <c r="AI30" s="294" t="str">
        <f t="array" ref="AI30">IF(DSUM(TERCEIROS!$B$11:$AW$207,AI$2,{$A$2;$A30})=0,,DSUM(TERCEIROS!$B$11:$AW$207,AI$2,{$A$2;$A30}))</f>
        <v/>
      </c>
      <c r="AJ30" s="294" t="str">
        <f t="array" ref="AJ30">IF(DSUM(TERCEIROS!$B$11:$AW$207,AJ$2,{$A$2;$A30})=0,,DSUM(TERCEIROS!$B$11:$AW$207,AJ$2,{$A$2;$A30}))</f>
        <v/>
      </c>
      <c r="AK30" s="294" t="str">
        <f t="array" ref="AK30">IF(DSUM(TERCEIROS!$B$11:$AW$207,AK$2,{$A$2;$A30})=0,,DSUM(TERCEIROS!$B$11:$AW$207,AK$2,{$A$2;$A30}))</f>
        <v/>
      </c>
      <c r="AL30" s="294" t="str">
        <f t="array" ref="AL30">IF(DSUM(TERCEIROS!$B$11:$AW$207,AL$2,{$A$2;$A30})=0,,DSUM(TERCEIROS!$B$11:$AW$207,AL$2,{$A$2;$A30}))</f>
        <v/>
      </c>
    </row>
    <row r="31">
      <c r="A31" s="287" t="s">
        <v>1709</v>
      </c>
      <c r="B31" s="288"/>
      <c r="C31" s="287" t="str">
        <f>VLOOKUP(A31,TERCEIROS!$D$12:$E$135,2,false)</f>
        <v/>
      </c>
      <c r="D31" s="289" t="str">
        <f>VLOOKUP(A31,TERCEIROS!$D$12:$I$135,6,false)</f>
        <v>Assist Card - seguro 19-26/04</v>
      </c>
      <c r="E31" s="290" t="str">
        <f t="array" ref="E31">IF(DSUM(TERCEIROS!$B$11:$AW$207,E$2,{$A$2;$A31})=0,,DSUM(TERCEIROS!$B$11:$AW$207,E$2,{$A$2;$A31}))</f>
        <v/>
      </c>
      <c r="F31" s="290" t="str">
        <f t="array" ref="F31">IF(DSUM(TERCEIROS!$B$11:$AW$207,F$2,{$A$2;$A31})=0,,DSUM(TERCEIROS!$B$11:$AW$207,F$2,{$A$2;$A31}))</f>
        <v/>
      </c>
      <c r="G31" s="290" t="str">
        <f t="array" ref="G31">IF(DSUM(TERCEIROS!$B$11:$AW$207,G$2,{$A$2;$A31})=0,,DSUM(TERCEIROS!$B$11:$AW$207,G$2,{$A$2;$A31}))</f>
        <v/>
      </c>
      <c r="H31" s="290" t="str">
        <f t="array" ref="H31">IF(DSUM(TERCEIROS!$B$11:$AW$207,H$2,{$A$2;$A31})=0,,DSUM(TERCEIROS!$B$11:$AW$207,H$2,{$A$2;$A31}))</f>
        <v/>
      </c>
      <c r="I31" s="290" t="str">
        <f t="array" ref="I31">IF(DSUM(TERCEIROS!$B$11:$AW$207,I$2,{$A$2;$A31})=0,,DSUM(TERCEIROS!$B$11:$AW$207,I$2,{$A$2;$A31}))</f>
        <v/>
      </c>
      <c r="J31" s="290" t="str">
        <f t="array" ref="J31">IF(DSUM(TERCEIROS!$B$11:$AW$207,J$2,{$A$2;$A31})=0,,DSUM(TERCEIROS!$B$11:$AW$207,J$2,{$A$2;$A31}))</f>
        <v/>
      </c>
      <c r="K31" s="290" t="str">
        <f t="array" ref="K31">IF(DSUM(TERCEIROS!$B$11:$AW$207,K$2,{$A$2;$A31})=0,,DSUM(TERCEIROS!$B$11:$AW$207,K$2,{$A$2;$A31}))</f>
        <v/>
      </c>
      <c r="L31" s="290" t="str">
        <f t="array" ref="L31">IF(DSUM(TERCEIROS!$B$11:$AW$207,L$2,{$A$2;$A31})=0,,DSUM(TERCEIROS!$B$11:$AW$207,L$2,{$A$2;$A31}))</f>
        <v/>
      </c>
      <c r="M31" s="290" t="str">
        <f t="array" ref="M31">IF(DSUM(TERCEIROS!$B$11:$AW$207,M$2,{$A$2;$A31})=0,,DSUM(TERCEIROS!$B$11:$AW$207,M$2,{$A$2;$A31}))</f>
        <v/>
      </c>
      <c r="N31" s="290" t="str">
        <f t="array" ref="N31">IF(DSUM(TERCEIROS!$B$11:$AW$207,N$2,{$A$2;$A31})=0,,DSUM(TERCEIROS!$B$11:$AW$207,N$2,{$A$2;$A31}))</f>
        <v/>
      </c>
      <c r="O31" s="290" t="str">
        <f t="array" ref="O31">IF(DSUM(TERCEIROS!$B$11:$AW$207,O$2,{$A$2;$A31})=0,,DSUM(TERCEIROS!$B$11:$AW$207,O$2,{$A$2;$A31}))</f>
        <v/>
      </c>
      <c r="P31" s="290" t="str">
        <f t="array" ref="P31">IF(DSUM(TERCEIROS!$B$11:$AW$207,P$2,{$A$2;$A31})=0,,DSUM(TERCEIROS!$B$11:$AW$207,P$2,{$A$2;$A31}))</f>
        <v/>
      </c>
      <c r="Q31" s="290" t="str">
        <f t="array" ref="Q31">IF(DSUM(TERCEIROS!$B$11:$AW$207,Q$2,{$A$2;$A31})=0,,DSUM(TERCEIROS!$B$11:$AW$207,Q$2,{$A$2;$A31}))</f>
        <v/>
      </c>
      <c r="R31" s="290" t="str">
        <f t="array" ref="R31">IF(DSUM(TERCEIROS!$B$11:$AW$207,R$2,{$A$2;$A31})=0,,DSUM(TERCEIROS!$B$11:$AW$207,R$2,{$A$2;$A31}))</f>
        <v/>
      </c>
      <c r="S31" s="290" t="str">
        <f t="array" ref="S31">IF(DSUM(TERCEIROS!$B$11:$AW$207,S$2,{$A$2;$A31})=0,,DSUM(TERCEIROS!$B$11:$AW$207,S$2,{$A$2;$A31}))</f>
        <v/>
      </c>
      <c r="T31" s="290" t="str">
        <f t="array" ref="T31">IF(DSUM(TERCEIROS!$B$11:$AW$207,T$2,{$A$2;$A31})=0,,DSUM(TERCEIROS!$B$11:$AW$207,T$2,{$A$2;$A31}))</f>
        <v/>
      </c>
      <c r="U31" s="290" t="str">
        <f t="array" ref="U31">IF(DSUM(TERCEIROS!$B$11:$AW$207,U$2,{$A$2;$A31})=0,,DSUM(TERCEIROS!$B$11:$AW$207,U$2,{$A$2;$A31}))</f>
        <v/>
      </c>
      <c r="V31" s="290" t="str">
        <f t="array" ref="V31">IF(DSUM(TERCEIROS!$B$11:$AW$207,V$2,{$A$2;$A31})=0,,DSUM(TERCEIROS!$B$11:$AW$207,V$2,{$A$2;$A31}))</f>
        <v/>
      </c>
      <c r="W31" s="290" t="str">
        <f t="array" ref="W31">IF(DSUM(TERCEIROS!$B$11:$AW$207,W$2,{$A$2;$A31})=0,,DSUM(TERCEIROS!$B$11:$AW$207,W$2,{$A$2;$A31}))</f>
        <v/>
      </c>
      <c r="X31" s="290" t="str">
        <f t="array" ref="X31">IF(DSUM(TERCEIROS!$B$11:$AW$207,X$2,{$A$2;$A31})=0,,DSUM(TERCEIROS!$B$11:$AW$207,X$2,{$A$2;$A31}))</f>
        <v/>
      </c>
      <c r="Y31" s="290" t="str">
        <f t="array" ref="Y31">IF(DSUM(TERCEIROS!$B$11:$AW$207,Y$2,{$A$2;$A31})=0,,DSUM(TERCEIROS!$B$11:$AW$207,Y$2,{$A$2;$A31}))</f>
        <v/>
      </c>
      <c r="Z31" s="290" t="str">
        <f t="array" ref="Z31">IF(DSUM(TERCEIROS!$B$11:$AW$207,Z$2,{$A$2;$A31})=0,,DSUM(TERCEIROS!$B$11:$AW$207,Z$2,{$A$2;$A31}))</f>
        <v/>
      </c>
      <c r="AA31" s="290" t="str">
        <f t="array" ref="AA31">IF(DSUM(TERCEIROS!$B$11:$AW$207,AA$2,{$A$2;$A31})=0,,DSUM(TERCEIROS!$B$11:$AW$207,AA$2,{$A$2;$A31}))</f>
        <v/>
      </c>
      <c r="AB31" s="290" t="str">
        <f t="array" ref="AB31">IF(DSUM(TERCEIROS!$B$11:$AW$207,AB$2,{$A$2;$A31})=0,,DSUM(TERCEIROS!$B$11:$AW$207,AB$2,{$A$2;$A31}))</f>
        <v/>
      </c>
      <c r="AC31" s="290" t="str">
        <f t="array" ref="AC31">IF(DSUM(TERCEIROS!$B$11:$AW$207,AC$2,{$A$2;$A31})=0,,DSUM(TERCEIROS!$B$11:$AW$207,AC$2,{$A$2;$A31}))</f>
        <v/>
      </c>
      <c r="AD31" s="290" t="str">
        <f t="array" ref="AD31">IF(DSUM(TERCEIROS!$B$11:$AW$207,AD$2,{$A$2;$A31})=0,,DSUM(TERCEIROS!$B$11:$AW$207,AD$2,{$A$2;$A31}))</f>
        <v/>
      </c>
      <c r="AE31" s="290" t="str">
        <f t="array" ref="AE31">IF(DSUM(TERCEIROS!$B$11:$AW$207,AE$2,{$A$2;$A31})=0,,DSUM(TERCEIROS!$B$11:$AW$207,AE$2,{$A$2;$A31}))</f>
        <v/>
      </c>
      <c r="AF31" s="290" t="str">
        <f t="array" ref="AF31">IF(DSUM(TERCEIROS!$B$11:$AW$207,AF$2,{$A$2;$A31})=0,,DSUM(TERCEIROS!$B$11:$AW$207,AF$2,{$A$2;$A31}))</f>
        <v/>
      </c>
      <c r="AG31" s="290" t="str">
        <f t="array" ref="AG31">IF(DSUM(TERCEIROS!$B$11:$AW$207,AG$2,{$A$2;$A31})=0,,DSUM(TERCEIROS!$B$11:$AW$207,AG$2,{$A$2;$A31}))</f>
        <v/>
      </c>
      <c r="AH31" s="290" t="str">
        <f t="array" ref="AH31">IF(DSUM(TERCEIROS!$B$11:$AW$207,AH$2,{$A$2;$A31})=0,,DSUM(TERCEIROS!$B$11:$AW$207,AH$2,{$A$2;$A31}))</f>
        <v/>
      </c>
      <c r="AI31" s="290" t="str">
        <f t="array" ref="AI31">IF(DSUM(TERCEIROS!$B$11:$AW$207,AI$2,{$A$2;$A31})=0,,DSUM(TERCEIROS!$B$11:$AW$207,AI$2,{$A$2;$A31}))</f>
        <v/>
      </c>
      <c r="AJ31" s="290" t="str">
        <f t="array" ref="AJ31">IF(DSUM(TERCEIROS!$B$11:$AW$207,AJ$2,{$A$2;$A31})=0,,DSUM(TERCEIROS!$B$11:$AW$207,AJ$2,{$A$2;$A31}))</f>
        <v/>
      </c>
      <c r="AK31" s="290" t="str">
        <f t="array" ref="AK31">IF(DSUM(TERCEIROS!$B$11:$AW$207,AK$2,{$A$2;$A31})=0,,DSUM(TERCEIROS!$B$11:$AW$207,AK$2,{$A$2;$A31}))</f>
        <v/>
      </c>
      <c r="AL31" s="290" t="str">
        <f t="array" ref="AL31">IF(DSUM(TERCEIROS!$B$11:$AW$207,AL$2,{$A$2;$A31})=0,,DSUM(TERCEIROS!$B$11:$AW$207,AL$2,{$A$2;$A31}))</f>
        <v/>
      </c>
    </row>
    <row r="32">
      <c r="A32" s="291" t="s">
        <v>1694</v>
      </c>
      <c r="B32" s="292"/>
      <c r="C32" s="291" t="str">
        <f>VLOOKUP(A32,TERCEIROS!$D$12:$E$135,2,false)</f>
        <v>NA</v>
      </c>
      <c r="D32" s="293" t="str">
        <f>VLOOKUP(A32,TERCEIROS!$D$12:$I$135,6,false)</f>
        <v>Aéreo ASPEN (retorno)</v>
      </c>
      <c r="E32" s="294" t="str">
        <f t="array" ref="E32">IF(DSUM(TERCEIROS!$B$11:$AW$207,E$2,{$A$2;$A32})=0,,DSUM(TERCEIROS!$B$11:$AW$207,E$2,{$A$2;$A32}))</f>
        <v/>
      </c>
      <c r="F32" s="294" t="str">
        <f t="array" ref="F32">IF(DSUM(TERCEIROS!$B$11:$AW$207,F$2,{$A$2;$A32})=0,,DSUM(TERCEIROS!$B$11:$AW$207,F$2,{$A$2;$A32}))</f>
        <v/>
      </c>
      <c r="G32" s="294" t="str">
        <f t="array" ref="G32">IF(DSUM(TERCEIROS!$B$11:$AW$207,G$2,{$A$2;$A32})=0,,DSUM(TERCEIROS!$B$11:$AW$207,G$2,{$A$2;$A32}))</f>
        <v/>
      </c>
      <c r="H32" s="294" t="str">
        <f t="array" ref="H32">IF(DSUM(TERCEIROS!$B$11:$AW$207,H$2,{$A$2;$A32})=0,,DSUM(TERCEIROS!$B$11:$AW$207,H$2,{$A$2;$A32}))</f>
        <v/>
      </c>
      <c r="I32" s="294" t="str">
        <f t="array" ref="I32">IF(DSUM(TERCEIROS!$B$11:$AW$207,I$2,{$A$2;$A32})=0,,DSUM(TERCEIROS!$B$11:$AW$207,I$2,{$A$2;$A32}))</f>
        <v/>
      </c>
      <c r="J32" s="294" t="str">
        <f t="array" ref="J32">IF(DSUM(TERCEIROS!$B$11:$AW$207,J$2,{$A$2;$A32})=0,,DSUM(TERCEIROS!$B$11:$AW$207,J$2,{$A$2;$A32}))</f>
        <v/>
      </c>
      <c r="K32" s="294" t="str">
        <f t="array" ref="K32">IF(DSUM(TERCEIROS!$B$11:$AW$207,K$2,{$A$2;$A32})=0,,DSUM(TERCEIROS!$B$11:$AW$207,K$2,{$A$2;$A32}))</f>
        <v/>
      </c>
      <c r="L32" s="294" t="str">
        <f t="array" ref="L32">IF(DSUM(TERCEIROS!$B$11:$AW$207,L$2,{$A$2;$A32})=0,,DSUM(TERCEIROS!$B$11:$AW$207,L$2,{$A$2;$A32}))</f>
        <v/>
      </c>
      <c r="M32" s="294" t="str">
        <f t="array" ref="M32">IF(DSUM(TERCEIROS!$B$11:$AW$207,M$2,{$A$2;$A32})=0,,DSUM(TERCEIROS!$B$11:$AW$207,M$2,{$A$2;$A32}))</f>
        <v/>
      </c>
      <c r="N32" s="294" t="str">
        <f t="array" ref="N32">IF(DSUM(TERCEIROS!$B$11:$AW$207,N$2,{$A$2;$A32})=0,,DSUM(TERCEIROS!$B$11:$AW$207,N$2,{$A$2;$A32}))</f>
        <v/>
      </c>
      <c r="O32" s="294" t="str">
        <f t="array" ref="O32">IF(DSUM(TERCEIROS!$B$11:$AW$207,O$2,{$A$2;$A32})=0,,DSUM(TERCEIROS!$B$11:$AW$207,O$2,{$A$2;$A32}))</f>
        <v/>
      </c>
      <c r="P32" s="294" t="str">
        <f t="array" ref="P32">IF(DSUM(TERCEIROS!$B$11:$AW$207,P$2,{$A$2;$A32})=0,,DSUM(TERCEIROS!$B$11:$AW$207,P$2,{$A$2;$A32}))</f>
        <v/>
      </c>
      <c r="Q32" s="294" t="str">
        <f t="array" ref="Q32">IF(DSUM(TERCEIROS!$B$11:$AW$207,Q$2,{$A$2;$A32})=0,,DSUM(TERCEIROS!$B$11:$AW$207,Q$2,{$A$2;$A32}))</f>
        <v/>
      </c>
      <c r="R32" s="294" t="str">
        <f t="array" ref="R32">IF(DSUM(TERCEIROS!$B$11:$AW$207,R$2,{$A$2;$A32})=0,,DSUM(TERCEIROS!$B$11:$AW$207,R$2,{$A$2;$A32}))</f>
        <v/>
      </c>
      <c r="S32" s="294" t="str">
        <f t="array" ref="S32">IF(DSUM(TERCEIROS!$B$11:$AW$207,S$2,{$A$2;$A32})=0,,DSUM(TERCEIROS!$B$11:$AW$207,S$2,{$A$2;$A32}))</f>
        <v/>
      </c>
      <c r="T32" s="294" t="str">
        <f t="array" ref="T32">IF(DSUM(TERCEIROS!$B$11:$AW$207,T$2,{$A$2;$A32})=0,,DSUM(TERCEIROS!$B$11:$AW$207,T$2,{$A$2;$A32}))</f>
        <v/>
      </c>
      <c r="U32" s="294" t="str">
        <f t="array" ref="U32">IF(DSUM(TERCEIROS!$B$11:$AW$207,U$2,{$A$2;$A32})=0,,DSUM(TERCEIROS!$B$11:$AW$207,U$2,{$A$2;$A32}))</f>
        <v/>
      </c>
      <c r="V32" s="294" t="str">
        <f t="array" ref="V32">IF(DSUM(TERCEIROS!$B$11:$AW$207,V$2,{$A$2;$A32})=0,,DSUM(TERCEIROS!$B$11:$AW$207,V$2,{$A$2;$A32}))</f>
        <v/>
      </c>
      <c r="W32" s="294" t="str">
        <f t="array" ref="W32">IF(DSUM(TERCEIROS!$B$11:$AW$207,W$2,{$A$2;$A32})=0,,DSUM(TERCEIROS!$B$11:$AW$207,W$2,{$A$2;$A32}))</f>
        <v/>
      </c>
      <c r="X32" s="294" t="str">
        <f t="array" ref="X32">IF(DSUM(TERCEIROS!$B$11:$AW$207,X$2,{$A$2;$A32})=0,,DSUM(TERCEIROS!$B$11:$AW$207,X$2,{$A$2;$A32}))</f>
        <v/>
      </c>
      <c r="Y32" s="294" t="str">
        <f t="array" ref="Y32">IF(DSUM(TERCEIROS!$B$11:$AW$207,Y$2,{$A$2;$A32})=0,,DSUM(TERCEIROS!$B$11:$AW$207,Y$2,{$A$2;$A32}))</f>
        <v/>
      </c>
      <c r="Z32" s="294" t="str">
        <f t="array" ref="Z32">IF(DSUM(TERCEIROS!$B$11:$AW$207,Z$2,{$A$2;$A32})=0,,DSUM(TERCEIROS!$B$11:$AW$207,Z$2,{$A$2;$A32}))</f>
        <v/>
      </c>
      <c r="AA32" s="294" t="str">
        <f t="array" ref="AA32">IF(DSUM(TERCEIROS!$B$11:$AW$207,AA$2,{$A$2;$A32})=0,,DSUM(TERCEIROS!$B$11:$AW$207,AA$2,{$A$2;$A32}))</f>
        <v/>
      </c>
      <c r="AB32" s="294" t="str">
        <f t="array" ref="AB32">IF(DSUM(TERCEIROS!$B$11:$AW$207,AB$2,{$A$2;$A32})=0,,DSUM(TERCEIROS!$B$11:$AW$207,AB$2,{$A$2;$A32}))</f>
        <v/>
      </c>
      <c r="AC32" s="294" t="str">
        <f t="array" ref="AC32">IF(DSUM(TERCEIROS!$B$11:$AW$207,AC$2,{$A$2;$A32})=0,,DSUM(TERCEIROS!$B$11:$AW$207,AC$2,{$A$2;$A32}))</f>
        <v/>
      </c>
      <c r="AD32" s="294" t="str">
        <f t="array" ref="AD32">IF(DSUM(TERCEIROS!$B$11:$AW$207,AD$2,{$A$2;$A32})=0,,DSUM(TERCEIROS!$B$11:$AW$207,AD$2,{$A$2;$A32}))</f>
        <v/>
      </c>
      <c r="AE32" s="294" t="str">
        <f t="array" ref="AE32">IF(DSUM(TERCEIROS!$B$11:$AW$207,AE$2,{$A$2;$A32})=0,,DSUM(TERCEIROS!$B$11:$AW$207,AE$2,{$A$2;$A32}))</f>
        <v/>
      </c>
      <c r="AF32" s="294" t="str">
        <f t="array" ref="AF32">IF(DSUM(TERCEIROS!$B$11:$AW$207,AF$2,{$A$2;$A32})=0,,DSUM(TERCEIROS!$B$11:$AW$207,AF$2,{$A$2;$A32}))</f>
        <v/>
      </c>
      <c r="AG32" s="294" t="str">
        <f t="array" ref="AG32">IF(DSUM(TERCEIROS!$B$11:$AW$207,AG$2,{$A$2;$A32})=0,,DSUM(TERCEIROS!$B$11:$AW$207,AG$2,{$A$2;$A32}))</f>
        <v/>
      </c>
      <c r="AH32" s="294" t="str">
        <f t="array" ref="AH32">IF(DSUM(TERCEIROS!$B$11:$AW$207,AH$2,{$A$2;$A32})=0,,DSUM(TERCEIROS!$B$11:$AW$207,AH$2,{$A$2;$A32}))</f>
        <v/>
      </c>
      <c r="AI32" s="294" t="str">
        <f t="array" ref="AI32">IF(DSUM(TERCEIROS!$B$11:$AW$207,AI$2,{$A$2;$A32})=0,,DSUM(TERCEIROS!$B$11:$AW$207,AI$2,{$A$2;$A32}))</f>
        <v/>
      </c>
      <c r="AJ32" s="294" t="str">
        <f t="array" ref="AJ32">IF(DSUM(TERCEIROS!$B$11:$AW$207,AJ$2,{$A$2;$A32})=0,,DSUM(TERCEIROS!$B$11:$AW$207,AJ$2,{$A$2;$A32}))</f>
        <v/>
      </c>
      <c r="AK32" s="294" t="str">
        <f t="array" ref="AK32">IF(DSUM(TERCEIROS!$B$11:$AW$207,AK$2,{$A$2;$A32})=0,,DSUM(TERCEIROS!$B$11:$AW$207,AK$2,{$A$2;$A32}))</f>
        <v/>
      </c>
      <c r="AL32" s="294" t="str">
        <f t="array" ref="AL32">IF(DSUM(TERCEIROS!$B$11:$AW$207,AL$2,{$A$2;$A32})=0,,DSUM(TERCEIROS!$B$11:$AW$207,AL$2,{$A$2;$A32}))</f>
        <v/>
      </c>
    </row>
    <row r="33">
      <c r="A33" s="287" t="s">
        <v>1746</v>
      </c>
      <c r="B33" s="288"/>
      <c r="C33" s="287" t="str">
        <f>VLOOKUP(A33,TERCEIROS!$D$12:$E$135,2,false)</f>
        <v>#N/A</v>
      </c>
      <c r="D33" s="289" t="str">
        <f>VLOOKUP(A33,TERCEIROS!$D$12:$I$135,6,false)</f>
        <v>Análise de iodo  - T12</v>
      </c>
      <c r="E33" s="290">
        <f t="array" ref="E33">IF(DSUM(TERCEIROS!$B$11:$AW$207,E$2,{$A$2;$A33})=0,,DSUM(TERCEIROS!$B$11:$AW$207,E$2,{$A$2;$A33}))</f>
        <v>601.61</v>
      </c>
      <c r="F33" s="290" t="str">
        <f t="array" ref="F33">IF(DSUM(TERCEIROS!$B$11:$AW$207,F$2,{$A$2;$A33})=0,,DSUM(TERCEIROS!$B$11:$AW$207,F$2,{$A$2;$A33}))</f>
        <v/>
      </c>
      <c r="G33" s="290" t="str">
        <f t="array" ref="G33">IF(DSUM(TERCEIROS!$B$11:$AW$207,G$2,{$A$2;$A33})=0,,DSUM(TERCEIROS!$B$11:$AW$207,G$2,{$A$2;$A33}))</f>
        <v/>
      </c>
      <c r="H33" s="290" t="str">
        <f t="array" ref="H33">IF(DSUM(TERCEIROS!$B$11:$AW$207,H$2,{$A$2;$A33})=0,,DSUM(TERCEIROS!$B$11:$AW$207,H$2,{$A$2;$A33}))</f>
        <v/>
      </c>
      <c r="I33" s="290" t="str">
        <f t="array" ref="I33">IF(DSUM(TERCEIROS!$B$11:$AW$207,I$2,{$A$2;$A33})=0,,DSUM(TERCEIROS!$B$11:$AW$207,I$2,{$A$2;$A33}))</f>
        <v/>
      </c>
      <c r="J33" s="290" t="str">
        <f t="array" ref="J33">IF(DSUM(TERCEIROS!$B$11:$AW$207,J$2,{$A$2;$A33})=0,,DSUM(TERCEIROS!$B$11:$AW$207,J$2,{$A$2;$A33}))</f>
        <v/>
      </c>
      <c r="K33" s="290" t="str">
        <f t="array" ref="K33">IF(DSUM(TERCEIROS!$B$11:$AW$207,K$2,{$A$2;$A33})=0,,DSUM(TERCEIROS!$B$11:$AW$207,K$2,{$A$2;$A33}))</f>
        <v/>
      </c>
      <c r="L33" s="290" t="str">
        <f t="array" ref="L33">IF(DSUM(TERCEIROS!$B$11:$AW$207,L$2,{$A$2;$A33})=0,,DSUM(TERCEIROS!$B$11:$AW$207,L$2,{$A$2;$A33}))</f>
        <v/>
      </c>
      <c r="M33" s="290" t="str">
        <f t="array" ref="M33">IF(DSUM(TERCEIROS!$B$11:$AW$207,M$2,{$A$2;$A33})=0,,DSUM(TERCEIROS!$B$11:$AW$207,M$2,{$A$2;$A33}))</f>
        <v/>
      </c>
      <c r="N33" s="290">
        <f t="array" ref="N33">IF(DSUM(TERCEIROS!$B$11:$AW$207,N$2,{$A$2;$A33})=0,,DSUM(TERCEIROS!$B$11:$AW$207,N$2,{$A$2;$A33}))</f>
        <v>11216.6</v>
      </c>
      <c r="O33" s="290" t="str">
        <f t="array" ref="O33">IF(DSUM(TERCEIROS!$B$11:$AW$207,O$2,{$A$2;$A33})=0,,DSUM(TERCEIROS!$B$11:$AW$207,O$2,{$A$2;$A33}))</f>
        <v/>
      </c>
      <c r="P33" s="290" t="str">
        <f t="array" ref="P33">IF(DSUM(TERCEIROS!$B$11:$AW$207,P$2,{$A$2;$A33})=0,,DSUM(TERCEIROS!$B$11:$AW$207,P$2,{$A$2;$A33}))</f>
        <v/>
      </c>
      <c r="Q33" s="290" t="str">
        <f t="array" ref="Q33">IF(DSUM(TERCEIROS!$B$11:$AW$207,Q$2,{$A$2;$A33})=0,,DSUM(TERCEIROS!$B$11:$AW$207,Q$2,{$A$2;$A33}))</f>
        <v/>
      </c>
      <c r="R33" s="290" t="str">
        <f t="array" ref="R33">IF(DSUM(TERCEIROS!$B$11:$AW$207,R$2,{$A$2;$A33})=0,,DSUM(TERCEIROS!$B$11:$AW$207,R$2,{$A$2;$A33}))</f>
        <v/>
      </c>
      <c r="S33" s="290" t="str">
        <f t="array" ref="S33">IF(DSUM(TERCEIROS!$B$11:$AW$207,S$2,{$A$2;$A33})=0,,DSUM(TERCEIROS!$B$11:$AW$207,S$2,{$A$2;$A33}))</f>
        <v/>
      </c>
      <c r="T33" s="290" t="str">
        <f t="array" ref="T33">IF(DSUM(TERCEIROS!$B$11:$AW$207,T$2,{$A$2;$A33})=0,,DSUM(TERCEIROS!$B$11:$AW$207,T$2,{$A$2;$A33}))</f>
        <v/>
      </c>
      <c r="U33" s="290" t="str">
        <f t="array" ref="U33">IF(DSUM(TERCEIROS!$B$11:$AW$207,U$2,{$A$2;$A33})=0,,DSUM(TERCEIROS!$B$11:$AW$207,U$2,{$A$2;$A33}))</f>
        <v/>
      </c>
      <c r="V33" s="290" t="str">
        <f t="array" ref="V33">IF(DSUM(TERCEIROS!$B$11:$AW$207,V$2,{$A$2;$A33})=0,,DSUM(TERCEIROS!$B$11:$AW$207,V$2,{$A$2;$A33}))</f>
        <v/>
      </c>
      <c r="W33" s="290" t="str">
        <f t="array" ref="W33">IF(DSUM(TERCEIROS!$B$11:$AW$207,W$2,{$A$2;$A33})=0,,DSUM(TERCEIROS!$B$11:$AW$207,W$2,{$A$2;$A33}))</f>
        <v/>
      </c>
      <c r="X33" s="290" t="str">
        <f t="array" ref="X33">IF(DSUM(TERCEIROS!$B$11:$AW$207,X$2,{$A$2;$A33})=0,,DSUM(TERCEIROS!$B$11:$AW$207,X$2,{$A$2;$A33}))</f>
        <v/>
      </c>
      <c r="Y33" s="290" t="str">
        <f t="array" ref="Y33">IF(DSUM(TERCEIROS!$B$11:$AW$207,Y$2,{$A$2;$A33})=0,,DSUM(TERCEIROS!$B$11:$AW$207,Y$2,{$A$2;$A33}))</f>
        <v/>
      </c>
      <c r="Z33" s="290" t="str">
        <f t="array" ref="Z33">IF(DSUM(TERCEIROS!$B$11:$AW$207,Z$2,{$A$2;$A33})=0,,DSUM(TERCEIROS!$B$11:$AW$207,Z$2,{$A$2;$A33}))</f>
        <v/>
      </c>
      <c r="AA33" s="290" t="str">
        <f t="array" ref="AA33">IF(DSUM(TERCEIROS!$B$11:$AW$207,AA$2,{$A$2;$A33})=0,,DSUM(TERCEIROS!$B$11:$AW$207,AA$2,{$A$2;$A33}))</f>
        <v/>
      </c>
      <c r="AB33" s="290" t="str">
        <f t="array" ref="AB33">IF(DSUM(TERCEIROS!$B$11:$AW$207,AB$2,{$A$2;$A33})=0,,DSUM(TERCEIROS!$B$11:$AW$207,AB$2,{$A$2;$A33}))</f>
        <v/>
      </c>
      <c r="AC33" s="290" t="str">
        <f t="array" ref="AC33">IF(DSUM(TERCEIROS!$B$11:$AW$207,AC$2,{$A$2;$A33})=0,,DSUM(TERCEIROS!$B$11:$AW$207,AC$2,{$A$2;$A33}))</f>
        <v/>
      </c>
      <c r="AD33" s="290" t="str">
        <f t="array" ref="AD33">IF(DSUM(TERCEIROS!$B$11:$AW$207,AD$2,{$A$2;$A33})=0,,DSUM(TERCEIROS!$B$11:$AW$207,AD$2,{$A$2;$A33}))</f>
        <v/>
      </c>
      <c r="AE33" s="290" t="str">
        <f t="array" ref="AE33">IF(DSUM(TERCEIROS!$B$11:$AW$207,AE$2,{$A$2;$A33})=0,,DSUM(TERCEIROS!$B$11:$AW$207,AE$2,{$A$2;$A33}))</f>
        <v/>
      </c>
      <c r="AF33" s="290" t="str">
        <f t="array" ref="AF33">IF(DSUM(TERCEIROS!$B$11:$AW$207,AF$2,{$A$2;$A33})=0,,DSUM(TERCEIROS!$B$11:$AW$207,AF$2,{$A$2;$A33}))</f>
        <v/>
      </c>
      <c r="AG33" s="290" t="str">
        <f t="array" ref="AG33">IF(DSUM(TERCEIROS!$B$11:$AW$207,AG$2,{$A$2;$A33})=0,,DSUM(TERCEIROS!$B$11:$AW$207,AG$2,{$A$2;$A33}))</f>
        <v/>
      </c>
      <c r="AH33" s="290" t="str">
        <f t="array" ref="AH33">IF(DSUM(TERCEIROS!$B$11:$AW$207,AH$2,{$A$2;$A33})=0,,DSUM(TERCEIROS!$B$11:$AW$207,AH$2,{$A$2;$A33}))</f>
        <v/>
      </c>
      <c r="AI33" s="290" t="str">
        <f t="array" ref="AI33">IF(DSUM(TERCEIROS!$B$11:$AW$207,AI$2,{$A$2;$A33})=0,,DSUM(TERCEIROS!$B$11:$AW$207,AI$2,{$A$2;$A33}))</f>
        <v/>
      </c>
      <c r="AJ33" s="290" t="str">
        <f t="array" ref="AJ33">IF(DSUM(TERCEIROS!$B$11:$AW$207,AJ$2,{$A$2;$A33})=0,,DSUM(TERCEIROS!$B$11:$AW$207,AJ$2,{$A$2;$A33}))</f>
        <v/>
      </c>
      <c r="AK33" s="290" t="str">
        <f t="array" ref="AK33">IF(DSUM(TERCEIROS!$B$11:$AW$207,AK$2,{$A$2;$A33})=0,,DSUM(TERCEIROS!$B$11:$AW$207,AK$2,{$A$2;$A33}))</f>
        <v/>
      </c>
      <c r="AL33" s="290" t="str">
        <f t="array" ref="AL33">IF(DSUM(TERCEIROS!$B$11:$AW$207,AL$2,{$A$2;$A33})=0,,DSUM(TERCEIROS!$B$11:$AW$207,AL$2,{$A$2;$A33}))</f>
        <v/>
      </c>
    </row>
    <row r="34">
      <c r="A34" s="291" t="s">
        <v>1654</v>
      </c>
      <c r="B34" s="292"/>
      <c r="C34" s="291" t="str">
        <f>VLOOKUP(A34,TERCEIROS!$D$12:$E$135,2,false)</f>
        <v>09.241.991/0001-79</v>
      </c>
      <c r="D34" s="293" t="str">
        <f>VLOOKUP(A34,TERCEIROS!$D$12:$I$135,6,false)</f>
        <v>Aluguel de espaço em câmara climática, para estudo acelerado das dietas retort HH, HN e HNcF V04 e V05 + sachê a vácuo</v>
      </c>
      <c r="E34" s="294">
        <f t="array" ref="E34">IF(DSUM(TERCEIROS!$B$11:$AW$207,E$2,{$A$2;$A34})=0,,DSUM(TERCEIROS!$B$11:$AW$207,E$2,{$A$2;$A34}))</f>
        <v>820</v>
      </c>
      <c r="F34" s="294" t="str">
        <f t="array" ref="F34">IF(DSUM(TERCEIROS!$B$11:$AW$207,F$2,{$A$2;$A34})=0,,DSUM(TERCEIROS!$B$11:$AW$207,F$2,{$A$2;$A34}))</f>
        <v/>
      </c>
      <c r="G34" s="294" t="str">
        <f t="array" ref="G34">IF(DSUM(TERCEIROS!$B$11:$AW$207,G$2,{$A$2;$A34})=0,,DSUM(TERCEIROS!$B$11:$AW$207,G$2,{$A$2;$A34}))</f>
        <v/>
      </c>
      <c r="H34" s="294" t="str">
        <f t="array" ref="H34">IF(DSUM(TERCEIROS!$B$11:$AW$207,H$2,{$A$2;$A34})=0,,DSUM(TERCEIROS!$B$11:$AW$207,H$2,{$A$2;$A34}))</f>
        <v/>
      </c>
      <c r="I34" s="294" t="str">
        <f t="array" ref="I34">IF(DSUM(TERCEIROS!$B$11:$AW$207,I$2,{$A$2;$A34})=0,,DSUM(TERCEIROS!$B$11:$AW$207,I$2,{$A$2;$A34}))</f>
        <v/>
      </c>
      <c r="J34" s="294" t="str">
        <f t="array" ref="J34">IF(DSUM(TERCEIROS!$B$11:$AW$207,J$2,{$A$2;$A34})=0,,DSUM(TERCEIROS!$B$11:$AW$207,J$2,{$A$2;$A34}))</f>
        <v/>
      </c>
      <c r="K34" s="294" t="str">
        <f t="array" ref="K34">IF(DSUM(TERCEIROS!$B$11:$AW$207,K$2,{$A$2;$A34})=0,,DSUM(TERCEIROS!$B$11:$AW$207,K$2,{$A$2;$A34}))</f>
        <v/>
      </c>
      <c r="L34" s="294" t="str">
        <f t="array" ref="L34">IF(DSUM(TERCEIROS!$B$11:$AW$207,L$2,{$A$2;$A34})=0,,DSUM(TERCEIROS!$B$11:$AW$207,L$2,{$A$2;$A34}))</f>
        <v/>
      </c>
      <c r="M34" s="294" t="str">
        <f t="array" ref="M34">IF(DSUM(TERCEIROS!$B$11:$AW$207,M$2,{$A$2;$A34})=0,,DSUM(TERCEIROS!$B$11:$AW$207,M$2,{$A$2;$A34}))</f>
        <v/>
      </c>
      <c r="N34" s="294" t="str">
        <f t="array" ref="N34">IF(DSUM(TERCEIROS!$B$11:$AW$207,N$2,{$A$2;$A34})=0,,DSUM(TERCEIROS!$B$11:$AW$207,N$2,{$A$2;$A34}))</f>
        <v/>
      </c>
      <c r="O34" s="294" t="str">
        <f t="array" ref="O34">IF(DSUM(TERCEIROS!$B$11:$AW$207,O$2,{$A$2;$A34})=0,,DSUM(TERCEIROS!$B$11:$AW$207,O$2,{$A$2;$A34}))</f>
        <v/>
      </c>
      <c r="P34" s="294" t="str">
        <f t="array" ref="P34">IF(DSUM(TERCEIROS!$B$11:$AW$207,P$2,{$A$2;$A34})=0,,DSUM(TERCEIROS!$B$11:$AW$207,P$2,{$A$2;$A34}))</f>
        <v/>
      </c>
      <c r="Q34" s="294" t="str">
        <f t="array" ref="Q34">IF(DSUM(TERCEIROS!$B$11:$AW$207,Q$2,{$A$2;$A34})=0,,DSUM(TERCEIROS!$B$11:$AW$207,Q$2,{$A$2;$A34}))</f>
        <v/>
      </c>
      <c r="R34" s="294" t="str">
        <f t="array" ref="R34">IF(DSUM(TERCEIROS!$B$11:$AW$207,R$2,{$A$2;$A34})=0,,DSUM(TERCEIROS!$B$11:$AW$207,R$2,{$A$2;$A34}))</f>
        <v/>
      </c>
      <c r="S34" s="294" t="str">
        <f t="array" ref="S34">IF(DSUM(TERCEIROS!$B$11:$AW$207,S$2,{$A$2;$A34})=0,,DSUM(TERCEIROS!$B$11:$AW$207,S$2,{$A$2;$A34}))</f>
        <v/>
      </c>
      <c r="T34" s="294" t="str">
        <f t="array" ref="T34">IF(DSUM(TERCEIROS!$B$11:$AW$207,T$2,{$A$2;$A34})=0,,DSUM(TERCEIROS!$B$11:$AW$207,T$2,{$A$2;$A34}))</f>
        <v/>
      </c>
      <c r="U34" s="294" t="str">
        <f t="array" ref="U34">IF(DSUM(TERCEIROS!$B$11:$AW$207,U$2,{$A$2;$A34})=0,,DSUM(TERCEIROS!$B$11:$AW$207,U$2,{$A$2;$A34}))</f>
        <v/>
      </c>
      <c r="V34" s="294" t="str">
        <f t="array" ref="V34">IF(DSUM(TERCEIROS!$B$11:$AW$207,V$2,{$A$2;$A34})=0,,DSUM(TERCEIROS!$B$11:$AW$207,V$2,{$A$2;$A34}))</f>
        <v/>
      </c>
      <c r="W34" s="294" t="str">
        <f t="array" ref="W34">IF(DSUM(TERCEIROS!$B$11:$AW$207,W$2,{$A$2;$A34})=0,,DSUM(TERCEIROS!$B$11:$AW$207,W$2,{$A$2;$A34}))</f>
        <v/>
      </c>
      <c r="X34" s="294" t="str">
        <f t="array" ref="X34">IF(DSUM(TERCEIROS!$B$11:$AW$207,X$2,{$A$2;$A34})=0,,DSUM(TERCEIROS!$B$11:$AW$207,X$2,{$A$2;$A34}))</f>
        <v/>
      </c>
      <c r="Y34" s="294" t="str">
        <f t="array" ref="Y34">IF(DSUM(TERCEIROS!$B$11:$AW$207,Y$2,{$A$2;$A34})=0,,DSUM(TERCEIROS!$B$11:$AW$207,Y$2,{$A$2;$A34}))</f>
        <v/>
      </c>
      <c r="Z34" s="294" t="str">
        <f t="array" ref="Z34">IF(DSUM(TERCEIROS!$B$11:$AW$207,Z$2,{$A$2;$A34})=0,,DSUM(TERCEIROS!$B$11:$AW$207,Z$2,{$A$2;$A34}))</f>
        <v/>
      </c>
      <c r="AA34" s="294" t="str">
        <f t="array" ref="AA34">IF(DSUM(TERCEIROS!$B$11:$AW$207,AA$2,{$A$2;$A34})=0,,DSUM(TERCEIROS!$B$11:$AW$207,AA$2,{$A$2;$A34}))</f>
        <v/>
      </c>
      <c r="AB34" s="294" t="str">
        <f t="array" ref="AB34">IF(DSUM(TERCEIROS!$B$11:$AW$207,AB$2,{$A$2;$A34})=0,,DSUM(TERCEIROS!$B$11:$AW$207,AB$2,{$A$2;$A34}))</f>
        <v/>
      </c>
      <c r="AC34" s="294" t="str">
        <f t="array" ref="AC34">IF(DSUM(TERCEIROS!$B$11:$AW$207,AC$2,{$A$2;$A34})=0,,DSUM(TERCEIROS!$B$11:$AW$207,AC$2,{$A$2;$A34}))</f>
        <v/>
      </c>
      <c r="AD34" s="294" t="str">
        <f t="array" ref="AD34">IF(DSUM(TERCEIROS!$B$11:$AW$207,AD$2,{$A$2;$A34})=0,,DSUM(TERCEIROS!$B$11:$AW$207,AD$2,{$A$2;$A34}))</f>
        <v/>
      </c>
      <c r="AE34" s="294" t="str">
        <f t="array" ref="AE34">IF(DSUM(TERCEIROS!$B$11:$AW$207,AE$2,{$A$2;$A34})=0,,DSUM(TERCEIROS!$B$11:$AW$207,AE$2,{$A$2;$A34}))</f>
        <v/>
      </c>
      <c r="AF34" s="294" t="str">
        <f t="array" ref="AF34">IF(DSUM(TERCEIROS!$B$11:$AW$207,AF$2,{$A$2;$A34})=0,,DSUM(TERCEIROS!$B$11:$AW$207,AF$2,{$A$2;$A34}))</f>
        <v/>
      </c>
      <c r="AG34" s="294" t="str">
        <f t="array" ref="AG34">IF(DSUM(TERCEIROS!$B$11:$AW$207,AG$2,{$A$2;$A34})=0,,DSUM(TERCEIROS!$B$11:$AW$207,AG$2,{$A$2;$A34}))</f>
        <v/>
      </c>
      <c r="AH34" s="294" t="str">
        <f t="array" ref="AH34">IF(DSUM(TERCEIROS!$B$11:$AW$207,AH$2,{$A$2;$A34})=0,,DSUM(TERCEIROS!$B$11:$AW$207,AH$2,{$A$2;$A34}))</f>
        <v/>
      </c>
      <c r="AI34" s="294" t="str">
        <f t="array" ref="AI34">IF(DSUM(TERCEIROS!$B$11:$AW$207,AI$2,{$A$2;$A34})=0,,DSUM(TERCEIROS!$B$11:$AW$207,AI$2,{$A$2;$A34}))</f>
        <v/>
      </c>
      <c r="AJ34" s="294" t="str">
        <f t="array" ref="AJ34">IF(DSUM(TERCEIROS!$B$11:$AW$207,AJ$2,{$A$2;$A34})=0,,DSUM(TERCEIROS!$B$11:$AW$207,AJ$2,{$A$2;$A34}))</f>
        <v/>
      </c>
      <c r="AK34" s="294" t="str">
        <f t="array" ref="AK34">IF(DSUM(TERCEIROS!$B$11:$AW$207,AK$2,{$A$2;$A34})=0,,DSUM(TERCEIROS!$B$11:$AW$207,AK$2,{$A$2;$A34}))</f>
        <v/>
      </c>
      <c r="AL34" s="294" t="str">
        <f t="array" ref="AL34">IF(DSUM(TERCEIROS!$B$11:$AW$207,AL$2,{$A$2;$A34})=0,,DSUM(TERCEIROS!$B$11:$AW$207,AL$2,{$A$2;$A34}))</f>
        <v/>
      </c>
    </row>
    <row r="35">
      <c r="A35" s="287"/>
      <c r="B35" s="288"/>
      <c r="C35" s="287" t="str">
        <f>VLOOKUP(A35,TERCEIROS!$D$12:$E$135,2,false)</f>
        <v>#N/A</v>
      </c>
      <c r="D35" s="289" t="str">
        <f>VLOOKUP(A35,TERCEIROS!$D$12:$I$135,6,false)</f>
        <v>#N/A</v>
      </c>
      <c r="E35" s="290">
        <f t="array" ref="E35">IF(DSUM(TERCEIROS!$B$11:$AW$207,E$2,{$A$2;$A35})=0,,DSUM(TERCEIROS!$B$11:$AW$207,E$2,{$A$2;$A35}))</f>
        <v>196831.425</v>
      </c>
      <c r="F35" s="290" t="str">
        <f t="array" ref="F35">IF(DSUM(TERCEIROS!$B$11:$AW$207,F$2,{$A$2;$A35})=0,,DSUM(TERCEIROS!$B$11:$AW$207,F$2,{$A$2;$A35}))</f>
        <v/>
      </c>
      <c r="G35" s="290" t="str">
        <f t="array" ref="G35">IF(DSUM(TERCEIROS!$B$11:$AW$207,G$2,{$A$2;$A35})=0,,DSUM(TERCEIROS!$B$11:$AW$207,G$2,{$A$2;$A35}))</f>
        <v/>
      </c>
      <c r="H35" s="290" t="str">
        <f t="array" ref="H35">IF(DSUM(TERCEIROS!$B$11:$AW$207,H$2,{$A$2;$A35})=0,,DSUM(TERCEIROS!$B$11:$AW$207,H$2,{$A$2;$A35}))</f>
        <v/>
      </c>
      <c r="I35" s="290">
        <f t="array" ref="I35">IF(DSUM(TERCEIROS!$B$11:$AW$207,I$2,{$A$2;$A35})=0,,DSUM(TERCEIROS!$B$11:$AW$207,I$2,{$A$2;$A35}))</f>
        <v>18843.485</v>
      </c>
      <c r="J35" s="290" t="str">
        <f t="array" ref="J35">IF(DSUM(TERCEIROS!$B$11:$AW$207,J$2,{$A$2;$A35})=0,,DSUM(TERCEIROS!$B$11:$AW$207,J$2,{$A$2;$A35}))</f>
        <v/>
      </c>
      <c r="K35" s="290">
        <f t="array" ref="K35">IF(DSUM(TERCEIROS!$B$11:$AW$207,K$2,{$A$2;$A35})=0,,DSUM(TERCEIROS!$B$11:$AW$207,K$2,{$A$2;$A35}))</f>
        <v>14802.65</v>
      </c>
      <c r="L35" s="290">
        <f t="array" ref="L35">IF(DSUM(TERCEIROS!$B$11:$AW$207,L$2,{$A$2;$A35})=0,,DSUM(TERCEIROS!$B$11:$AW$207,L$2,{$A$2;$A35}))</f>
        <v>1914.23</v>
      </c>
      <c r="M35" s="290" t="str">
        <f t="array" ref="M35">IF(DSUM(TERCEIROS!$B$11:$AW$207,M$2,{$A$2;$A35})=0,,DSUM(TERCEIROS!$B$11:$AW$207,M$2,{$A$2;$A35}))</f>
        <v/>
      </c>
      <c r="N35" s="290">
        <f t="array" ref="N35">IF(DSUM(TERCEIROS!$B$11:$AW$207,N$2,{$A$2;$A35})=0,,DSUM(TERCEIROS!$B$11:$AW$207,N$2,{$A$2;$A35}))</f>
        <v>84801.625</v>
      </c>
      <c r="O35" s="290">
        <f t="array" ref="O35">IF(DSUM(TERCEIROS!$B$11:$AW$207,O$2,{$A$2;$A35})=0,,DSUM(TERCEIROS!$B$11:$AW$207,O$2,{$A$2;$A35}))</f>
        <v>7379.13</v>
      </c>
      <c r="P35" s="290" t="str">
        <f t="array" ref="P35">IF(DSUM(TERCEIROS!$B$11:$AW$207,P$2,{$A$2;$A35})=0,,DSUM(TERCEIROS!$B$11:$AW$207,P$2,{$A$2;$A35}))</f>
        <v/>
      </c>
      <c r="Q35" s="290" t="str">
        <f t="array" ref="Q35">IF(DSUM(TERCEIROS!$B$11:$AW$207,Q$2,{$A$2;$A35})=0,,DSUM(TERCEIROS!$B$11:$AW$207,Q$2,{$A$2;$A35}))</f>
        <v/>
      </c>
      <c r="R35" s="290" t="str">
        <f t="array" ref="R35">IF(DSUM(TERCEIROS!$B$11:$AW$207,R$2,{$A$2;$A35})=0,,DSUM(TERCEIROS!$B$11:$AW$207,R$2,{$A$2;$A35}))</f>
        <v/>
      </c>
      <c r="S35" s="290">
        <f t="array" ref="S35">IF(DSUM(TERCEIROS!$B$11:$AW$207,S$2,{$A$2;$A35})=0,,DSUM(TERCEIROS!$B$11:$AW$207,S$2,{$A$2;$A35}))</f>
        <v>817.13</v>
      </c>
      <c r="T35" s="290">
        <f t="array" ref="T35">IF(DSUM(TERCEIROS!$B$11:$AW$207,T$2,{$A$2;$A35})=0,,DSUM(TERCEIROS!$B$11:$AW$207,T$2,{$A$2;$A35}))</f>
        <v>730</v>
      </c>
      <c r="U35" s="290">
        <f t="array" ref="U35">IF(DSUM(TERCEIROS!$B$11:$AW$207,U$2,{$A$2;$A35})=0,,DSUM(TERCEIROS!$B$11:$AW$207,U$2,{$A$2;$A35}))</f>
        <v>7380</v>
      </c>
      <c r="V35" s="290">
        <f t="array" ref="V35">IF(DSUM(TERCEIROS!$B$11:$AW$207,V$2,{$A$2;$A35})=0,,DSUM(TERCEIROS!$B$11:$AW$207,V$2,{$A$2;$A35}))</f>
        <v>1523</v>
      </c>
      <c r="W35" s="290" t="str">
        <f t="array" ref="W35">IF(DSUM(TERCEIROS!$B$11:$AW$207,W$2,{$A$2;$A35})=0,,DSUM(TERCEIROS!$B$11:$AW$207,W$2,{$A$2;$A35}))</f>
        <v/>
      </c>
      <c r="X35" s="290" t="str">
        <f t="array" ref="X35">IF(DSUM(TERCEIROS!$B$11:$AW$207,X$2,{$A$2;$A35})=0,,DSUM(TERCEIROS!$B$11:$AW$207,X$2,{$A$2;$A35}))</f>
        <v/>
      </c>
      <c r="Y35" s="290" t="str">
        <f t="array" ref="Y35">IF(DSUM(TERCEIROS!$B$11:$AW$207,Y$2,{$A$2;$A35})=0,,DSUM(TERCEIROS!$B$11:$AW$207,Y$2,{$A$2;$A35}))</f>
        <v/>
      </c>
      <c r="Z35" s="290" t="str">
        <f t="array" ref="Z35">IF(DSUM(TERCEIROS!$B$11:$AW$207,Z$2,{$A$2;$A35})=0,,DSUM(TERCEIROS!$B$11:$AW$207,Z$2,{$A$2;$A35}))</f>
        <v/>
      </c>
      <c r="AA35" s="290" t="str">
        <f t="array" ref="AA35">IF(DSUM(TERCEIROS!$B$11:$AW$207,AA$2,{$A$2;$A35})=0,,DSUM(TERCEIROS!$B$11:$AW$207,AA$2,{$A$2;$A35}))</f>
        <v/>
      </c>
      <c r="AB35" s="290" t="str">
        <f t="array" ref="AB35">IF(DSUM(TERCEIROS!$B$11:$AW$207,AB$2,{$A$2;$A35})=0,,DSUM(TERCEIROS!$B$11:$AW$207,AB$2,{$A$2;$A35}))</f>
        <v/>
      </c>
      <c r="AC35" s="290">
        <f t="array" ref="AC35">IF(DSUM(TERCEIROS!$B$11:$AW$207,AC$2,{$A$2;$A35})=0,,DSUM(TERCEIROS!$B$11:$AW$207,AC$2,{$A$2;$A35}))</f>
        <v>17286.16</v>
      </c>
      <c r="AD35" s="290" t="str">
        <f t="array" ref="AD35">IF(DSUM(TERCEIROS!$B$11:$AW$207,AD$2,{$A$2;$A35})=0,,DSUM(TERCEIROS!$B$11:$AW$207,AD$2,{$A$2;$A35}))</f>
        <v/>
      </c>
      <c r="AE35" s="290" t="str">
        <f t="array" ref="AE35">IF(DSUM(TERCEIROS!$B$11:$AW$207,AE$2,{$A$2;$A35})=0,,DSUM(TERCEIROS!$B$11:$AW$207,AE$2,{$A$2;$A35}))</f>
        <v/>
      </c>
      <c r="AF35" s="290" t="str">
        <f t="array" ref="AF35">IF(DSUM(TERCEIROS!$B$11:$AW$207,AF$2,{$A$2;$A35})=0,,DSUM(TERCEIROS!$B$11:$AW$207,AF$2,{$A$2;$A35}))</f>
        <v/>
      </c>
      <c r="AG35" s="290" t="str">
        <f t="array" ref="AG35">IF(DSUM(TERCEIROS!$B$11:$AW$207,AG$2,{$A$2;$A35})=0,,DSUM(TERCEIROS!$B$11:$AW$207,AG$2,{$A$2;$A35}))</f>
        <v/>
      </c>
      <c r="AH35" s="290" t="str">
        <f t="array" ref="AH35">IF(DSUM(TERCEIROS!$B$11:$AW$207,AH$2,{$A$2;$A35})=0,,DSUM(TERCEIROS!$B$11:$AW$207,AH$2,{$A$2;$A35}))</f>
        <v/>
      </c>
      <c r="AI35" s="290" t="str">
        <f t="array" ref="AI35">IF(DSUM(TERCEIROS!$B$11:$AW$207,AI$2,{$A$2;$A35})=0,,DSUM(TERCEIROS!$B$11:$AW$207,AI$2,{$A$2;$A35}))</f>
        <v/>
      </c>
      <c r="AJ35" s="290">
        <f t="array" ref="AJ35">IF(DSUM(TERCEIROS!$B$11:$AW$207,AJ$2,{$A$2;$A35})=0,,DSUM(TERCEIROS!$B$11:$AW$207,AJ$2,{$A$2;$A35}))</f>
        <v>13018</v>
      </c>
      <c r="AK35" s="290" t="str">
        <f t="array" ref="AK35">IF(DSUM(TERCEIROS!$B$11:$AW$207,AK$2,{$A$2;$A35})=0,,DSUM(TERCEIROS!$B$11:$AW$207,AK$2,{$A$2;$A35}))</f>
        <v/>
      </c>
      <c r="AL35" s="290">
        <f t="array" ref="AL35">IF(DSUM(TERCEIROS!$B$11:$AW$207,AL$2,{$A$2;$A35})=0,,DSUM(TERCEIROS!$B$11:$AW$207,AL$2,{$A$2;$A35}))</f>
        <v>1321.38</v>
      </c>
    </row>
    <row r="36">
      <c r="A36" s="291"/>
      <c r="B36" s="292"/>
      <c r="C36" s="291" t="str">
        <f>VLOOKUP(A36,TERCEIROS!$D$12:$E$135,2,false)</f>
        <v>#N/A</v>
      </c>
      <c r="D36" s="293" t="str">
        <f>VLOOKUP(A36,TERCEIROS!$D$12:$I$135,6,false)</f>
        <v>#N/A</v>
      </c>
      <c r="E36" s="294">
        <f t="array" ref="E36">IF(DSUM(TERCEIROS!$B$11:$AW$207,E$2,{$A$2;$A36})=0,,DSUM(TERCEIROS!$B$11:$AW$207,E$2,{$A$2;$A36}))</f>
        <v>196831.425</v>
      </c>
      <c r="F36" s="294" t="str">
        <f t="array" ref="F36">IF(DSUM(TERCEIROS!$B$11:$AW$207,F$2,{$A$2;$A36})=0,,DSUM(TERCEIROS!$B$11:$AW$207,F$2,{$A$2;$A36}))</f>
        <v/>
      </c>
      <c r="G36" s="294" t="str">
        <f t="array" ref="G36">IF(DSUM(TERCEIROS!$B$11:$AW$207,G$2,{$A$2;$A36})=0,,DSUM(TERCEIROS!$B$11:$AW$207,G$2,{$A$2;$A36}))</f>
        <v/>
      </c>
      <c r="H36" s="294" t="str">
        <f t="array" ref="H36">IF(DSUM(TERCEIROS!$B$11:$AW$207,H$2,{$A$2;$A36})=0,,DSUM(TERCEIROS!$B$11:$AW$207,H$2,{$A$2;$A36}))</f>
        <v/>
      </c>
      <c r="I36" s="294">
        <f t="array" ref="I36">IF(DSUM(TERCEIROS!$B$11:$AW$207,I$2,{$A$2;$A36})=0,,DSUM(TERCEIROS!$B$11:$AW$207,I$2,{$A$2;$A36}))</f>
        <v>18843.485</v>
      </c>
      <c r="J36" s="294" t="str">
        <f t="array" ref="J36">IF(DSUM(TERCEIROS!$B$11:$AW$207,J$2,{$A$2;$A36})=0,,DSUM(TERCEIROS!$B$11:$AW$207,J$2,{$A$2;$A36}))</f>
        <v/>
      </c>
      <c r="K36" s="294">
        <f t="array" ref="K36">IF(DSUM(TERCEIROS!$B$11:$AW$207,K$2,{$A$2;$A36})=0,,DSUM(TERCEIROS!$B$11:$AW$207,K$2,{$A$2;$A36}))</f>
        <v>14802.65</v>
      </c>
      <c r="L36" s="294">
        <f t="array" ref="L36">IF(DSUM(TERCEIROS!$B$11:$AW$207,L$2,{$A$2;$A36})=0,,DSUM(TERCEIROS!$B$11:$AW$207,L$2,{$A$2;$A36}))</f>
        <v>1914.23</v>
      </c>
      <c r="M36" s="294" t="str">
        <f t="array" ref="M36">IF(DSUM(TERCEIROS!$B$11:$AW$207,M$2,{$A$2;$A36})=0,,DSUM(TERCEIROS!$B$11:$AW$207,M$2,{$A$2;$A36}))</f>
        <v/>
      </c>
      <c r="N36" s="294">
        <f t="array" ref="N36">IF(DSUM(TERCEIROS!$B$11:$AW$207,N$2,{$A$2;$A36})=0,,DSUM(TERCEIROS!$B$11:$AW$207,N$2,{$A$2;$A36}))</f>
        <v>84801.625</v>
      </c>
      <c r="O36" s="294">
        <f t="array" ref="O36">IF(DSUM(TERCEIROS!$B$11:$AW$207,O$2,{$A$2;$A36})=0,,DSUM(TERCEIROS!$B$11:$AW$207,O$2,{$A$2;$A36}))</f>
        <v>7379.13</v>
      </c>
      <c r="P36" s="294" t="str">
        <f t="array" ref="P36">IF(DSUM(TERCEIROS!$B$11:$AW$207,P$2,{$A$2;$A36})=0,,DSUM(TERCEIROS!$B$11:$AW$207,P$2,{$A$2;$A36}))</f>
        <v/>
      </c>
      <c r="Q36" s="294" t="str">
        <f t="array" ref="Q36">IF(DSUM(TERCEIROS!$B$11:$AW$207,Q$2,{$A$2;$A36})=0,,DSUM(TERCEIROS!$B$11:$AW$207,Q$2,{$A$2;$A36}))</f>
        <v/>
      </c>
      <c r="R36" s="294" t="str">
        <f t="array" ref="R36">IF(DSUM(TERCEIROS!$B$11:$AW$207,R$2,{$A$2;$A36})=0,,DSUM(TERCEIROS!$B$11:$AW$207,R$2,{$A$2;$A36}))</f>
        <v/>
      </c>
      <c r="S36" s="294">
        <f t="array" ref="S36">IF(DSUM(TERCEIROS!$B$11:$AW$207,S$2,{$A$2;$A36})=0,,DSUM(TERCEIROS!$B$11:$AW$207,S$2,{$A$2;$A36}))</f>
        <v>817.13</v>
      </c>
      <c r="T36" s="294">
        <f t="array" ref="T36">IF(DSUM(TERCEIROS!$B$11:$AW$207,T$2,{$A$2;$A36})=0,,DSUM(TERCEIROS!$B$11:$AW$207,T$2,{$A$2;$A36}))</f>
        <v>730</v>
      </c>
      <c r="U36" s="294">
        <f t="array" ref="U36">IF(DSUM(TERCEIROS!$B$11:$AW$207,U$2,{$A$2;$A36})=0,,DSUM(TERCEIROS!$B$11:$AW$207,U$2,{$A$2;$A36}))</f>
        <v>7380</v>
      </c>
      <c r="V36" s="294">
        <f t="array" ref="V36">IF(DSUM(TERCEIROS!$B$11:$AW$207,V$2,{$A$2;$A36})=0,,DSUM(TERCEIROS!$B$11:$AW$207,V$2,{$A$2;$A36}))</f>
        <v>1523</v>
      </c>
      <c r="W36" s="294" t="str">
        <f t="array" ref="W36">IF(DSUM(TERCEIROS!$B$11:$AW$207,W$2,{$A$2;$A36})=0,,DSUM(TERCEIROS!$B$11:$AW$207,W$2,{$A$2;$A36}))</f>
        <v/>
      </c>
      <c r="X36" s="294" t="str">
        <f t="array" ref="X36">IF(DSUM(TERCEIROS!$B$11:$AW$207,X$2,{$A$2;$A36})=0,,DSUM(TERCEIROS!$B$11:$AW$207,X$2,{$A$2;$A36}))</f>
        <v/>
      </c>
      <c r="Y36" s="294" t="str">
        <f t="array" ref="Y36">IF(DSUM(TERCEIROS!$B$11:$AW$207,Y$2,{$A$2;$A36})=0,,DSUM(TERCEIROS!$B$11:$AW$207,Y$2,{$A$2;$A36}))</f>
        <v/>
      </c>
      <c r="Z36" s="294" t="str">
        <f t="array" ref="Z36">IF(DSUM(TERCEIROS!$B$11:$AW$207,Z$2,{$A$2;$A36})=0,,DSUM(TERCEIROS!$B$11:$AW$207,Z$2,{$A$2;$A36}))</f>
        <v/>
      </c>
      <c r="AA36" s="294" t="str">
        <f t="array" ref="AA36">IF(DSUM(TERCEIROS!$B$11:$AW$207,AA$2,{$A$2;$A36})=0,,DSUM(TERCEIROS!$B$11:$AW$207,AA$2,{$A$2;$A36}))</f>
        <v/>
      </c>
      <c r="AB36" s="294" t="str">
        <f t="array" ref="AB36">IF(DSUM(TERCEIROS!$B$11:$AW$207,AB$2,{$A$2;$A36})=0,,DSUM(TERCEIROS!$B$11:$AW$207,AB$2,{$A$2;$A36}))</f>
        <v/>
      </c>
      <c r="AC36" s="294">
        <f t="array" ref="AC36">IF(DSUM(TERCEIROS!$B$11:$AW$207,AC$2,{$A$2;$A36})=0,,DSUM(TERCEIROS!$B$11:$AW$207,AC$2,{$A$2;$A36}))</f>
        <v>17286.16</v>
      </c>
      <c r="AD36" s="294" t="str">
        <f t="array" ref="AD36">IF(DSUM(TERCEIROS!$B$11:$AW$207,AD$2,{$A$2;$A36})=0,,DSUM(TERCEIROS!$B$11:$AW$207,AD$2,{$A$2;$A36}))</f>
        <v/>
      </c>
      <c r="AE36" s="294" t="str">
        <f t="array" ref="AE36">IF(DSUM(TERCEIROS!$B$11:$AW$207,AE$2,{$A$2;$A36})=0,,DSUM(TERCEIROS!$B$11:$AW$207,AE$2,{$A$2;$A36}))</f>
        <v/>
      </c>
      <c r="AF36" s="294" t="str">
        <f t="array" ref="AF36">IF(DSUM(TERCEIROS!$B$11:$AW$207,AF$2,{$A$2;$A36})=0,,DSUM(TERCEIROS!$B$11:$AW$207,AF$2,{$A$2;$A36}))</f>
        <v/>
      </c>
      <c r="AG36" s="294" t="str">
        <f t="array" ref="AG36">IF(DSUM(TERCEIROS!$B$11:$AW$207,AG$2,{$A$2;$A36})=0,,DSUM(TERCEIROS!$B$11:$AW$207,AG$2,{$A$2;$A36}))</f>
        <v/>
      </c>
      <c r="AH36" s="294" t="str">
        <f t="array" ref="AH36">IF(DSUM(TERCEIROS!$B$11:$AW$207,AH$2,{$A$2;$A36})=0,,DSUM(TERCEIROS!$B$11:$AW$207,AH$2,{$A$2;$A36}))</f>
        <v/>
      </c>
      <c r="AI36" s="294" t="str">
        <f t="array" ref="AI36">IF(DSUM(TERCEIROS!$B$11:$AW$207,AI$2,{$A$2;$A36})=0,,DSUM(TERCEIROS!$B$11:$AW$207,AI$2,{$A$2;$A36}))</f>
        <v/>
      </c>
      <c r="AJ36" s="294">
        <f t="array" ref="AJ36">IF(DSUM(TERCEIROS!$B$11:$AW$207,AJ$2,{$A$2;$A36})=0,,DSUM(TERCEIROS!$B$11:$AW$207,AJ$2,{$A$2;$A36}))</f>
        <v>13018</v>
      </c>
      <c r="AK36" s="294" t="str">
        <f t="array" ref="AK36">IF(DSUM(TERCEIROS!$B$11:$AW$207,AK$2,{$A$2;$A36})=0,,DSUM(TERCEIROS!$B$11:$AW$207,AK$2,{$A$2;$A36}))</f>
        <v/>
      </c>
      <c r="AL36" s="294">
        <f t="array" ref="AL36">IF(DSUM(TERCEIROS!$B$11:$AW$207,AL$2,{$A$2;$A36})=0,,DSUM(TERCEIROS!$B$11:$AW$207,AL$2,{$A$2;$A36}))</f>
        <v>1321.38</v>
      </c>
    </row>
    <row r="37">
      <c r="A37" s="296"/>
      <c r="B37" s="297"/>
      <c r="C37" s="296"/>
      <c r="D37" s="298"/>
      <c r="E37" s="299"/>
      <c r="F37" s="300"/>
      <c r="G37" s="299"/>
      <c r="H37" s="299"/>
      <c r="I37" s="299"/>
      <c r="J37" s="299"/>
      <c r="K37" s="299"/>
      <c r="L37" s="299"/>
      <c r="M37" s="299"/>
      <c r="N37" s="299"/>
      <c r="O37" s="299"/>
      <c r="P37" s="299"/>
      <c r="Q37" s="299"/>
      <c r="R37" s="299"/>
      <c r="S37" s="299"/>
      <c r="T37" s="299"/>
      <c r="U37" s="299"/>
      <c r="V37" s="299"/>
      <c r="W37" s="299"/>
      <c r="X37" s="299"/>
      <c r="Y37" s="299"/>
      <c r="Z37" s="299"/>
      <c r="AA37" s="299"/>
      <c r="AB37" s="299"/>
      <c r="AC37" s="299"/>
      <c r="AD37" s="299"/>
      <c r="AE37" s="299"/>
      <c r="AF37" s="299"/>
      <c r="AG37" s="299"/>
      <c r="AH37" s="299"/>
      <c r="AI37" s="299"/>
      <c r="AJ37" s="299"/>
      <c r="AK37" s="299"/>
      <c r="AL37" s="299"/>
    </row>
    <row r="38">
      <c r="A38" s="296"/>
      <c r="B38" s="297"/>
      <c r="C38" s="296"/>
      <c r="D38" s="301"/>
      <c r="E38" s="299"/>
      <c r="F38" s="300"/>
      <c r="G38" s="299"/>
      <c r="H38" s="299"/>
      <c r="I38" s="299"/>
      <c r="J38" s="299"/>
      <c r="K38" s="299"/>
      <c r="L38" s="299"/>
      <c r="M38" s="299"/>
      <c r="N38" s="299"/>
      <c r="O38" s="300"/>
      <c r="P38" s="299"/>
      <c r="Q38" s="299"/>
      <c r="R38" s="299"/>
      <c r="S38" s="299"/>
      <c r="T38" s="299"/>
      <c r="U38" s="299"/>
      <c r="V38" s="299"/>
      <c r="W38" s="299"/>
      <c r="X38" s="299"/>
      <c r="Y38" s="299"/>
      <c r="Z38" s="299"/>
      <c r="AA38" s="299"/>
      <c r="AB38" s="299"/>
      <c r="AC38" s="299"/>
      <c r="AD38" s="299"/>
      <c r="AE38" s="299"/>
      <c r="AF38" s="299"/>
      <c r="AG38" s="299"/>
      <c r="AH38" s="299"/>
      <c r="AI38" s="299"/>
      <c r="AJ38" s="299"/>
      <c r="AK38" s="299"/>
      <c r="AL38" s="299"/>
    </row>
    <row r="39">
      <c r="B39" s="302"/>
      <c r="C39" s="302"/>
      <c r="D39" s="282">
        <f>SUM(E39:AL39)</f>
        <v>206908.853</v>
      </c>
      <c r="E39" s="283">
        <f t="shared" ref="E39:AL39" si="2">SUM(E41:E53)</f>
        <v>89110.22431</v>
      </c>
      <c r="F39" s="283">
        <f t="shared" si="2"/>
        <v>0</v>
      </c>
      <c r="G39" s="283">
        <f t="shared" si="2"/>
        <v>10095.2279</v>
      </c>
      <c r="H39" s="283">
        <f t="shared" si="2"/>
        <v>9719.422113</v>
      </c>
      <c r="I39" s="283">
        <f t="shared" si="2"/>
        <v>5785.599652</v>
      </c>
      <c r="J39" s="283">
        <f t="shared" si="2"/>
        <v>0</v>
      </c>
      <c r="K39" s="283">
        <f t="shared" si="2"/>
        <v>5905.867513</v>
      </c>
      <c r="L39" s="283">
        <f t="shared" si="2"/>
        <v>6655.194499</v>
      </c>
      <c r="M39" s="283">
        <f t="shared" si="2"/>
        <v>0</v>
      </c>
      <c r="N39" s="283">
        <f t="shared" si="2"/>
        <v>17379.29916</v>
      </c>
      <c r="O39" s="283">
        <f t="shared" si="2"/>
        <v>10486.20298</v>
      </c>
      <c r="P39" s="283">
        <f t="shared" si="2"/>
        <v>0</v>
      </c>
      <c r="Q39" s="283">
        <f t="shared" si="2"/>
        <v>0</v>
      </c>
      <c r="R39" s="283">
        <f t="shared" si="2"/>
        <v>0</v>
      </c>
      <c r="S39" s="283">
        <f t="shared" si="2"/>
        <v>8488.512828</v>
      </c>
      <c r="T39" s="283">
        <f t="shared" si="2"/>
        <v>9779.03614</v>
      </c>
      <c r="U39" s="283">
        <f t="shared" si="2"/>
        <v>4792.534743</v>
      </c>
      <c r="V39" s="283">
        <f t="shared" si="2"/>
        <v>7528.344367</v>
      </c>
      <c r="W39" s="283">
        <f t="shared" si="2"/>
        <v>0</v>
      </c>
      <c r="X39" s="283">
        <f t="shared" si="2"/>
        <v>0</v>
      </c>
      <c r="Y39" s="283">
        <f t="shared" si="2"/>
        <v>548.5030345</v>
      </c>
      <c r="Z39" s="283">
        <f t="shared" si="2"/>
        <v>0</v>
      </c>
      <c r="AA39" s="283">
        <f t="shared" si="2"/>
        <v>0</v>
      </c>
      <c r="AB39" s="283">
        <f t="shared" si="2"/>
        <v>0</v>
      </c>
      <c r="AC39" s="283">
        <f t="shared" si="2"/>
        <v>1645.635184</v>
      </c>
      <c r="AD39" s="283">
        <f t="shared" si="2"/>
        <v>0</v>
      </c>
      <c r="AE39" s="283">
        <f t="shared" si="2"/>
        <v>1922.529115</v>
      </c>
      <c r="AF39" s="283">
        <f t="shared" si="2"/>
        <v>0</v>
      </c>
      <c r="AG39" s="283">
        <f t="shared" si="2"/>
        <v>0</v>
      </c>
      <c r="AH39" s="283">
        <f t="shared" si="2"/>
        <v>3081.677608</v>
      </c>
      <c r="AI39" s="283">
        <f t="shared" si="2"/>
        <v>937.9653949</v>
      </c>
      <c r="AJ39" s="283">
        <f t="shared" si="2"/>
        <v>1669.996482</v>
      </c>
      <c r="AK39" s="283">
        <f t="shared" si="2"/>
        <v>0</v>
      </c>
      <c r="AL39" s="283">
        <f t="shared" si="2"/>
        <v>11377.07995</v>
      </c>
    </row>
    <row r="40">
      <c r="A40" s="303" t="s">
        <v>2313</v>
      </c>
      <c r="B40" s="303" t="s">
        <v>2314</v>
      </c>
      <c r="C40" s="303" t="s">
        <v>316</v>
      </c>
      <c r="D40" s="304" t="s">
        <v>2315</v>
      </c>
      <c r="E40" s="305" t="s">
        <v>290</v>
      </c>
      <c r="F40" s="305" t="s">
        <v>419</v>
      </c>
      <c r="G40" s="305" t="s">
        <v>49</v>
      </c>
      <c r="H40" s="305" t="s">
        <v>50</v>
      </c>
      <c r="I40" s="305" t="s">
        <v>51</v>
      </c>
      <c r="J40" s="305" t="s">
        <v>425</v>
      </c>
      <c r="K40" s="305" t="s">
        <v>52</v>
      </c>
      <c r="L40" s="305" t="s">
        <v>53</v>
      </c>
      <c r="M40" s="305" t="s">
        <v>1646</v>
      </c>
      <c r="N40" s="303" t="s">
        <v>54</v>
      </c>
      <c r="O40" s="305" t="s">
        <v>55</v>
      </c>
      <c r="P40" s="305" t="s">
        <v>431</v>
      </c>
      <c r="Q40" s="305" t="s">
        <v>433</v>
      </c>
      <c r="R40" s="305" t="s">
        <v>435</v>
      </c>
      <c r="S40" s="305" t="s">
        <v>56</v>
      </c>
      <c r="T40" s="305" t="s">
        <v>57</v>
      </c>
      <c r="U40" s="305" t="s">
        <v>58</v>
      </c>
      <c r="V40" s="305" t="s">
        <v>59</v>
      </c>
      <c r="W40" s="305" t="s">
        <v>441</v>
      </c>
      <c r="X40" s="305" t="s">
        <v>443</v>
      </c>
      <c r="Y40" s="305" t="s">
        <v>60</v>
      </c>
      <c r="Z40" s="305" t="s">
        <v>446</v>
      </c>
      <c r="AA40" s="305" t="s">
        <v>448</v>
      </c>
      <c r="AB40" s="305" t="s">
        <v>450</v>
      </c>
      <c r="AC40" s="305" t="s">
        <v>61</v>
      </c>
      <c r="AD40" s="305" t="s">
        <v>453</v>
      </c>
      <c r="AE40" s="305" t="s">
        <v>62</v>
      </c>
      <c r="AF40" s="305" t="s">
        <v>63</v>
      </c>
      <c r="AG40" s="305" t="s">
        <v>64</v>
      </c>
      <c r="AH40" s="305" t="s">
        <v>65</v>
      </c>
      <c r="AI40" s="305" t="s">
        <v>66</v>
      </c>
      <c r="AJ40" s="305" t="s">
        <v>67</v>
      </c>
      <c r="AK40" s="305" t="s">
        <v>68</v>
      </c>
      <c r="AL40" s="305" t="s">
        <v>69</v>
      </c>
    </row>
    <row r="41">
      <c r="A41" s="306"/>
      <c r="B41" s="291" t="str">
        <f>IFERROR(__xludf.DUMMYFUNCTION("sort(unique(filter(TIMESHEET!$E:$E,TIMESHEET!$O:$O=TRUE,TIMESHEET!$P:$P=TRUE)))"),"Alyne Alves Nunes Oliveira")</f>
        <v>Alyne Alves Nunes Oliveira</v>
      </c>
      <c r="C41" s="307" t="str">
        <f>VLOOKUP(B41,PESSOAL!$B:$C,2,false)</f>
        <v>129.307.117-01</v>
      </c>
      <c r="D41" s="291" t="str">
        <f>VLOOKUP(B41,PESSOAL!$B$13:$F$25,5,FALSE)</f>
        <v>Doutorado</v>
      </c>
      <c r="E41" s="308">
        <f>SUMIFS(TIMESHEET!$N$12:$N$2488,TIMESHEET!$E$12:$E$2488,$B41,TIMESHEET!$C$12:$C$2488,E$40)</f>
        <v>1991.374092</v>
      </c>
      <c r="F41" s="294">
        <f>SUMIFS(TIMESHEET!$N$12:$N$2488,TIMESHEET!$E$12:$E$2488,$B41,TIMESHEET!$C$12:$C$2488,F$40)</f>
        <v>0</v>
      </c>
      <c r="G41" s="294">
        <f>SUMIFS(TIMESHEET!$N$12:$N$2488,TIMESHEET!$E$12:$E$2488,$B41,TIMESHEET!$C$12:$C$2488,G$40)</f>
        <v>0</v>
      </c>
      <c r="H41" s="294">
        <f>SUMIFS(TIMESHEET!$N$12:$N$2488,TIMESHEET!$E$12:$E$2488,$B41,TIMESHEET!$C$12:$C$2488,H$40)</f>
        <v>0</v>
      </c>
      <c r="I41" s="294">
        <f>SUMIFS(TIMESHEET!$N$12:$N$2488,TIMESHEET!$E$12:$E$2488,$B41,TIMESHEET!$C$12:$C$2488,I$40)</f>
        <v>0</v>
      </c>
      <c r="J41" s="294">
        <f>SUMIFS(TIMESHEET!$N$12:$N$2488,TIMESHEET!$E$12:$E$2488,$B41,TIMESHEET!$C$12:$C$2488,J$40)</f>
        <v>0</v>
      </c>
      <c r="K41" s="294">
        <f>SUMIFS(TIMESHEET!$N$12:$N$2488,TIMESHEET!$E$12:$E$2488,$B41,TIMESHEET!$C$12:$C$2488,K$40)</f>
        <v>0</v>
      </c>
      <c r="L41" s="294">
        <f>SUMIFS(TIMESHEET!$N$12:$N$2488,TIMESHEET!$E$12:$E$2488,$B41,TIMESHEET!$C$12:$C$2488,L$40)</f>
        <v>0</v>
      </c>
      <c r="M41" s="294">
        <f>SUMIFS(TIMESHEET!$N$12:$N$2488,TIMESHEET!$E$12:$E$2488,$B41,TIMESHEET!$C$12:$C$2488,M$40)</f>
        <v>0</v>
      </c>
      <c r="N41" s="294">
        <f>SUMIFS(TIMESHEET!$N$12:$N$2488,TIMESHEET!$E$12:$E$2488,$B41,TIMESHEET!$C$12:$C$2488,N$40)</f>
        <v>0</v>
      </c>
      <c r="O41" s="294">
        <f>SUMIFS(TIMESHEET!$N$12:$N$2488,TIMESHEET!$E$12:$E$2488,$B41,TIMESHEET!$C$12:$C$2488,O$40)</f>
        <v>0</v>
      </c>
      <c r="P41" s="294">
        <f>SUMIFS(TIMESHEET!$N$12:$N$2488,TIMESHEET!$E$12:$E$2488,$B41,TIMESHEET!$C$12:$C$2488,P$40)</f>
        <v>0</v>
      </c>
      <c r="Q41" s="294">
        <f>SUMIFS(TIMESHEET!$N$12:$N$2488,TIMESHEET!$E$12:$E$2488,$B41,TIMESHEET!$C$12:$C$2488,Q$40)</f>
        <v>0</v>
      </c>
      <c r="R41" s="294">
        <f>SUMIFS(TIMESHEET!$N$12:$N$2488,TIMESHEET!$E$12:$E$2488,$B41,TIMESHEET!$C$12:$C$2488,R$40)</f>
        <v>0</v>
      </c>
      <c r="S41" s="294">
        <f>SUMIFS(TIMESHEET!$N$12:$N$2488,TIMESHEET!$E$12:$E$2488,$B41,TIMESHEET!$C$12:$C$2488,S$40)</f>
        <v>0</v>
      </c>
      <c r="T41" s="294">
        <f>SUMIFS(TIMESHEET!$N$12:$N$2488,TIMESHEET!$E$12:$E$2488,$B41,TIMESHEET!$C$12:$C$2488,T$40)</f>
        <v>0</v>
      </c>
      <c r="U41" s="294">
        <f>SUMIFS(TIMESHEET!$N$12:$N$2488,TIMESHEET!$E$12:$E$2488,$B41,TIMESHEET!$C$12:$C$2488,U$40)</f>
        <v>0</v>
      </c>
      <c r="V41" s="294">
        <f>SUMIFS(TIMESHEET!$N$12:$N$2488,TIMESHEET!$E$12:$E$2488,$B41,TIMESHEET!$C$12:$C$2488,V$40)</f>
        <v>0</v>
      </c>
      <c r="W41" s="294">
        <f>SUMIFS(TIMESHEET!$N$12:$N$2488,TIMESHEET!$E$12:$E$2488,$B41,TIMESHEET!$C$12:$C$2488,W$40)</f>
        <v>0</v>
      </c>
      <c r="X41" s="294">
        <f>SUMIFS(TIMESHEET!$N$12:$N$2488,TIMESHEET!$E$12:$E$2488,$B41,TIMESHEET!$C$12:$C$2488,X$40)</f>
        <v>0</v>
      </c>
      <c r="Y41" s="294">
        <f>SUMIFS(TIMESHEET!$N$12:$N$2488,TIMESHEET!$E$12:$E$2488,$B41,TIMESHEET!$C$12:$C$2488,Y$40)</f>
        <v>0</v>
      </c>
      <c r="Z41" s="294">
        <f>SUMIFS(TIMESHEET!$N$12:$N$2488,TIMESHEET!$E$12:$E$2488,$B41,TIMESHEET!$C$12:$C$2488,Z$40)</f>
        <v>0</v>
      </c>
      <c r="AA41" s="294">
        <f>SUMIFS(TIMESHEET!$N$12:$N$2488,TIMESHEET!$E$12:$E$2488,$B41,TIMESHEET!$C$12:$C$2488,AA$40)</f>
        <v>0</v>
      </c>
      <c r="AB41" s="294">
        <f>SUMIFS(TIMESHEET!$N$12:$N$2488,TIMESHEET!$E$12:$E$2488,$B41,TIMESHEET!$C$12:$C$2488,AB$40)</f>
        <v>0</v>
      </c>
      <c r="AC41" s="294">
        <f>SUMIFS(TIMESHEET!$N$12:$N$2488,TIMESHEET!$E$12:$E$2488,$B41,TIMESHEET!$C$12:$C$2488,AC$40)</f>
        <v>0</v>
      </c>
      <c r="AD41" s="294">
        <f>SUMIFS(TIMESHEET!$N$12:$N$2488,TIMESHEET!$E$12:$E$2488,$B41,TIMESHEET!$C$12:$C$2488,AD$40)</f>
        <v>0</v>
      </c>
      <c r="AE41" s="294">
        <f>SUMIFS(TIMESHEET!$N$12:$N$2488,TIMESHEET!$E$12:$E$2488,$B41,TIMESHEET!$C$12:$C$2488,AE$40)</f>
        <v>0</v>
      </c>
      <c r="AF41" s="294">
        <f>SUMIFS(TIMESHEET!$N$12:$N$2488,TIMESHEET!$E$12:$E$2488,$B41,TIMESHEET!$C$12:$C$2488,AF$40)</f>
        <v>0</v>
      </c>
      <c r="AG41" s="294">
        <f>SUMIFS(TIMESHEET!$N$12:$N$2488,TIMESHEET!$E$12:$E$2488,$B41,TIMESHEET!$C$12:$C$2488,AG$40)</f>
        <v>0</v>
      </c>
      <c r="AH41" s="294">
        <f>SUMIFS(TIMESHEET!$N$12:$N$2488,TIMESHEET!$E$12:$E$2488,$B41,TIMESHEET!$C$12:$C$2488,AH$40)</f>
        <v>0</v>
      </c>
      <c r="AI41" s="294">
        <f>SUMIFS(TIMESHEET!$N$12:$N$2488,TIMESHEET!$E$12:$E$2488,$B41,TIMESHEET!$C$12:$C$2488,AI$40)</f>
        <v>0</v>
      </c>
      <c r="AJ41" s="294">
        <f>SUMIFS(TIMESHEET!$N$12:$N$2488,TIMESHEET!$E$12:$E$2488,$B41,TIMESHEET!$C$12:$C$2488,AJ$40)</f>
        <v>0</v>
      </c>
      <c r="AK41" s="294">
        <f>SUMIFS(TIMESHEET!$N$12:$N$2488,TIMESHEET!$E$12:$E$2488,$B41,TIMESHEET!$C$12:$C$2488,AK$40)</f>
        <v>0</v>
      </c>
      <c r="AL41" s="294">
        <f>SUMIFS(TIMESHEET!$N$12:$N$2488,TIMESHEET!$E$12:$E$2488,$B41,TIMESHEET!$C$12:$C$2488,AL$40)</f>
        <v>1334.964046</v>
      </c>
    </row>
    <row r="42">
      <c r="A42" s="306"/>
      <c r="B42" s="291" t="str">
        <f>IFERROR(__xludf.DUMMYFUNCTION("""COMPUTED_VALUE"""),"Ana Claudia Zanini")</f>
        <v>Ana Claudia Zanini</v>
      </c>
      <c r="C42" s="307" t="str">
        <f>VLOOKUP(B42,PESSOAL!$B:$C,2,false)</f>
        <v>076.046.519-33</v>
      </c>
      <c r="D42" s="291" t="str">
        <f>VLOOKUP(B42,PESSOAL!$B$13:$F$25,5,FALSE)</f>
        <v>Mestrado</v>
      </c>
      <c r="E42" s="294">
        <f>SUMIFS(TIMESHEET!$N$12:$N$2488,TIMESHEET!$E$12:$E$2488,$B42,TIMESHEET!$C$12:$C$2488,E$40)</f>
        <v>9541.640272</v>
      </c>
      <c r="F42" s="294">
        <f>SUMIFS(TIMESHEET!$N$12:$N$2488,TIMESHEET!$E$12:$E$2488,$B42,TIMESHEET!$C$12:$C$2488,F$40)</f>
        <v>0</v>
      </c>
      <c r="G42" s="294">
        <f>SUMIFS(TIMESHEET!$N$12:$N$2488,TIMESHEET!$E$12:$E$2488,$B42,TIMESHEET!$C$12:$C$2488,G$40)</f>
        <v>0</v>
      </c>
      <c r="H42" s="294">
        <f>SUMIFS(TIMESHEET!$N$12:$N$2488,TIMESHEET!$E$12:$E$2488,$B42,TIMESHEET!$C$12:$C$2488,H$40)</f>
        <v>0</v>
      </c>
      <c r="I42" s="294">
        <f>SUMIFS(TIMESHEET!$N$12:$N$2488,TIMESHEET!$E$12:$E$2488,$B42,TIMESHEET!$C$12:$C$2488,I$40)</f>
        <v>0</v>
      </c>
      <c r="J42" s="294">
        <f>SUMIFS(TIMESHEET!$N$12:$N$2488,TIMESHEET!$E$12:$E$2488,$B42,TIMESHEET!$C$12:$C$2488,J$40)</f>
        <v>0</v>
      </c>
      <c r="K42" s="294">
        <f>SUMIFS(TIMESHEET!$N$12:$N$2488,TIMESHEET!$E$12:$E$2488,$B42,TIMESHEET!$C$12:$C$2488,K$40)</f>
        <v>0</v>
      </c>
      <c r="L42" s="294">
        <f>SUMIFS(TIMESHEET!$N$12:$N$2488,TIMESHEET!$E$12:$E$2488,$B42,TIMESHEET!$C$12:$C$2488,L$40)</f>
        <v>0</v>
      </c>
      <c r="M42" s="294">
        <f>SUMIFS(TIMESHEET!$N$12:$N$2488,TIMESHEET!$E$12:$E$2488,$B42,TIMESHEET!$C$12:$C$2488,M$40)</f>
        <v>0</v>
      </c>
      <c r="N42" s="294">
        <f>SUMIFS(TIMESHEET!$N$12:$N$2488,TIMESHEET!$E$12:$E$2488,$B42,TIMESHEET!$C$12:$C$2488,N$40)</f>
        <v>0</v>
      </c>
      <c r="O42" s="294">
        <f>SUMIFS(TIMESHEET!$N$12:$N$2488,TIMESHEET!$E$12:$E$2488,$B42,TIMESHEET!$C$12:$C$2488,O$40)</f>
        <v>0</v>
      </c>
      <c r="P42" s="294">
        <f>SUMIFS(TIMESHEET!$N$12:$N$2488,TIMESHEET!$E$12:$E$2488,$B42,TIMESHEET!$C$12:$C$2488,P$40)</f>
        <v>0</v>
      </c>
      <c r="Q42" s="294">
        <f>SUMIFS(TIMESHEET!$N$12:$N$2488,TIMESHEET!$E$12:$E$2488,$B42,TIMESHEET!$C$12:$C$2488,Q$40)</f>
        <v>0</v>
      </c>
      <c r="R42" s="294">
        <f>SUMIFS(TIMESHEET!$N$12:$N$2488,TIMESHEET!$E$12:$E$2488,$B42,TIMESHEET!$C$12:$C$2488,R$40)</f>
        <v>0</v>
      </c>
      <c r="S42" s="294">
        <f>SUMIFS(TIMESHEET!$N$12:$N$2488,TIMESHEET!$E$12:$E$2488,$B42,TIMESHEET!$C$12:$C$2488,S$40)</f>
        <v>0</v>
      </c>
      <c r="T42" s="294">
        <f>SUMIFS(TIMESHEET!$N$12:$N$2488,TIMESHEET!$E$12:$E$2488,$B42,TIMESHEET!$C$12:$C$2488,T$40)</f>
        <v>6926.157204</v>
      </c>
      <c r="U42" s="294">
        <f>SUMIFS(TIMESHEET!$N$12:$N$2488,TIMESHEET!$E$12:$E$2488,$B42,TIMESHEET!$C$12:$C$2488,U$40)</f>
        <v>2132.129648</v>
      </c>
      <c r="V42" s="294">
        <f>SUMIFS(TIMESHEET!$N$12:$N$2488,TIMESHEET!$E$12:$E$2488,$B42,TIMESHEET!$C$12:$C$2488,V$40)</f>
        <v>4004.406786</v>
      </c>
      <c r="W42" s="294">
        <f>SUMIFS(TIMESHEET!$N$12:$N$2488,TIMESHEET!$E$12:$E$2488,$B42,TIMESHEET!$C$12:$C$2488,W$40)</f>
        <v>0</v>
      </c>
      <c r="X42" s="294">
        <f>SUMIFS(TIMESHEET!$N$12:$N$2488,TIMESHEET!$E$12:$E$2488,$B42,TIMESHEET!$C$12:$C$2488,X$40)</f>
        <v>0</v>
      </c>
      <c r="Y42" s="294">
        <f>SUMIFS(TIMESHEET!$N$12:$N$2488,TIMESHEET!$E$12:$E$2488,$B42,TIMESHEET!$C$12:$C$2488,Y$40)</f>
        <v>0</v>
      </c>
      <c r="Z42" s="294">
        <f>SUMIFS(TIMESHEET!$N$12:$N$2488,TIMESHEET!$E$12:$E$2488,$B42,TIMESHEET!$C$12:$C$2488,Z$40)</f>
        <v>0</v>
      </c>
      <c r="AA42" s="294">
        <f>SUMIFS(TIMESHEET!$N$12:$N$2488,TIMESHEET!$E$12:$E$2488,$B42,TIMESHEET!$C$12:$C$2488,AA$40)</f>
        <v>0</v>
      </c>
      <c r="AB42" s="294">
        <f>SUMIFS(TIMESHEET!$N$12:$N$2488,TIMESHEET!$E$12:$E$2488,$B42,TIMESHEET!$C$12:$C$2488,AB$40)</f>
        <v>0</v>
      </c>
      <c r="AC42" s="294">
        <f>SUMIFS(TIMESHEET!$N$12:$N$2488,TIMESHEET!$E$12:$E$2488,$B42,TIMESHEET!$C$12:$C$2488,AC$40)</f>
        <v>0</v>
      </c>
      <c r="AD42" s="294">
        <f>SUMIFS(TIMESHEET!$N$12:$N$2488,TIMESHEET!$E$12:$E$2488,$B42,TIMESHEET!$C$12:$C$2488,AD$40)</f>
        <v>0</v>
      </c>
      <c r="AE42" s="294">
        <f>SUMIFS(TIMESHEET!$N$12:$N$2488,TIMESHEET!$E$12:$E$2488,$B42,TIMESHEET!$C$12:$C$2488,AE$40)</f>
        <v>0</v>
      </c>
      <c r="AF42" s="294">
        <f>SUMIFS(TIMESHEET!$N$12:$N$2488,TIMESHEET!$E$12:$E$2488,$B42,TIMESHEET!$C$12:$C$2488,AF$40)</f>
        <v>0</v>
      </c>
      <c r="AG42" s="294">
        <f>SUMIFS(TIMESHEET!$N$12:$N$2488,TIMESHEET!$E$12:$E$2488,$B42,TIMESHEET!$C$12:$C$2488,AG$40)</f>
        <v>0</v>
      </c>
      <c r="AH42" s="294">
        <f>SUMIFS(TIMESHEET!$N$12:$N$2488,TIMESHEET!$E$12:$E$2488,$B42,TIMESHEET!$C$12:$C$2488,AH$40)</f>
        <v>2784.901142</v>
      </c>
      <c r="AI42" s="294">
        <f>SUMIFS(TIMESHEET!$N$12:$N$2488,TIMESHEET!$E$12:$E$2488,$B42,TIMESHEET!$C$12:$C$2488,AI$40)</f>
        <v>0</v>
      </c>
      <c r="AJ42" s="294">
        <f>SUMIFS(TIMESHEET!$N$12:$N$2488,TIMESHEET!$E$12:$E$2488,$B42,TIMESHEET!$C$12:$C$2488,AJ$40)</f>
        <v>1382.791539</v>
      </c>
      <c r="AK42" s="294">
        <f>SUMIFS(TIMESHEET!$N$12:$N$2488,TIMESHEET!$E$12:$E$2488,$B42,TIMESHEET!$C$12:$C$2488,AK$40)</f>
        <v>0</v>
      </c>
      <c r="AL42" s="294">
        <f>SUMIFS(TIMESHEET!$N$12:$N$2488,TIMESHEET!$E$12:$E$2488,$B42,TIMESHEET!$C$12:$C$2488,AL$40)</f>
        <v>996.5950676</v>
      </c>
    </row>
    <row r="43">
      <c r="A43" s="306"/>
      <c r="B43" s="291" t="str">
        <f>IFERROR(__xludf.DUMMYFUNCTION("""COMPUTED_VALUE"""),"Ana Paula Biz")</f>
        <v>Ana Paula Biz</v>
      </c>
      <c r="C43" s="309" t="s">
        <v>2316</v>
      </c>
      <c r="D43" s="291" t="str">
        <f>VLOOKUP(B43,PESSOAL!$B$13:$F$25,5,FALSE)</f>
        <v>Mestrado</v>
      </c>
      <c r="E43" s="308">
        <f>SUMIFS(TIMESHEET!$N$12:$N$2488,TIMESHEET!$E$12:$E$2488,$B43,TIMESHEET!$C$12:$C$2488,E$40)</f>
        <v>2190.493956</v>
      </c>
      <c r="F43" s="294">
        <f>SUMIFS(TIMESHEET!$N$12:$N$2488,TIMESHEET!$E$12:$E$2488,$B43,TIMESHEET!$C$12:$C$2488,F$40)</f>
        <v>0</v>
      </c>
      <c r="G43" s="294">
        <f>SUMIFS(TIMESHEET!$N$12:$N$2488,TIMESHEET!$E$12:$E$2488,$B43,TIMESHEET!$C$12:$C$2488,G$40)</f>
        <v>0</v>
      </c>
      <c r="H43" s="294">
        <f>SUMIFS(TIMESHEET!$N$12:$N$2488,TIMESHEET!$E$12:$E$2488,$B43,TIMESHEET!$C$12:$C$2488,H$40)</f>
        <v>0</v>
      </c>
      <c r="I43" s="294">
        <f>SUMIFS(TIMESHEET!$N$12:$N$2488,TIMESHEET!$E$12:$E$2488,$B43,TIMESHEET!$C$12:$C$2488,I$40)</f>
        <v>100.4435582</v>
      </c>
      <c r="J43" s="294">
        <f>SUMIFS(TIMESHEET!$N$12:$N$2488,TIMESHEET!$E$12:$E$2488,$B43,TIMESHEET!$C$12:$C$2488,J$40)</f>
        <v>0</v>
      </c>
      <c r="K43" s="294">
        <f>SUMIFS(TIMESHEET!$N$12:$N$2488,TIMESHEET!$E$12:$E$2488,$B43,TIMESHEET!$C$12:$C$2488,K$40)</f>
        <v>0</v>
      </c>
      <c r="L43" s="294">
        <f>SUMIFS(TIMESHEET!$N$12:$N$2488,TIMESHEET!$E$12:$E$2488,$B43,TIMESHEET!$C$12:$C$2488,L$40)</f>
        <v>0</v>
      </c>
      <c r="M43" s="294">
        <f>SUMIFS(TIMESHEET!$N$12:$N$2488,TIMESHEET!$E$12:$E$2488,$B43,TIMESHEET!$C$12:$C$2488,M$40)</f>
        <v>0</v>
      </c>
      <c r="N43" s="294">
        <f>SUMIFS(TIMESHEET!$N$12:$N$2488,TIMESHEET!$E$12:$E$2488,$B43,TIMESHEET!$C$12:$C$2488,N$40)</f>
        <v>654.6008585</v>
      </c>
      <c r="O43" s="294">
        <f>SUMIFS(TIMESHEET!$N$12:$N$2488,TIMESHEET!$E$12:$E$2488,$B43,TIMESHEET!$C$12:$C$2488,O$40)</f>
        <v>70.16492034</v>
      </c>
      <c r="P43" s="294">
        <f>SUMIFS(TIMESHEET!$N$12:$N$2488,TIMESHEET!$E$12:$E$2488,$B43,TIMESHEET!$C$12:$C$2488,P$40)</f>
        <v>0</v>
      </c>
      <c r="Q43" s="294">
        <f>SUMIFS(TIMESHEET!$N$12:$N$2488,TIMESHEET!$E$12:$E$2488,$B43,TIMESHEET!$C$12:$C$2488,Q$40)</f>
        <v>0</v>
      </c>
      <c r="R43" s="294">
        <f>SUMIFS(TIMESHEET!$N$12:$N$2488,TIMESHEET!$E$12:$E$2488,$B43,TIMESHEET!$C$12:$C$2488,R$40)</f>
        <v>0</v>
      </c>
      <c r="S43" s="294">
        <f>SUMIFS(TIMESHEET!$N$12:$N$2488,TIMESHEET!$E$12:$E$2488,$B43,TIMESHEET!$C$12:$C$2488,S$40)</f>
        <v>0</v>
      </c>
      <c r="T43" s="294">
        <f>SUMIFS(TIMESHEET!$N$12:$N$2488,TIMESHEET!$E$12:$E$2488,$B43,TIMESHEET!$C$12:$C$2488,T$40)</f>
        <v>0</v>
      </c>
      <c r="U43" s="294">
        <f>SUMIFS(TIMESHEET!$N$12:$N$2488,TIMESHEET!$E$12:$E$2488,$B43,TIMESHEET!$C$12:$C$2488,U$40)</f>
        <v>0</v>
      </c>
      <c r="V43" s="294">
        <f>SUMIFS(TIMESHEET!$N$12:$N$2488,TIMESHEET!$E$12:$E$2488,$B43,TIMESHEET!$C$12:$C$2488,V$40)</f>
        <v>0</v>
      </c>
      <c r="W43" s="294">
        <f>SUMIFS(TIMESHEET!$N$12:$N$2488,TIMESHEET!$E$12:$E$2488,$B43,TIMESHEET!$C$12:$C$2488,W$40)</f>
        <v>0</v>
      </c>
      <c r="X43" s="294">
        <f>SUMIFS(TIMESHEET!$N$12:$N$2488,TIMESHEET!$E$12:$E$2488,$B43,TIMESHEET!$C$12:$C$2488,X$40)</f>
        <v>0</v>
      </c>
      <c r="Y43" s="294">
        <f>SUMIFS(TIMESHEET!$N$12:$N$2488,TIMESHEET!$E$12:$E$2488,$B43,TIMESHEET!$C$12:$C$2488,Y$40)</f>
        <v>0</v>
      </c>
      <c r="Z43" s="294">
        <f>SUMIFS(TIMESHEET!$N$12:$N$2488,TIMESHEET!$E$12:$E$2488,$B43,TIMESHEET!$C$12:$C$2488,Z$40)</f>
        <v>0</v>
      </c>
      <c r="AA43" s="294">
        <f>SUMIFS(TIMESHEET!$N$12:$N$2488,TIMESHEET!$E$12:$E$2488,$B43,TIMESHEET!$C$12:$C$2488,AA$40)</f>
        <v>0</v>
      </c>
      <c r="AB43" s="294">
        <f>SUMIFS(TIMESHEET!$N$12:$N$2488,TIMESHEET!$E$12:$E$2488,$B43,TIMESHEET!$C$12:$C$2488,AB$40)</f>
        <v>0</v>
      </c>
      <c r="AC43" s="294">
        <f>SUMIFS(TIMESHEET!$N$12:$N$2488,TIMESHEET!$E$12:$E$2488,$B43,TIMESHEET!$C$12:$C$2488,AC$40)</f>
        <v>0</v>
      </c>
      <c r="AD43" s="294">
        <f>SUMIFS(TIMESHEET!$N$12:$N$2488,TIMESHEET!$E$12:$E$2488,$B43,TIMESHEET!$C$12:$C$2488,AD$40)</f>
        <v>0</v>
      </c>
      <c r="AE43" s="294">
        <f>SUMIFS(TIMESHEET!$N$12:$N$2488,TIMESHEET!$E$12:$E$2488,$B43,TIMESHEET!$C$12:$C$2488,AE$40)</f>
        <v>0</v>
      </c>
      <c r="AF43" s="294">
        <f>SUMIFS(TIMESHEET!$N$12:$N$2488,TIMESHEET!$E$12:$E$2488,$B43,TIMESHEET!$C$12:$C$2488,AF$40)</f>
        <v>0</v>
      </c>
      <c r="AG43" s="294">
        <f>SUMIFS(TIMESHEET!$N$12:$N$2488,TIMESHEET!$E$12:$E$2488,$B43,TIMESHEET!$C$12:$C$2488,AG$40)</f>
        <v>0</v>
      </c>
      <c r="AH43" s="294">
        <f>SUMIFS(TIMESHEET!$N$12:$N$2488,TIMESHEET!$E$12:$E$2488,$B43,TIMESHEET!$C$12:$C$2488,AH$40)</f>
        <v>0</v>
      </c>
      <c r="AI43" s="294">
        <f>SUMIFS(TIMESHEET!$N$12:$N$2488,TIMESHEET!$E$12:$E$2488,$B43,TIMESHEET!$C$12:$C$2488,AI$40)</f>
        <v>0</v>
      </c>
      <c r="AJ43" s="294">
        <f>SUMIFS(TIMESHEET!$N$12:$N$2488,TIMESHEET!$E$12:$E$2488,$B43,TIMESHEET!$C$12:$C$2488,AJ$40)</f>
        <v>0</v>
      </c>
      <c r="AK43" s="294">
        <f>SUMIFS(TIMESHEET!$N$12:$N$2488,TIMESHEET!$E$12:$E$2488,$B43,TIMESHEET!$C$12:$C$2488,AK$40)</f>
        <v>0</v>
      </c>
      <c r="AL43" s="294">
        <f>SUMIFS(TIMESHEET!$N$12:$N$2488,TIMESHEET!$E$12:$E$2488,$B43,TIMESHEET!$C$12:$C$2488,AL$40)</f>
        <v>0</v>
      </c>
    </row>
    <row r="44">
      <c r="A44" s="306"/>
      <c r="B44" s="291" t="str">
        <f>IFERROR(__xludf.DUMMYFUNCTION("""COMPUTED_VALUE"""),"Ana Paula Celes")</f>
        <v>Ana Paula Celes</v>
      </c>
      <c r="C44" s="307" t="str">
        <f>VLOOKUP(B44,PESSOAL!$B:$C,2,false)</f>
        <v>759.837.297-72</v>
      </c>
      <c r="D44" s="291" t="str">
        <f>VLOOKUP(B44,PESSOAL!$B$13:$F$25,5,FALSE)</f>
        <v>Pós Graduado</v>
      </c>
      <c r="E44" s="308">
        <f>SUMIFS(TIMESHEET!$N$12:$N$2488,TIMESHEET!$E$12:$E$2488,$B44,TIMESHEET!$C$12:$C$2488,E$40)</f>
        <v>2178.142415</v>
      </c>
      <c r="F44" s="294">
        <f>SUMIFS(TIMESHEET!$N$12:$N$2488,TIMESHEET!$E$12:$E$2488,$B44,TIMESHEET!$C$12:$C$2488,F$40)</f>
        <v>0</v>
      </c>
      <c r="G44" s="294">
        <f>SUMIFS(TIMESHEET!$N$12:$N$2488,TIMESHEET!$E$12:$E$2488,$B44,TIMESHEET!$C$12:$C$2488,G$40)</f>
        <v>695.58905</v>
      </c>
      <c r="H44" s="294">
        <f>SUMIFS(TIMESHEET!$N$12:$N$2488,TIMESHEET!$E$12:$E$2488,$B44,TIMESHEET!$C$12:$C$2488,H$40)</f>
        <v>616.9048324</v>
      </c>
      <c r="I44" s="294">
        <f>SUMIFS(TIMESHEET!$N$12:$N$2488,TIMESHEET!$E$12:$E$2488,$B44,TIMESHEET!$C$12:$C$2488,I$40)</f>
        <v>387.93</v>
      </c>
      <c r="J44" s="294">
        <f>SUMIFS(TIMESHEET!$N$12:$N$2488,TIMESHEET!$E$12:$E$2488,$B44,TIMESHEET!$C$12:$C$2488,J$40)</f>
        <v>0</v>
      </c>
      <c r="K44" s="294">
        <f>SUMIFS(TIMESHEET!$N$12:$N$2488,TIMESHEET!$E$12:$E$2488,$B44,TIMESHEET!$C$12:$C$2488,K$40)</f>
        <v>286.73</v>
      </c>
      <c r="L44" s="294">
        <f>SUMIFS(TIMESHEET!$N$12:$N$2488,TIMESHEET!$E$12:$E$2488,$B44,TIMESHEET!$C$12:$C$2488,L$40)</f>
        <v>0</v>
      </c>
      <c r="M44" s="294">
        <f>SUMIFS(TIMESHEET!$N$12:$N$2488,TIMESHEET!$E$12:$E$2488,$B44,TIMESHEET!$C$12:$C$2488,M$40)</f>
        <v>0</v>
      </c>
      <c r="N44" s="294">
        <f>SUMIFS(TIMESHEET!$N$12:$N$2488,TIMESHEET!$E$12:$E$2488,$B44,TIMESHEET!$C$12:$C$2488,N$40)</f>
        <v>0</v>
      </c>
      <c r="O44" s="294">
        <f>SUMIFS(TIMESHEET!$N$12:$N$2488,TIMESHEET!$E$12:$E$2488,$B44,TIMESHEET!$C$12:$C$2488,O$40)</f>
        <v>330.1748324</v>
      </c>
      <c r="P44" s="294">
        <f>SUMIFS(TIMESHEET!$N$12:$N$2488,TIMESHEET!$E$12:$E$2488,$B44,TIMESHEET!$C$12:$C$2488,P$40)</f>
        <v>0</v>
      </c>
      <c r="Q44" s="294">
        <f>SUMIFS(TIMESHEET!$N$12:$N$2488,TIMESHEET!$E$12:$E$2488,$B44,TIMESHEET!$C$12:$C$2488,Q$40)</f>
        <v>0</v>
      </c>
      <c r="R44" s="294">
        <f>SUMIFS(TIMESHEET!$N$12:$N$2488,TIMESHEET!$E$12:$E$2488,$B44,TIMESHEET!$C$12:$C$2488,R$40)</f>
        <v>0</v>
      </c>
      <c r="S44" s="294">
        <f>SUMIFS(TIMESHEET!$N$12:$N$2488,TIMESHEET!$E$12:$E$2488,$B44,TIMESHEET!$C$12:$C$2488,S$40)</f>
        <v>670.2113877</v>
      </c>
      <c r="T44" s="294">
        <f>SUMIFS(TIMESHEET!$N$12:$N$2488,TIMESHEET!$E$12:$E$2488,$B44,TIMESHEET!$C$12:$C$2488,T$40)</f>
        <v>165.0874162</v>
      </c>
      <c r="U44" s="294">
        <f>SUMIFS(TIMESHEET!$N$12:$N$2488,TIMESHEET!$E$12:$E$2488,$B44,TIMESHEET!$C$12:$C$2488,U$40)</f>
        <v>674.66</v>
      </c>
      <c r="V44" s="294">
        <f>SUMIFS(TIMESHEET!$N$12:$N$2488,TIMESHEET!$E$12:$E$2488,$B44,TIMESHEET!$C$12:$C$2488,V$40)</f>
        <v>184.3081316</v>
      </c>
      <c r="W44" s="294">
        <f>SUMIFS(TIMESHEET!$N$12:$N$2488,TIMESHEET!$E$12:$E$2488,$B44,TIMESHEET!$C$12:$C$2488,W$40)</f>
        <v>0</v>
      </c>
      <c r="X44" s="294">
        <f>SUMIFS(TIMESHEET!$N$12:$N$2488,TIMESHEET!$E$12:$E$2488,$B44,TIMESHEET!$C$12:$C$2488,X$40)</f>
        <v>0</v>
      </c>
      <c r="Y44" s="294">
        <f>SUMIFS(TIMESHEET!$N$12:$N$2488,TIMESHEET!$E$12:$E$2488,$B44,TIMESHEET!$C$12:$C$2488,Y$40)</f>
        <v>0</v>
      </c>
      <c r="Z44" s="294">
        <f>SUMIFS(TIMESHEET!$N$12:$N$2488,TIMESHEET!$E$12:$E$2488,$B44,TIMESHEET!$C$12:$C$2488,Z$40)</f>
        <v>0</v>
      </c>
      <c r="AA44" s="294">
        <f>SUMIFS(TIMESHEET!$N$12:$N$2488,TIMESHEET!$E$12:$E$2488,$B44,TIMESHEET!$C$12:$C$2488,AA$40)</f>
        <v>0</v>
      </c>
      <c r="AB44" s="294">
        <f>SUMIFS(TIMESHEET!$N$12:$N$2488,TIMESHEET!$E$12:$E$2488,$B44,TIMESHEET!$C$12:$C$2488,AB$40)</f>
        <v>0</v>
      </c>
      <c r="AC44" s="294">
        <f>SUMIFS(TIMESHEET!$N$12:$N$2488,TIMESHEET!$E$12:$E$2488,$B44,TIMESHEET!$C$12:$C$2488,AC$40)</f>
        <v>0</v>
      </c>
      <c r="AD44" s="294">
        <f>SUMIFS(TIMESHEET!$N$12:$N$2488,TIMESHEET!$E$12:$E$2488,$B44,TIMESHEET!$C$12:$C$2488,AD$40)</f>
        <v>0</v>
      </c>
      <c r="AE44" s="294">
        <f>SUMIFS(TIMESHEET!$N$12:$N$2488,TIMESHEET!$E$12:$E$2488,$B44,TIMESHEET!$C$12:$C$2488,AE$40)</f>
        <v>0</v>
      </c>
      <c r="AF44" s="294">
        <f>SUMIFS(TIMESHEET!$N$12:$N$2488,TIMESHEET!$E$12:$E$2488,$B44,TIMESHEET!$C$12:$C$2488,AF$40)</f>
        <v>0</v>
      </c>
      <c r="AG44" s="294">
        <f>SUMIFS(TIMESHEET!$N$12:$N$2488,TIMESHEET!$E$12:$E$2488,$B44,TIMESHEET!$C$12:$C$2488,AG$40)</f>
        <v>0</v>
      </c>
      <c r="AH44" s="294">
        <f>SUMIFS(TIMESHEET!$N$12:$N$2488,TIMESHEET!$E$12:$E$2488,$B44,TIMESHEET!$C$12:$C$2488,AH$40)</f>
        <v>150.7975622</v>
      </c>
      <c r="AI44" s="294">
        <f>SUMIFS(TIMESHEET!$N$12:$N$2488,TIMESHEET!$E$12:$E$2488,$B44,TIMESHEET!$C$12:$C$2488,AI$40)</f>
        <v>0</v>
      </c>
      <c r="AJ44" s="294">
        <f>SUMIFS(TIMESHEET!$N$12:$N$2488,TIMESHEET!$E$12:$E$2488,$B44,TIMESHEET!$C$12:$C$2488,AJ$40)</f>
        <v>0</v>
      </c>
      <c r="AK44" s="294">
        <f>SUMIFS(TIMESHEET!$N$12:$N$2488,TIMESHEET!$E$12:$E$2488,$B44,TIMESHEET!$C$12:$C$2488,AK$40)</f>
        <v>0</v>
      </c>
      <c r="AL44" s="294">
        <f>SUMIFS(TIMESHEET!$N$12:$N$2488,TIMESHEET!$E$12:$E$2488,$B44,TIMESHEET!$C$12:$C$2488,AL$40)</f>
        <v>204.3055736</v>
      </c>
    </row>
    <row r="45">
      <c r="A45" s="306"/>
      <c r="B45" s="291" t="str">
        <f>IFERROR(__xludf.DUMMYFUNCTION("""COMPUTED_VALUE"""),"Camila Mendes Pereira")</f>
        <v>Camila Mendes Pereira</v>
      </c>
      <c r="C45" s="307" t="str">
        <f>VLOOKUP(B45,PESSOAL!$B:$C,2,false)</f>
        <v>83.832.289-10</v>
      </c>
      <c r="D45" s="291" t="str">
        <f>VLOOKUP(B45,PESSOAL!$B$13:$F$25,5,FALSE)</f>
        <v>Superior Completo</v>
      </c>
      <c r="E45" s="308">
        <f>SUMIFS(TIMESHEET!$N$12:$N$2488,TIMESHEET!$E$12:$E$2488,$B45,TIMESHEET!$C$12:$C$2488,E$40)</f>
        <v>0</v>
      </c>
      <c r="F45" s="294">
        <f>SUMIFS(TIMESHEET!$N$12:$N$2488,TIMESHEET!$E$12:$E$2488,$B45,TIMESHEET!$C$12:$C$2488,F$40)</f>
        <v>0</v>
      </c>
      <c r="G45" s="294">
        <f>SUMIFS(TIMESHEET!$N$12:$N$2488,TIMESHEET!$E$12:$E$2488,$B45,TIMESHEET!$C$12:$C$2488,G$40)</f>
        <v>0</v>
      </c>
      <c r="H45" s="294">
        <f>SUMIFS(TIMESHEET!$N$12:$N$2488,TIMESHEET!$E$12:$E$2488,$B45,TIMESHEET!$C$12:$C$2488,H$40)</f>
        <v>2019.36272</v>
      </c>
      <c r="I45" s="294">
        <f>SUMIFS(TIMESHEET!$N$12:$N$2488,TIMESHEET!$E$12:$E$2488,$B45,TIMESHEET!$C$12:$C$2488,I$40)</f>
        <v>1853.395071</v>
      </c>
      <c r="J45" s="294">
        <f>SUMIFS(TIMESHEET!$N$12:$N$2488,TIMESHEET!$E$12:$E$2488,$B45,TIMESHEET!$C$12:$C$2488,J$40)</f>
        <v>0</v>
      </c>
      <c r="K45" s="294">
        <f>SUMIFS(TIMESHEET!$N$12:$N$2488,TIMESHEET!$E$12:$E$2488,$B45,TIMESHEET!$C$12:$C$2488,K$40)</f>
        <v>119.5831706</v>
      </c>
      <c r="L45" s="294">
        <f>SUMIFS(TIMESHEET!$N$12:$N$2488,TIMESHEET!$E$12:$E$2488,$B45,TIMESHEET!$C$12:$C$2488,L$40)</f>
        <v>510.83</v>
      </c>
      <c r="M45" s="294">
        <f>SUMIFS(TIMESHEET!$N$12:$N$2488,TIMESHEET!$E$12:$E$2488,$B45,TIMESHEET!$C$12:$C$2488,M$40)</f>
        <v>0</v>
      </c>
      <c r="N45" s="294">
        <f>SUMIFS(TIMESHEET!$N$12:$N$2488,TIMESHEET!$E$12:$E$2488,$B45,TIMESHEET!$C$12:$C$2488,N$40)</f>
        <v>0</v>
      </c>
      <c r="O45" s="294">
        <f>SUMIFS(TIMESHEET!$N$12:$N$2488,TIMESHEET!$E$12:$E$2488,$B45,TIMESHEET!$C$12:$C$2488,O$40)</f>
        <v>3053.7571</v>
      </c>
      <c r="P45" s="294">
        <f>SUMIFS(TIMESHEET!$N$12:$N$2488,TIMESHEET!$E$12:$E$2488,$B45,TIMESHEET!$C$12:$C$2488,P$40)</f>
        <v>0</v>
      </c>
      <c r="Q45" s="294">
        <f>SUMIFS(TIMESHEET!$N$12:$N$2488,TIMESHEET!$E$12:$E$2488,$B45,TIMESHEET!$C$12:$C$2488,Q$40)</f>
        <v>0</v>
      </c>
      <c r="R45" s="294">
        <f>SUMIFS(TIMESHEET!$N$12:$N$2488,TIMESHEET!$E$12:$E$2488,$B45,TIMESHEET!$C$12:$C$2488,R$40)</f>
        <v>0</v>
      </c>
      <c r="S45" s="294">
        <f>SUMIFS(TIMESHEET!$N$12:$N$2488,TIMESHEET!$E$12:$E$2488,$B45,TIMESHEET!$C$12:$C$2488,S$40)</f>
        <v>0</v>
      </c>
      <c r="T45" s="294">
        <f>SUMIFS(TIMESHEET!$N$12:$N$2488,TIMESHEET!$E$12:$E$2488,$B45,TIMESHEET!$C$12:$C$2488,T$40)</f>
        <v>0</v>
      </c>
      <c r="U45" s="294">
        <f>SUMIFS(TIMESHEET!$N$12:$N$2488,TIMESHEET!$E$12:$E$2488,$B45,TIMESHEET!$C$12:$C$2488,U$40)</f>
        <v>0</v>
      </c>
      <c r="V45" s="294">
        <f>SUMIFS(TIMESHEET!$N$12:$N$2488,TIMESHEET!$E$12:$E$2488,$B45,TIMESHEET!$C$12:$C$2488,V$40)</f>
        <v>0</v>
      </c>
      <c r="W45" s="294">
        <f>SUMIFS(TIMESHEET!$N$12:$N$2488,TIMESHEET!$E$12:$E$2488,$B45,TIMESHEET!$C$12:$C$2488,W$40)</f>
        <v>0</v>
      </c>
      <c r="X45" s="294">
        <f>SUMIFS(TIMESHEET!$N$12:$N$2488,TIMESHEET!$E$12:$E$2488,$B45,TIMESHEET!$C$12:$C$2488,X$40)</f>
        <v>0</v>
      </c>
      <c r="Y45" s="294">
        <f>SUMIFS(TIMESHEET!$N$12:$N$2488,TIMESHEET!$E$12:$E$2488,$B45,TIMESHEET!$C$12:$C$2488,Y$40)</f>
        <v>0</v>
      </c>
      <c r="Z45" s="294">
        <f>SUMIFS(TIMESHEET!$N$12:$N$2488,TIMESHEET!$E$12:$E$2488,$B45,TIMESHEET!$C$12:$C$2488,Z$40)</f>
        <v>0</v>
      </c>
      <c r="AA45" s="294">
        <f>SUMIFS(TIMESHEET!$N$12:$N$2488,TIMESHEET!$E$12:$E$2488,$B45,TIMESHEET!$C$12:$C$2488,AA$40)</f>
        <v>0</v>
      </c>
      <c r="AB45" s="294">
        <f>SUMIFS(TIMESHEET!$N$12:$N$2488,TIMESHEET!$E$12:$E$2488,$B45,TIMESHEET!$C$12:$C$2488,AB$40)</f>
        <v>0</v>
      </c>
      <c r="AC45" s="294">
        <f>SUMIFS(TIMESHEET!$N$12:$N$2488,TIMESHEET!$E$12:$E$2488,$B45,TIMESHEET!$C$12:$C$2488,AC$40)</f>
        <v>715.5562261</v>
      </c>
      <c r="AD45" s="294">
        <f>SUMIFS(TIMESHEET!$N$12:$N$2488,TIMESHEET!$E$12:$E$2488,$B45,TIMESHEET!$C$12:$C$2488,AD$40)</f>
        <v>0</v>
      </c>
      <c r="AE45" s="294">
        <f>SUMIFS(TIMESHEET!$N$12:$N$2488,TIMESHEET!$E$12:$E$2488,$B45,TIMESHEET!$C$12:$C$2488,AE$40)</f>
        <v>0</v>
      </c>
      <c r="AF45" s="294">
        <f>SUMIFS(TIMESHEET!$N$12:$N$2488,TIMESHEET!$E$12:$E$2488,$B45,TIMESHEET!$C$12:$C$2488,AF$40)</f>
        <v>0</v>
      </c>
      <c r="AG45" s="294">
        <f>SUMIFS(TIMESHEET!$N$12:$N$2488,TIMESHEET!$E$12:$E$2488,$B45,TIMESHEET!$C$12:$C$2488,AG$40)</f>
        <v>0</v>
      </c>
      <c r="AH45" s="294">
        <f>SUMIFS(TIMESHEET!$N$12:$N$2488,TIMESHEET!$E$12:$E$2488,$B45,TIMESHEET!$C$12:$C$2488,AH$40)</f>
        <v>0</v>
      </c>
      <c r="AI45" s="294">
        <f>SUMIFS(TIMESHEET!$N$12:$N$2488,TIMESHEET!$E$12:$E$2488,$B45,TIMESHEET!$C$12:$C$2488,AI$40)</f>
        <v>0</v>
      </c>
      <c r="AJ45" s="294">
        <f>SUMIFS(TIMESHEET!$N$12:$N$2488,TIMESHEET!$E$12:$E$2488,$B45,TIMESHEET!$C$12:$C$2488,AJ$40)</f>
        <v>0</v>
      </c>
      <c r="AK45" s="294">
        <f>SUMIFS(TIMESHEET!$N$12:$N$2488,TIMESHEET!$E$12:$E$2488,$B45,TIMESHEET!$C$12:$C$2488,AK$40)</f>
        <v>0</v>
      </c>
      <c r="AL45" s="294">
        <f>SUMIFS(TIMESHEET!$N$12:$N$2488,TIMESHEET!$E$12:$E$2488,$B45,TIMESHEET!$C$12:$C$2488,AL$40)</f>
        <v>0</v>
      </c>
    </row>
    <row r="46">
      <c r="A46" s="306"/>
      <c r="B46" s="291" t="str">
        <f>IFERROR(__xludf.DUMMYFUNCTION("""COMPUTED_VALUE"""),"Gabriela Faria de Oliveira")</f>
        <v>Gabriela Faria de Oliveira</v>
      </c>
      <c r="C46" s="307" t="str">
        <f>VLOOKUP(B46,PESSOAL!$B:$C,2,false)</f>
        <v>087.823.469-17</v>
      </c>
      <c r="D46" s="291" t="str">
        <f>VLOOKUP(B46,PESSOAL!$B$13:$F$25,5,FALSE)</f>
        <v>Pós Graduado</v>
      </c>
      <c r="E46" s="294">
        <f>SUMIFS(TIMESHEET!$N$12:$N$2488,TIMESHEET!$E$12:$E$2488,$B46,TIMESHEET!$C$12:$C$2488,E$40)</f>
        <v>316.4171797</v>
      </c>
      <c r="F46" s="294">
        <f>SUMIFS(TIMESHEET!$N$12:$N$2488,TIMESHEET!$E$12:$E$2488,$B46,TIMESHEET!$C$12:$C$2488,F$40)</f>
        <v>0</v>
      </c>
      <c r="G46" s="294">
        <f>SUMIFS(TIMESHEET!$N$12:$N$2488,TIMESHEET!$E$12:$E$2488,$B46,TIMESHEET!$C$12:$C$2488,G$40)</f>
        <v>5013.373553</v>
      </c>
      <c r="H46" s="294">
        <f>SUMIFS(TIMESHEET!$N$12:$N$2488,TIMESHEET!$E$12:$E$2488,$B46,TIMESHEET!$C$12:$C$2488,H$40)</f>
        <v>1829.618081</v>
      </c>
      <c r="I46" s="294">
        <f>SUMIFS(TIMESHEET!$N$12:$N$2488,TIMESHEET!$E$12:$E$2488,$B46,TIMESHEET!$C$12:$C$2488,I$40)</f>
        <v>0</v>
      </c>
      <c r="J46" s="294">
        <f>SUMIFS(TIMESHEET!$N$12:$N$2488,TIMESHEET!$E$12:$E$2488,$B46,TIMESHEET!$C$12:$C$2488,J$40)</f>
        <v>0</v>
      </c>
      <c r="K46" s="294">
        <f>SUMIFS(TIMESHEET!$N$12:$N$2488,TIMESHEET!$E$12:$E$2488,$B46,TIMESHEET!$C$12:$C$2488,K$40)</f>
        <v>0</v>
      </c>
      <c r="L46" s="294">
        <f>SUMIFS(TIMESHEET!$N$12:$N$2488,TIMESHEET!$E$12:$E$2488,$B46,TIMESHEET!$C$12:$C$2488,L$40)</f>
        <v>0</v>
      </c>
      <c r="M46" s="294">
        <f>SUMIFS(TIMESHEET!$N$12:$N$2488,TIMESHEET!$E$12:$E$2488,$B46,TIMESHEET!$C$12:$C$2488,M$40)</f>
        <v>0</v>
      </c>
      <c r="N46" s="294">
        <f>SUMIFS(TIMESHEET!$N$12:$N$2488,TIMESHEET!$E$12:$E$2488,$B46,TIMESHEET!$C$12:$C$2488,N$40)</f>
        <v>0</v>
      </c>
      <c r="O46" s="294">
        <f>SUMIFS(TIMESHEET!$N$12:$N$2488,TIMESHEET!$E$12:$E$2488,$B46,TIMESHEET!$C$12:$C$2488,O$40)</f>
        <v>100.4498983</v>
      </c>
      <c r="P46" s="294">
        <f>SUMIFS(TIMESHEET!$N$12:$N$2488,TIMESHEET!$E$12:$E$2488,$B46,TIMESHEET!$C$12:$C$2488,P$40)</f>
        <v>0</v>
      </c>
      <c r="Q46" s="294">
        <f>SUMIFS(TIMESHEET!$N$12:$N$2488,TIMESHEET!$E$12:$E$2488,$B46,TIMESHEET!$C$12:$C$2488,Q$40)</f>
        <v>0</v>
      </c>
      <c r="R46" s="294">
        <f>SUMIFS(TIMESHEET!$N$12:$N$2488,TIMESHEET!$E$12:$E$2488,$B46,TIMESHEET!$C$12:$C$2488,R$40)</f>
        <v>0</v>
      </c>
      <c r="S46" s="294">
        <f>SUMIFS(TIMESHEET!$N$12:$N$2488,TIMESHEET!$E$12:$E$2488,$B46,TIMESHEET!$C$12:$C$2488,S$40)</f>
        <v>0</v>
      </c>
      <c r="T46" s="294">
        <f>SUMIFS(TIMESHEET!$N$12:$N$2488,TIMESHEET!$E$12:$E$2488,$B46,TIMESHEET!$C$12:$C$2488,T$40)</f>
        <v>0</v>
      </c>
      <c r="U46" s="294">
        <f>SUMIFS(TIMESHEET!$N$12:$N$2488,TIMESHEET!$E$12:$E$2488,$B46,TIMESHEET!$C$12:$C$2488,U$40)</f>
        <v>0</v>
      </c>
      <c r="V46" s="294">
        <f>SUMIFS(TIMESHEET!$N$12:$N$2488,TIMESHEET!$E$12:$E$2488,$B46,TIMESHEET!$C$12:$C$2488,V$40)</f>
        <v>608.2646848</v>
      </c>
      <c r="W46" s="294">
        <f>SUMIFS(TIMESHEET!$N$12:$N$2488,TIMESHEET!$E$12:$E$2488,$B46,TIMESHEET!$C$12:$C$2488,W$40)</f>
        <v>0</v>
      </c>
      <c r="X46" s="294">
        <f>SUMIFS(TIMESHEET!$N$12:$N$2488,TIMESHEET!$E$12:$E$2488,$B46,TIMESHEET!$C$12:$C$2488,X$40)</f>
        <v>0</v>
      </c>
      <c r="Y46" s="294">
        <f>SUMIFS(TIMESHEET!$N$12:$N$2488,TIMESHEET!$E$12:$E$2488,$B46,TIMESHEET!$C$12:$C$2488,Y$40)</f>
        <v>0</v>
      </c>
      <c r="Z46" s="294">
        <f>SUMIFS(TIMESHEET!$N$12:$N$2488,TIMESHEET!$E$12:$E$2488,$B46,TIMESHEET!$C$12:$C$2488,Z$40)</f>
        <v>0</v>
      </c>
      <c r="AA46" s="294">
        <f>SUMIFS(TIMESHEET!$N$12:$N$2488,TIMESHEET!$E$12:$E$2488,$B46,TIMESHEET!$C$12:$C$2488,AA$40)</f>
        <v>0</v>
      </c>
      <c r="AB46" s="294">
        <f>SUMIFS(TIMESHEET!$N$12:$N$2488,TIMESHEET!$E$12:$E$2488,$B46,TIMESHEET!$C$12:$C$2488,AB$40)</f>
        <v>0</v>
      </c>
      <c r="AC46" s="294">
        <f>SUMIFS(TIMESHEET!$N$12:$N$2488,TIMESHEET!$E$12:$E$2488,$B46,TIMESHEET!$C$12:$C$2488,AC$40)</f>
        <v>0</v>
      </c>
      <c r="AD46" s="294">
        <f>SUMIFS(TIMESHEET!$N$12:$N$2488,TIMESHEET!$E$12:$E$2488,$B46,TIMESHEET!$C$12:$C$2488,AD$40)</f>
        <v>0</v>
      </c>
      <c r="AE46" s="294">
        <f>SUMIFS(TIMESHEET!$N$12:$N$2488,TIMESHEET!$E$12:$E$2488,$B46,TIMESHEET!$C$12:$C$2488,AE$40)</f>
        <v>0</v>
      </c>
      <c r="AF46" s="294">
        <f>SUMIFS(TIMESHEET!$N$12:$N$2488,TIMESHEET!$E$12:$E$2488,$B46,TIMESHEET!$C$12:$C$2488,AF$40)</f>
        <v>0</v>
      </c>
      <c r="AG46" s="294">
        <f>SUMIFS(TIMESHEET!$N$12:$N$2488,TIMESHEET!$E$12:$E$2488,$B46,TIMESHEET!$C$12:$C$2488,AG$40)</f>
        <v>0</v>
      </c>
      <c r="AH46" s="294">
        <f>SUMIFS(TIMESHEET!$N$12:$N$2488,TIMESHEET!$E$12:$E$2488,$B46,TIMESHEET!$C$12:$C$2488,AH$40)</f>
        <v>0</v>
      </c>
      <c r="AI46" s="294">
        <f>SUMIFS(TIMESHEET!$N$12:$N$2488,TIMESHEET!$E$12:$E$2488,$B46,TIMESHEET!$C$12:$C$2488,AI$40)</f>
        <v>0</v>
      </c>
      <c r="AJ46" s="294">
        <f>SUMIFS(TIMESHEET!$N$12:$N$2488,TIMESHEET!$E$12:$E$2488,$B46,TIMESHEET!$C$12:$C$2488,AJ$40)</f>
        <v>0</v>
      </c>
      <c r="AK46" s="294">
        <f>SUMIFS(TIMESHEET!$N$12:$N$2488,TIMESHEET!$E$12:$E$2488,$B46,TIMESHEET!$C$12:$C$2488,AK$40)</f>
        <v>0</v>
      </c>
      <c r="AL46" s="294">
        <f>SUMIFS(TIMESHEET!$N$12:$N$2488,TIMESHEET!$E$12:$E$2488,$B46,TIMESHEET!$C$12:$C$2488,AL$40)</f>
        <v>0</v>
      </c>
    </row>
    <row r="47">
      <c r="A47" s="306"/>
      <c r="B47" s="291" t="str">
        <f>IFERROR(__xludf.DUMMYFUNCTION("""COMPUTED_VALUE"""),"Hellin dos Santos")</f>
        <v>Hellin dos Santos</v>
      </c>
      <c r="C47" s="307" t="str">
        <f>VLOOKUP(B47,PESSOAL!$B:$C,2,false)</f>
        <v>058.544.839-63</v>
      </c>
      <c r="D47" s="291" t="str">
        <f>VLOOKUP(B47,PESSOAL!$B$13:$F$25,5,FALSE)</f>
        <v>Mestrado</v>
      </c>
      <c r="E47" s="294">
        <f>SUMIFS(TIMESHEET!$N$12:$N$2488,TIMESHEET!$E$12:$E$2488,$B47,TIMESHEET!$C$12:$C$2488,E$40)</f>
        <v>4697.168281</v>
      </c>
      <c r="F47" s="294">
        <f>SUMIFS(TIMESHEET!$N$12:$N$2488,TIMESHEET!$E$12:$E$2488,$B47,TIMESHEET!$C$12:$C$2488,F$40)</f>
        <v>0</v>
      </c>
      <c r="G47" s="294">
        <f>SUMIFS(TIMESHEET!$N$12:$N$2488,TIMESHEET!$E$12:$E$2488,$B47,TIMESHEET!$C$12:$C$2488,G$40)</f>
        <v>874.08</v>
      </c>
      <c r="H47" s="294">
        <f>SUMIFS(TIMESHEET!$N$12:$N$2488,TIMESHEET!$E$12:$E$2488,$B47,TIMESHEET!$C$12:$C$2488,H$40)</f>
        <v>3310.444448</v>
      </c>
      <c r="I47" s="294">
        <f>SUMIFS(TIMESHEET!$N$12:$N$2488,TIMESHEET!$E$12:$E$2488,$B47,TIMESHEET!$C$12:$C$2488,I$40)</f>
        <v>179.68</v>
      </c>
      <c r="J47" s="294">
        <f>SUMIFS(TIMESHEET!$N$12:$N$2488,TIMESHEET!$E$12:$E$2488,$B47,TIMESHEET!$C$12:$C$2488,J$40)</f>
        <v>0</v>
      </c>
      <c r="K47" s="294">
        <f>SUMIFS(TIMESHEET!$N$12:$N$2488,TIMESHEET!$E$12:$E$2488,$B47,TIMESHEET!$C$12:$C$2488,K$40)</f>
        <v>0</v>
      </c>
      <c r="L47" s="294">
        <f>SUMIFS(TIMESHEET!$N$12:$N$2488,TIMESHEET!$E$12:$E$2488,$B47,TIMESHEET!$C$12:$C$2488,L$40)</f>
        <v>0</v>
      </c>
      <c r="M47" s="294">
        <f>SUMIFS(TIMESHEET!$N$12:$N$2488,TIMESHEET!$E$12:$E$2488,$B47,TIMESHEET!$C$12:$C$2488,M$40)</f>
        <v>0</v>
      </c>
      <c r="N47" s="294">
        <f>SUMIFS(TIMESHEET!$N$12:$N$2488,TIMESHEET!$E$12:$E$2488,$B47,TIMESHEET!$C$12:$C$2488,N$40)</f>
        <v>170.7355313</v>
      </c>
      <c r="O47" s="294">
        <f>SUMIFS(TIMESHEET!$N$12:$N$2488,TIMESHEET!$E$12:$E$2488,$B47,TIMESHEET!$C$12:$C$2488,O$40)</f>
        <v>0</v>
      </c>
      <c r="P47" s="294">
        <f>SUMIFS(TIMESHEET!$N$12:$N$2488,TIMESHEET!$E$12:$E$2488,$B47,TIMESHEET!$C$12:$C$2488,P$40)</f>
        <v>0</v>
      </c>
      <c r="Q47" s="294">
        <f>SUMIFS(TIMESHEET!$N$12:$N$2488,TIMESHEET!$E$12:$E$2488,$B47,TIMESHEET!$C$12:$C$2488,Q$40)</f>
        <v>0</v>
      </c>
      <c r="R47" s="294">
        <f>SUMIFS(TIMESHEET!$N$12:$N$2488,TIMESHEET!$E$12:$E$2488,$B47,TIMESHEET!$C$12:$C$2488,R$40)</f>
        <v>0</v>
      </c>
      <c r="S47" s="294">
        <f>SUMIFS(TIMESHEET!$N$12:$N$2488,TIMESHEET!$E$12:$E$2488,$B47,TIMESHEET!$C$12:$C$2488,S$40)</f>
        <v>0</v>
      </c>
      <c r="T47" s="294">
        <f>SUMIFS(TIMESHEET!$N$12:$N$2488,TIMESHEET!$E$12:$E$2488,$B47,TIMESHEET!$C$12:$C$2488,T$40)</f>
        <v>2219.901446</v>
      </c>
      <c r="U47" s="294">
        <f>SUMIFS(TIMESHEET!$N$12:$N$2488,TIMESHEET!$E$12:$E$2488,$B47,TIMESHEET!$C$12:$C$2488,U$40)</f>
        <v>1893.660024</v>
      </c>
      <c r="V47" s="294">
        <f>SUMIFS(TIMESHEET!$N$12:$N$2488,TIMESHEET!$E$12:$E$2488,$B47,TIMESHEET!$C$12:$C$2488,V$40)</f>
        <v>1365.872805</v>
      </c>
      <c r="W47" s="294">
        <f>SUMIFS(TIMESHEET!$N$12:$N$2488,TIMESHEET!$E$12:$E$2488,$B47,TIMESHEET!$C$12:$C$2488,W$40)</f>
        <v>0</v>
      </c>
      <c r="X47" s="294">
        <f>SUMIFS(TIMESHEET!$N$12:$N$2488,TIMESHEET!$E$12:$E$2488,$B47,TIMESHEET!$C$12:$C$2488,X$40)</f>
        <v>0</v>
      </c>
      <c r="Y47" s="294">
        <f>SUMIFS(TIMESHEET!$N$12:$N$2488,TIMESHEET!$E$12:$E$2488,$B47,TIMESHEET!$C$12:$C$2488,Y$40)</f>
        <v>0</v>
      </c>
      <c r="Z47" s="294">
        <f>SUMIFS(TIMESHEET!$N$12:$N$2488,TIMESHEET!$E$12:$E$2488,$B47,TIMESHEET!$C$12:$C$2488,Z$40)</f>
        <v>0</v>
      </c>
      <c r="AA47" s="294">
        <f>SUMIFS(TIMESHEET!$N$12:$N$2488,TIMESHEET!$E$12:$E$2488,$B47,TIMESHEET!$C$12:$C$2488,AA$40)</f>
        <v>0</v>
      </c>
      <c r="AB47" s="294">
        <f>SUMIFS(TIMESHEET!$N$12:$N$2488,TIMESHEET!$E$12:$E$2488,$B47,TIMESHEET!$C$12:$C$2488,AB$40)</f>
        <v>0</v>
      </c>
      <c r="AC47" s="294">
        <f>SUMIFS(TIMESHEET!$N$12:$N$2488,TIMESHEET!$E$12:$E$2488,$B47,TIMESHEET!$C$12:$C$2488,AC$40)</f>
        <v>157.2798885</v>
      </c>
      <c r="AD47" s="294">
        <f>SUMIFS(TIMESHEET!$N$12:$N$2488,TIMESHEET!$E$12:$E$2488,$B47,TIMESHEET!$C$12:$C$2488,AD$40)</f>
        <v>0</v>
      </c>
      <c r="AE47" s="294">
        <f>SUMIFS(TIMESHEET!$N$12:$N$2488,TIMESHEET!$E$12:$E$2488,$B47,TIMESHEET!$C$12:$C$2488,AE$40)</f>
        <v>690.8080219</v>
      </c>
      <c r="AF47" s="294">
        <f>SUMIFS(TIMESHEET!$N$12:$N$2488,TIMESHEET!$E$12:$E$2488,$B47,TIMESHEET!$C$12:$C$2488,AF$40)</f>
        <v>0</v>
      </c>
      <c r="AG47" s="294">
        <f>SUMIFS(TIMESHEET!$N$12:$N$2488,TIMESHEET!$E$12:$E$2488,$B47,TIMESHEET!$C$12:$C$2488,AG$40)</f>
        <v>0</v>
      </c>
      <c r="AH47" s="294">
        <f>SUMIFS(TIMESHEET!$N$12:$N$2488,TIMESHEET!$E$12:$E$2488,$B47,TIMESHEET!$C$12:$C$2488,AH$40)</f>
        <v>145.9789043</v>
      </c>
      <c r="AI47" s="294">
        <f>SUMIFS(TIMESHEET!$N$12:$N$2488,TIMESHEET!$E$12:$E$2488,$B47,TIMESHEET!$C$12:$C$2488,AI$40)</f>
        <v>535.2559823</v>
      </c>
      <c r="AJ47" s="294">
        <f>SUMIFS(TIMESHEET!$N$12:$N$2488,TIMESHEET!$E$12:$E$2488,$B47,TIMESHEET!$C$12:$C$2488,AJ$40)</f>
        <v>0</v>
      </c>
      <c r="AK47" s="294">
        <f>SUMIFS(TIMESHEET!$N$12:$N$2488,TIMESHEET!$E$12:$E$2488,$B47,TIMESHEET!$C$12:$C$2488,AK$40)</f>
        <v>0</v>
      </c>
      <c r="AL47" s="294">
        <f>SUMIFS(TIMESHEET!$N$12:$N$2488,TIMESHEET!$E$12:$E$2488,$B47,TIMESHEET!$C$12:$C$2488,AL$40)</f>
        <v>314.559777</v>
      </c>
    </row>
    <row r="48">
      <c r="A48" s="306"/>
      <c r="B48" s="291" t="str">
        <f>IFERROR(__xludf.DUMMYFUNCTION("""COMPUTED_VALUE"""),"Juliana Lamas Roberto")</f>
        <v>Juliana Lamas Roberto</v>
      </c>
      <c r="C48" s="307" t="str">
        <f>VLOOKUP(B48,PESSOAL!$B:$C,2,false)</f>
        <v>317.875.738-42</v>
      </c>
      <c r="D48" s="291" t="str">
        <f>VLOOKUP(B48,PESSOAL!$B$13:$F$25,5,FALSE)</f>
        <v>Mestrado</v>
      </c>
      <c r="E48" s="294">
        <f>SUMIFS(TIMESHEET!$N$12:$N$2488,TIMESHEET!$E$12:$E$2488,$B48,TIMESHEET!$C$12:$C$2488,E$40)</f>
        <v>20632.66181</v>
      </c>
      <c r="F48" s="294">
        <f>SUMIFS(TIMESHEET!$N$12:$N$2488,TIMESHEET!$E$12:$E$2488,$B48,TIMESHEET!$C$12:$C$2488,F$40)</f>
        <v>0</v>
      </c>
      <c r="G48" s="294">
        <f>SUMIFS(TIMESHEET!$N$12:$N$2488,TIMESHEET!$E$12:$E$2488,$B48,TIMESHEET!$C$12:$C$2488,G$40)</f>
        <v>1463.449233</v>
      </c>
      <c r="H48" s="294">
        <f>SUMIFS(TIMESHEET!$N$12:$N$2488,TIMESHEET!$E$12:$E$2488,$B48,TIMESHEET!$C$12:$C$2488,H$40)</f>
        <v>285.750997</v>
      </c>
      <c r="I48" s="294">
        <f>SUMIFS(TIMESHEET!$N$12:$N$2488,TIMESHEET!$E$12:$E$2488,$B48,TIMESHEET!$C$12:$C$2488,I$40)</f>
        <v>2556.430834</v>
      </c>
      <c r="J48" s="294">
        <f>SUMIFS(TIMESHEET!$N$12:$N$2488,TIMESHEET!$E$12:$E$2488,$B48,TIMESHEET!$C$12:$C$2488,J$40)</f>
        <v>0</v>
      </c>
      <c r="K48" s="294">
        <f>SUMIFS(TIMESHEET!$N$12:$N$2488,TIMESHEET!$E$12:$E$2488,$B48,TIMESHEET!$C$12:$C$2488,K$40)</f>
        <v>587.67</v>
      </c>
      <c r="L48" s="294">
        <f>SUMIFS(TIMESHEET!$N$12:$N$2488,TIMESHEET!$E$12:$E$2488,$B48,TIMESHEET!$C$12:$C$2488,L$40)</f>
        <v>4223.794499</v>
      </c>
      <c r="M48" s="294">
        <f>SUMIFS(TIMESHEET!$N$12:$N$2488,TIMESHEET!$E$12:$E$2488,$B48,TIMESHEET!$C$12:$C$2488,M$40)</f>
        <v>0</v>
      </c>
      <c r="N48" s="294">
        <f>SUMIFS(TIMESHEET!$N$12:$N$2488,TIMESHEET!$E$12:$E$2488,$B48,TIMESHEET!$C$12:$C$2488,N$40)</f>
        <v>13793.34719</v>
      </c>
      <c r="O48" s="294">
        <f>SUMIFS(TIMESHEET!$N$12:$N$2488,TIMESHEET!$E$12:$E$2488,$B48,TIMESHEET!$C$12:$C$2488,O$40)</f>
        <v>5828.931339</v>
      </c>
      <c r="P48" s="294">
        <f>SUMIFS(TIMESHEET!$N$12:$N$2488,TIMESHEET!$E$12:$E$2488,$B48,TIMESHEET!$C$12:$C$2488,P$40)</f>
        <v>0</v>
      </c>
      <c r="Q48" s="294">
        <f>SUMIFS(TIMESHEET!$N$12:$N$2488,TIMESHEET!$E$12:$E$2488,$B48,TIMESHEET!$C$12:$C$2488,Q$40)</f>
        <v>0</v>
      </c>
      <c r="R48" s="294">
        <f>SUMIFS(TIMESHEET!$N$12:$N$2488,TIMESHEET!$E$12:$E$2488,$B48,TIMESHEET!$C$12:$C$2488,R$40)</f>
        <v>0</v>
      </c>
      <c r="S48" s="294">
        <f>SUMIFS(TIMESHEET!$N$12:$N$2488,TIMESHEET!$E$12:$E$2488,$B48,TIMESHEET!$C$12:$C$2488,S$40)</f>
        <v>935.0459072</v>
      </c>
      <c r="T48" s="294">
        <f>SUMIFS(TIMESHEET!$N$12:$N$2488,TIMESHEET!$E$12:$E$2488,$B48,TIMESHEET!$C$12:$C$2488,T$40)</f>
        <v>371.42</v>
      </c>
      <c r="U48" s="294">
        <f>SUMIFS(TIMESHEET!$N$12:$N$2488,TIMESHEET!$E$12:$E$2488,$B48,TIMESHEET!$C$12:$C$2488,U$40)</f>
        <v>0</v>
      </c>
      <c r="V48" s="294">
        <f>SUMIFS(TIMESHEET!$N$12:$N$2488,TIMESHEET!$E$12:$E$2488,$B48,TIMESHEET!$C$12:$C$2488,V$40)</f>
        <v>0</v>
      </c>
      <c r="W48" s="294">
        <f>SUMIFS(TIMESHEET!$N$12:$N$2488,TIMESHEET!$E$12:$E$2488,$B48,TIMESHEET!$C$12:$C$2488,W$40)</f>
        <v>0</v>
      </c>
      <c r="X48" s="294">
        <f>SUMIFS(TIMESHEET!$N$12:$N$2488,TIMESHEET!$E$12:$E$2488,$B48,TIMESHEET!$C$12:$C$2488,X$40)</f>
        <v>0</v>
      </c>
      <c r="Y48" s="294">
        <f>SUMIFS(TIMESHEET!$N$12:$N$2488,TIMESHEET!$E$12:$E$2488,$B48,TIMESHEET!$C$12:$C$2488,Y$40)</f>
        <v>0</v>
      </c>
      <c r="Z48" s="294">
        <f>SUMIFS(TIMESHEET!$N$12:$N$2488,TIMESHEET!$E$12:$E$2488,$B48,TIMESHEET!$C$12:$C$2488,Z$40)</f>
        <v>0</v>
      </c>
      <c r="AA48" s="294">
        <f>SUMIFS(TIMESHEET!$N$12:$N$2488,TIMESHEET!$E$12:$E$2488,$B48,TIMESHEET!$C$12:$C$2488,AA$40)</f>
        <v>0</v>
      </c>
      <c r="AB48" s="294">
        <f>SUMIFS(TIMESHEET!$N$12:$N$2488,TIMESHEET!$E$12:$E$2488,$B48,TIMESHEET!$C$12:$C$2488,AB$40)</f>
        <v>0</v>
      </c>
      <c r="AC48" s="294">
        <f>SUMIFS(TIMESHEET!$N$12:$N$2488,TIMESHEET!$E$12:$E$2488,$B48,TIMESHEET!$C$12:$C$2488,AC$40)</f>
        <v>712.4080155</v>
      </c>
      <c r="AD48" s="294">
        <f>SUMIFS(TIMESHEET!$N$12:$N$2488,TIMESHEET!$E$12:$E$2488,$B48,TIMESHEET!$C$12:$C$2488,AD$40)</f>
        <v>0</v>
      </c>
      <c r="AE48" s="294">
        <f>SUMIFS(TIMESHEET!$N$12:$N$2488,TIMESHEET!$E$12:$E$2488,$B48,TIMESHEET!$C$12:$C$2488,AE$40)</f>
        <v>0</v>
      </c>
      <c r="AF48" s="294">
        <f>SUMIFS(TIMESHEET!$N$12:$N$2488,TIMESHEET!$E$12:$E$2488,$B48,TIMESHEET!$C$12:$C$2488,AF$40)</f>
        <v>0</v>
      </c>
      <c r="AG48" s="294">
        <f>SUMIFS(TIMESHEET!$N$12:$N$2488,TIMESHEET!$E$12:$E$2488,$B48,TIMESHEET!$C$12:$C$2488,AG$40)</f>
        <v>0</v>
      </c>
      <c r="AH48" s="294">
        <f>SUMIFS(TIMESHEET!$N$12:$N$2488,TIMESHEET!$E$12:$E$2488,$B48,TIMESHEET!$C$12:$C$2488,AH$40)</f>
        <v>0</v>
      </c>
      <c r="AI48" s="294">
        <f>SUMIFS(TIMESHEET!$N$12:$N$2488,TIMESHEET!$E$12:$E$2488,$B48,TIMESHEET!$C$12:$C$2488,AI$40)</f>
        <v>0</v>
      </c>
      <c r="AJ48" s="294">
        <f>SUMIFS(TIMESHEET!$N$12:$N$2488,TIMESHEET!$E$12:$E$2488,$B48,TIMESHEET!$C$12:$C$2488,AJ$40)</f>
        <v>0</v>
      </c>
      <c r="AK48" s="294">
        <f>SUMIFS(TIMESHEET!$N$12:$N$2488,TIMESHEET!$E$12:$E$2488,$B48,TIMESHEET!$C$12:$C$2488,AK$40)</f>
        <v>0</v>
      </c>
      <c r="AL48" s="294">
        <f>SUMIFS(TIMESHEET!$N$12:$N$2488,TIMESHEET!$E$12:$E$2488,$B48,TIMESHEET!$C$12:$C$2488,AL$40)</f>
        <v>1378.609895</v>
      </c>
    </row>
    <row r="49">
      <c r="A49" s="306"/>
      <c r="B49" s="291" t="str">
        <f>IFERROR(__xludf.DUMMYFUNCTION("""COMPUTED_VALUE"""),"Lizianne Angelica Shmeil")</f>
        <v>Lizianne Angelica Shmeil</v>
      </c>
      <c r="C49" s="307" t="str">
        <f>VLOOKUP(B49,PESSOAL!$B:$C,2,false)</f>
        <v>052.485.199-93</v>
      </c>
      <c r="D49" s="291" t="str">
        <f>VLOOKUP(B49,PESSOAL!$B$13:$F$25,5,FALSE)</f>
        <v>Superior Completo</v>
      </c>
      <c r="E49" s="308">
        <f>SUMIFS(TIMESHEET!$N$12:$N$2488,TIMESHEET!$E$12:$E$2488,$B49,TIMESHEET!$C$12:$C$2488,E$40)</f>
        <v>41626.33074</v>
      </c>
      <c r="F49" s="294">
        <f>SUMIFS(TIMESHEET!$N$12:$N$2488,TIMESHEET!$E$12:$E$2488,$B49,TIMESHEET!$C$12:$C$2488,F$40)</f>
        <v>0</v>
      </c>
      <c r="G49" s="294">
        <f>SUMIFS(TIMESHEET!$N$12:$N$2488,TIMESHEET!$E$12:$E$2488,$B49,TIMESHEET!$C$12:$C$2488,G$40)</f>
        <v>0</v>
      </c>
      <c r="H49" s="294">
        <f>SUMIFS(TIMESHEET!$N$12:$N$2488,TIMESHEET!$E$12:$E$2488,$B49,TIMESHEET!$C$12:$C$2488,H$40)</f>
        <v>92.08507109</v>
      </c>
      <c r="I49" s="294">
        <f>SUMIFS(TIMESHEET!$N$12:$N$2488,TIMESHEET!$E$12:$E$2488,$B49,TIMESHEET!$C$12:$C$2488,I$40)</f>
        <v>245.5601896</v>
      </c>
      <c r="J49" s="294">
        <f>SUMIFS(TIMESHEET!$N$12:$N$2488,TIMESHEET!$E$12:$E$2488,$B49,TIMESHEET!$C$12:$C$2488,J$40)</f>
        <v>0</v>
      </c>
      <c r="K49" s="294">
        <f>SUMIFS(TIMESHEET!$N$12:$N$2488,TIMESHEET!$E$12:$E$2488,$B49,TIMESHEET!$C$12:$C$2488,K$40)</f>
        <v>4562.514343</v>
      </c>
      <c r="L49" s="294">
        <f>SUMIFS(TIMESHEET!$N$12:$N$2488,TIMESHEET!$E$12:$E$2488,$B49,TIMESHEET!$C$12:$C$2488,L$40)</f>
        <v>0</v>
      </c>
      <c r="M49" s="294">
        <f>SUMIFS(TIMESHEET!$N$12:$N$2488,TIMESHEET!$E$12:$E$2488,$B49,TIMESHEET!$C$12:$C$2488,M$40)</f>
        <v>0</v>
      </c>
      <c r="N49" s="294">
        <f>SUMIFS(TIMESHEET!$N$12:$N$2488,TIMESHEET!$E$12:$E$2488,$B49,TIMESHEET!$C$12:$C$2488,N$40)</f>
        <v>754.9514162</v>
      </c>
      <c r="O49" s="294">
        <f>SUMIFS(TIMESHEET!$N$12:$N$2488,TIMESHEET!$E$12:$E$2488,$B49,TIMESHEET!$C$12:$C$2488,O$40)</f>
        <v>0</v>
      </c>
      <c r="P49" s="294">
        <f>SUMIFS(TIMESHEET!$N$12:$N$2488,TIMESHEET!$E$12:$E$2488,$B49,TIMESHEET!$C$12:$C$2488,P$40)</f>
        <v>0</v>
      </c>
      <c r="Q49" s="294">
        <f>SUMIFS(TIMESHEET!$N$12:$N$2488,TIMESHEET!$E$12:$E$2488,$B49,TIMESHEET!$C$12:$C$2488,Q$40)</f>
        <v>0</v>
      </c>
      <c r="R49" s="294">
        <f>SUMIFS(TIMESHEET!$N$12:$N$2488,TIMESHEET!$E$12:$E$2488,$B49,TIMESHEET!$C$12:$C$2488,R$40)</f>
        <v>0</v>
      </c>
      <c r="S49" s="294">
        <f>SUMIFS(TIMESHEET!$N$12:$N$2488,TIMESHEET!$E$12:$E$2488,$B49,TIMESHEET!$C$12:$C$2488,S$40)</f>
        <v>6541.655533</v>
      </c>
      <c r="T49" s="294">
        <f>SUMIFS(TIMESHEET!$N$12:$N$2488,TIMESHEET!$E$12:$E$2488,$B49,TIMESHEET!$C$12:$C$2488,T$40)</f>
        <v>96.47007448</v>
      </c>
      <c r="U49" s="294">
        <f>SUMIFS(TIMESHEET!$N$12:$N$2488,TIMESHEET!$E$12:$E$2488,$B49,TIMESHEET!$C$12:$C$2488,U$40)</f>
        <v>92.08507109</v>
      </c>
      <c r="V49" s="294">
        <f>SUMIFS(TIMESHEET!$N$12:$N$2488,TIMESHEET!$E$12:$E$2488,$B49,TIMESHEET!$C$12:$C$2488,V$40)</f>
        <v>0</v>
      </c>
      <c r="W49" s="294">
        <f>SUMIFS(TIMESHEET!$N$12:$N$2488,TIMESHEET!$E$12:$E$2488,$B49,TIMESHEET!$C$12:$C$2488,W$40)</f>
        <v>0</v>
      </c>
      <c r="X49" s="294">
        <f>SUMIFS(TIMESHEET!$N$12:$N$2488,TIMESHEET!$E$12:$E$2488,$B49,TIMESHEET!$C$12:$C$2488,X$40)</f>
        <v>0</v>
      </c>
      <c r="Y49" s="294">
        <f>SUMIFS(TIMESHEET!$N$12:$N$2488,TIMESHEET!$E$12:$E$2488,$B49,TIMESHEET!$C$12:$C$2488,Y$40)</f>
        <v>0</v>
      </c>
      <c r="Z49" s="294">
        <f>SUMIFS(TIMESHEET!$N$12:$N$2488,TIMESHEET!$E$12:$E$2488,$B49,TIMESHEET!$C$12:$C$2488,Z$40)</f>
        <v>0</v>
      </c>
      <c r="AA49" s="294">
        <f>SUMIFS(TIMESHEET!$N$12:$N$2488,TIMESHEET!$E$12:$E$2488,$B49,TIMESHEET!$C$12:$C$2488,AA$40)</f>
        <v>0</v>
      </c>
      <c r="AB49" s="294">
        <f>SUMIFS(TIMESHEET!$N$12:$N$2488,TIMESHEET!$E$12:$E$2488,$B49,TIMESHEET!$C$12:$C$2488,AB$40)</f>
        <v>0</v>
      </c>
      <c r="AC49" s="294">
        <f>SUMIFS(TIMESHEET!$N$12:$N$2488,TIMESHEET!$E$12:$E$2488,$B49,TIMESHEET!$C$12:$C$2488,AC$40)</f>
        <v>60.39105399</v>
      </c>
      <c r="AD49" s="294">
        <f>SUMIFS(TIMESHEET!$N$12:$N$2488,TIMESHEET!$E$12:$E$2488,$B49,TIMESHEET!$C$12:$C$2488,AD$40)</f>
        <v>0</v>
      </c>
      <c r="AE49" s="294">
        <f>SUMIFS(TIMESHEET!$N$12:$N$2488,TIMESHEET!$E$12:$E$2488,$B49,TIMESHEET!$C$12:$C$2488,AE$40)</f>
        <v>0</v>
      </c>
      <c r="AF49" s="294">
        <f>SUMIFS(TIMESHEET!$N$12:$N$2488,TIMESHEET!$E$12:$E$2488,$B49,TIMESHEET!$C$12:$C$2488,AF$40)</f>
        <v>0</v>
      </c>
      <c r="AG49" s="294">
        <f>SUMIFS(TIMESHEET!$N$12:$N$2488,TIMESHEET!$E$12:$E$2488,$B49,TIMESHEET!$C$12:$C$2488,AG$40)</f>
        <v>0</v>
      </c>
      <c r="AH49" s="294">
        <f>SUMIFS(TIMESHEET!$N$12:$N$2488,TIMESHEET!$E$12:$E$2488,$B49,TIMESHEET!$C$12:$C$2488,AH$40)</f>
        <v>0</v>
      </c>
      <c r="AI49" s="294">
        <f>SUMIFS(TIMESHEET!$N$12:$N$2488,TIMESHEET!$E$12:$E$2488,$B49,TIMESHEET!$C$12:$C$2488,AI$40)</f>
        <v>0</v>
      </c>
      <c r="AJ49" s="294">
        <f>SUMIFS(TIMESHEET!$N$12:$N$2488,TIMESHEET!$E$12:$E$2488,$B49,TIMESHEET!$C$12:$C$2488,AJ$40)</f>
        <v>287.2049431</v>
      </c>
      <c r="AK49" s="294">
        <f>SUMIFS(TIMESHEET!$N$12:$N$2488,TIMESHEET!$E$12:$E$2488,$B49,TIMESHEET!$C$12:$C$2488,AK$40)</f>
        <v>0</v>
      </c>
      <c r="AL49" s="294">
        <f>SUMIFS(TIMESHEET!$N$12:$N$2488,TIMESHEET!$E$12:$E$2488,$B49,TIMESHEET!$C$12:$C$2488,AL$40)</f>
        <v>7148.045587</v>
      </c>
    </row>
    <row r="50">
      <c r="A50" s="306"/>
      <c r="B50" s="291" t="str">
        <f>IFERROR(__xludf.DUMMYFUNCTION("""COMPUTED_VALUE"""),"Luciana Dutra")</f>
        <v>Luciana Dutra</v>
      </c>
      <c r="C50" s="307" t="str">
        <f>VLOOKUP(B50,PESSOAL!$B:$C,2,false)</f>
        <v>186.586.978-35</v>
      </c>
      <c r="D50" s="291" t="str">
        <f>VLOOKUP(B50,PESSOAL!$B$13:$F$25,5,FALSE)</f>
        <v>Pós Graduado</v>
      </c>
      <c r="E50" s="308">
        <f>SUMIFS(TIMESHEET!$N$12:$N$2488,TIMESHEET!$E$12:$E$2488,$B50,TIMESHEET!$C$12:$C$2488,E$40)</f>
        <v>2921.774544</v>
      </c>
      <c r="F50" s="294">
        <f>SUMIFS(TIMESHEET!$N$12:$N$2488,TIMESHEET!$E$12:$E$2488,$B50,TIMESHEET!$C$12:$C$2488,F$40)</f>
        <v>0</v>
      </c>
      <c r="G50" s="294">
        <f>SUMIFS(TIMESHEET!$N$12:$N$2488,TIMESHEET!$E$12:$E$2488,$B50,TIMESHEET!$C$12:$C$2488,G$40)</f>
        <v>908.59</v>
      </c>
      <c r="H50" s="294">
        <f>SUMIFS(TIMESHEET!$N$12:$N$2488,TIMESHEET!$E$12:$E$2488,$B50,TIMESHEET!$C$12:$C$2488,H$40)</f>
        <v>527.94</v>
      </c>
      <c r="I50" s="294">
        <f>SUMIFS(TIMESHEET!$N$12:$N$2488,TIMESHEET!$E$12:$E$2488,$B50,TIMESHEET!$C$12:$C$2488,I$40)</f>
        <v>462.16</v>
      </c>
      <c r="J50" s="294">
        <f>SUMIFS(TIMESHEET!$N$12:$N$2488,TIMESHEET!$E$12:$E$2488,$B50,TIMESHEET!$C$12:$C$2488,J$40)</f>
        <v>0</v>
      </c>
      <c r="K50" s="294">
        <f>SUMIFS(TIMESHEET!$N$12:$N$2488,TIMESHEET!$E$12:$E$2488,$B50,TIMESHEET!$C$12:$C$2488,K$40)</f>
        <v>349.37</v>
      </c>
      <c r="L50" s="294">
        <f>SUMIFS(TIMESHEET!$N$12:$N$2488,TIMESHEET!$E$12:$E$2488,$B50,TIMESHEET!$C$12:$C$2488,L$40)</f>
        <v>690.97</v>
      </c>
      <c r="M50" s="294">
        <f>SUMIFS(TIMESHEET!$N$12:$N$2488,TIMESHEET!$E$12:$E$2488,$B50,TIMESHEET!$C$12:$C$2488,M$40)</f>
        <v>0</v>
      </c>
      <c r="N50" s="294">
        <f>SUMIFS(TIMESHEET!$N$12:$N$2488,TIMESHEET!$E$12:$E$2488,$B50,TIMESHEET!$C$12:$C$2488,N$40)</f>
        <v>1526.204167</v>
      </c>
      <c r="O50" s="294">
        <f>SUMIFS(TIMESHEET!$N$12:$N$2488,TIMESHEET!$E$12:$E$2488,$B50,TIMESHEET!$C$12:$C$2488,O$40)</f>
        <v>977.31</v>
      </c>
      <c r="P50" s="294">
        <f>SUMIFS(TIMESHEET!$N$12:$N$2488,TIMESHEET!$E$12:$E$2488,$B50,TIMESHEET!$C$12:$C$2488,P$40)</f>
        <v>0</v>
      </c>
      <c r="Q50" s="294">
        <f>SUMIFS(TIMESHEET!$N$12:$N$2488,TIMESHEET!$E$12:$E$2488,$B50,TIMESHEET!$C$12:$C$2488,Q$40)</f>
        <v>0</v>
      </c>
      <c r="R50" s="294">
        <f>SUMIFS(TIMESHEET!$N$12:$N$2488,TIMESHEET!$E$12:$E$2488,$B50,TIMESHEET!$C$12:$C$2488,R$40)</f>
        <v>0</v>
      </c>
      <c r="S50" s="294">
        <f>SUMIFS(TIMESHEET!$N$12:$N$2488,TIMESHEET!$E$12:$E$2488,$B50,TIMESHEET!$C$12:$C$2488,S$40)</f>
        <v>341.6</v>
      </c>
      <c r="T50" s="294">
        <f>SUMIFS(TIMESHEET!$N$12:$N$2488,TIMESHEET!$E$12:$E$2488,$B50,TIMESHEET!$C$12:$C$2488,T$40)</f>
        <v>0</v>
      </c>
      <c r="U50" s="294">
        <f>SUMIFS(TIMESHEET!$N$12:$N$2488,TIMESHEET!$E$12:$E$2488,$B50,TIMESHEET!$C$12:$C$2488,U$40)</f>
        <v>0</v>
      </c>
      <c r="V50" s="294">
        <f>SUMIFS(TIMESHEET!$N$12:$N$2488,TIMESHEET!$E$12:$E$2488,$B50,TIMESHEET!$C$12:$C$2488,V$40)</f>
        <v>0</v>
      </c>
      <c r="W50" s="294">
        <f>SUMIFS(TIMESHEET!$N$12:$N$2488,TIMESHEET!$E$12:$E$2488,$B50,TIMESHEET!$C$12:$C$2488,W$40)</f>
        <v>0</v>
      </c>
      <c r="X50" s="294">
        <f>SUMIFS(TIMESHEET!$N$12:$N$2488,TIMESHEET!$E$12:$E$2488,$B50,TIMESHEET!$C$12:$C$2488,X$40)</f>
        <v>0</v>
      </c>
      <c r="Y50" s="294">
        <f>SUMIFS(TIMESHEET!$N$12:$N$2488,TIMESHEET!$E$12:$E$2488,$B50,TIMESHEET!$C$12:$C$2488,Y$40)</f>
        <v>0</v>
      </c>
      <c r="Z50" s="294">
        <f>SUMIFS(TIMESHEET!$N$12:$N$2488,TIMESHEET!$E$12:$E$2488,$B50,TIMESHEET!$C$12:$C$2488,Z$40)</f>
        <v>0</v>
      </c>
      <c r="AA50" s="294">
        <f>SUMIFS(TIMESHEET!$N$12:$N$2488,TIMESHEET!$E$12:$E$2488,$B50,TIMESHEET!$C$12:$C$2488,AA$40)</f>
        <v>0</v>
      </c>
      <c r="AB50" s="294">
        <f>SUMIFS(TIMESHEET!$N$12:$N$2488,TIMESHEET!$E$12:$E$2488,$B50,TIMESHEET!$C$12:$C$2488,AB$40)</f>
        <v>0</v>
      </c>
      <c r="AC50" s="294">
        <f>SUMIFS(TIMESHEET!$N$12:$N$2488,TIMESHEET!$E$12:$E$2488,$B50,TIMESHEET!$C$12:$C$2488,AC$40)</f>
        <v>0</v>
      </c>
      <c r="AD50" s="294">
        <f>SUMIFS(TIMESHEET!$N$12:$N$2488,TIMESHEET!$E$12:$E$2488,$B50,TIMESHEET!$C$12:$C$2488,AD$40)</f>
        <v>0</v>
      </c>
      <c r="AE50" s="294">
        <f>SUMIFS(TIMESHEET!$N$12:$N$2488,TIMESHEET!$E$12:$E$2488,$B50,TIMESHEET!$C$12:$C$2488,AE$40)</f>
        <v>0</v>
      </c>
      <c r="AF50" s="294">
        <f>SUMIFS(TIMESHEET!$N$12:$N$2488,TIMESHEET!$E$12:$E$2488,$B50,TIMESHEET!$C$12:$C$2488,AF$40)</f>
        <v>0</v>
      </c>
      <c r="AG50" s="294">
        <f>SUMIFS(TIMESHEET!$N$12:$N$2488,TIMESHEET!$E$12:$E$2488,$B50,TIMESHEET!$C$12:$C$2488,AG$40)</f>
        <v>0</v>
      </c>
      <c r="AH50" s="294">
        <f>SUMIFS(TIMESHEET!$N$12:$N$2488,TIMESHEET!$E$12:$E$2488,$B50,TIMESHEET!$C$12:$C$2488,AH$40)</f>
        <v>0</v>
      </c>
      <c r="AI50" s="294">
        <f>SUMIFS(TIMESHEET!$N$12:$N$2488,TIMESHEET!$E$12:$E$2488,$B50,TIMESHEET!$C$12:$C$2488,AI$40)</f>
        <v>0</v>
      </c>
      <c r="AJ50" s="294">
        <f>SUMIFS(TIMESHEET!$N$12:$N$2488,TIMESHEET!$E$12:$E$2488,$B50,TIMESHEET!$C$12:$C$2488,AJ$40)</f>
        <v>0</v>
      </c>
      <c r="AK50" s="294">
        <f>SUMIFS(TIMESHEET!$N$12:$N$2488,TIMESHEET!$E$12:$E$2488,$B50,TIMESHEET!$C$12:$C$2488,AK$40)</f>
        <v>0</v>
      </c>
      <c r="AL50" s="294">
        <f>SUMIFS(TIMESHEET!$N$12:$N$2488,TIMESHEET!$E$12:$E$2488,$B50,TIMESHEET!$C$12:$C$2488,AL$40)</f>
        <v>0</v>
      </c>
    </row>
    <row r="51">
      <c r="A51" s="306"/>
      <c r="B51" s="291" t="str">
        <f>IFERROR(__xludf.DUMMYFUNCTION("""COMPUTED_VALUE"""),"Rafael Parreira Lorini")</f>
        <v>Rafael Parreira Lorini</v>
      </c>
      <c r="C51" s="307" t="str">
        <f>VLOOKUP(B51,PESSOAL!$B:$C,2,false)</f>
        <v>024.486.920-09</v>
      </c>
      <c r="D51" s="291" t="str">
        <f>VLOOKUP(B51,PESSOAL!$B$13:$F$25,5,FALSE)</f>
        <v>Superior Completo</v>
      </c>
      <c r="E51" s="308">
        <f>SUMIFS(TIMESHEET!$N$12:$N$2488,TIMESHEET!$E$12:$E$2488,$B51,TIMESHEET!$C$12:$C$2488,E$40)</f>
        <v>0</v>
      </c>
      <c r="F51" s="294">
        <f>SUMIFS(TIMESHEET!$N$12:$N$2488,TIMESHEET!$E$12:$E$2488,$B51,TIMESHEET!$C$12:$C$2488,F$40)</f>
        <v>0</v>
      </c>
      <c r="G51" s="294">
        <f>SUMIFS(TIMESHEET!$N$12:$N$2488,TIMESHEET!$E$12:$E$2488,$B51,TIMESHEET!$C$12:$C$2488,G$40)</f>
        <v>295.89</v>
      </c>
      <c r="H51" s="294">
        <f>SUMIFS(TIMESHEET!$N$12:$N$2488,TIMESHEET!$E$12:$E$2488,$B51,TIMESHEET!$C$12:$C$2488,H$40)</f>
        <v>0</v>
      </c>
      <c r="I51" s="294">
        <f>SUMIFS(TIMESHEET!$N$12:$N$2488,TIMESHEET!$E$12:$E$2488,$B51,TIMESHEET!$C$12:$C$2488,I$40)</f>
        <v>0</v>
      </c>
      <c r="J51" s="294">
        <f>SUMIFS(TIMESHEET!$N$12:$N$2488,TIMESHEET!$E$12:$E$2488,$B51,TIMESHEET!$C$12:$C$2488,J$40)</f>
        <v>0</v>
      </c>
      <c r="K51" s="294">
        <f>SUMIFS(TIMESHEET!$N$12:$N$2488,TIMESHEET!$E$12:$E$2488,$B51,TIMESHEET!$C$12:$C$2488,K$40)</f>
        <v>0</v>
      </c>
      <c r="L51" s="294">
        <f>SUMIFS(TIMESHEET!$N$12:$N$2488,TIMESHEET!$E$12:$E$2488,$B51,TIMESHEET!$C$12:$C$2488,L$40)</f>
        <v>1229.6</v>
      </c>
      <c r="M51" s="294">
        <f>SUMIFS(TIMESHEET!$N$12:$N$2488,TIMESHEET!$E$12:$E$2488,$B51,TIMESHEET!$C$12:$C$2488,M$40)</f>
        <v>0</v>
      </c>
      <c r="N51" s="294">
        <f>SUMIFS(TIMESHEET!$N$12:$N$2488,TIMESHEET!$E$12:$E$2488,$B51,TIMESHEET!$C$12:$C$2488,N$40)</f>
        <v>479.46</v>
      </c>
      <c r="O51" s="294">
        <f>SUMIFS(TIMESHEET!$N$12:$N$2488,TIMESHEET!$E$12:$E$2488,$B51,TIMESHEET!$C$12:$C$2488,O$40)</f>
        <v>0</v>
      </c>
      <c r="P51" s="294">
        <f>SUMIFS(TIMESHEET!$N$12:$N$2488,TIMESHEET!$E$12:$E$2488,$B51,TIMESHEET!$C$12:$C$2488,P$40)</f>
        <v>0</v>
      </c>
      <c r="Q51" s="294">
        <f>SUMIFS(TIMESHEET!$N$12:$N$2488,TIMESHEET!$E$12:$E$2488,$B51,TIMESHEET!$C$12:$C$2488,Q$40)</f>
        <v>0</v>
      </c>
      <c r="R51" s="294">
        <f>SUMIFS(TIMESHEET!$N$12:$N$2488,TIMESHEET!$E$12:$E$2488,$B51,TIMESHEET!$C$12:$C$2488,R$40)</f>
        <v>0</v>
      </c>
      <c r="S51" s="294">
        <f>SUMIFS(TIMESHEET!$N$12:$N$2488,TIMESHEET!$E$12:$E$2488,$B51,TIMESHEET!$C$12:$C$2488,S$40)</f>
        <v>0</v>
      </c>
      <c r="T51" s="294">
        <f>SUMIFS(TIMESHEET!$N$12:$N$2488,TIMESHEET!$E$12:$E$2488,$B51,TIMESHEET!$C$12:$C$2488,T$40)</f>
        <v>0</v>
      </c>
      <c r="U51" s="294">
        <f>SUMIFS(TIMESHEET!$N$12:$N$2488,TIMESHEET!$E$12:$E$2488,$B51,TIMESHEET!$C$12:$C$2488,U$40)</f>
        <v>0</v>
      </c>
      <c r="V51" s="294">
        <f>SUMIFS(TIMESHEET!$N$12:$N$2488,TIMESHEET!$E$12:$E$2488,$B51,TIMESHEET!$C$12:$C$2488,V$40)</f>
        <v>0</v>
      </c>
      <c r="W51" s="294">
        <f>SUMIFS(TIMESHEET!$N$12:$N$2488,TIMESHEET!$E$12:$E$2488,$B51,TIMESHEET!$C$12:$C$2488,W$40)</f>
        <v>0</v>
      </c>
      <c r="X51" s="294">
        <f>SUMIFS(TIMESHEET!$N$12:$N$2488,TIMESHEET!$E$12:$E$2488,$B51,TIMESHEET!$C$12:$C$2488,X$40)</f>
        <v>0</v>
      </c>
      <c r="Y51" s="294">
        <f>SUMIFS(TIMESHEET!$N$12:$N$2488,TIMESHEET!$E$12:$E$2488,$B51,TIMESHEET!$C$12:$C$2488,Y$40)</f>
        <v>85.09</v>
      </c>
      <c r="Z51" s="294">
        <f>SUMIFS(TIMESHEET!$N$12:$N$2488,TIMESHEET!$E$12:$E$2488,$B51,TIMESHEET!$C$12:$C$2488,Z$40)</f>
        <v>0</v>
      </c>
      <c r="AA51" s="294">
        <f>SUMIFS(TIMESHEET!$N$12:$N$2488,TIMESHEET!$E$12:$E$2488,$B51,TIMESHEET!$C$12:$C$2488,AA$40)</f>
        <v>0</v>
      </c>
      <c r="AB51" s="294">
        <f>SUMIFS(TIMESHEET!$N$12:$N$2488,TIMESHEET!$E$12:$E$2488,$B51,TIMESHEET!$C$12:$C$2488,AB$40)</f>
        <v>0</v>
      </c>
      <c r="AC51" s="294">
        <f>SUMIFS(TIMESHEET!$N$12:$N$2488,TIMESHEET!$E$12:$E$2488,$B51,TIMESHEET!$C$12:$C$2488,AC$40)</f>
        <v>0</v>
      </c>
      <c r="AD51" s="294">
        <f>SUMIFS(TIMESHEET!$N$12:$N$2488,TIMESHEET!$E$12:$E$2488,$B51,TIMESHEET!$C$12:$C$2488,AD$40)</f>
        <v>0</v>
      </c>
      <c r="AE51" s="294">
        <f>SUMIFS(TIMESHEET!$N$12:$N$2488,TIMESHEET!$E$12:$E$2488,$B51,TIMESHEET!$C$12:$C$2488,AE$40)</f>
        <v>0</v>
      </c>
      <c r="AF51" s="294">
        <f>SUMIFS(TIMESHEET!$N$12:$N$2488,TIMESHEET!$E$12:$E$2488,$B51,TIMESHEET!$C$12:$C$2488,AF$40)</f>
        <v>0</v>
      </c>
      <c r="AG51" s="294">
        <f>SUMIFS(TIMESHEET!$N$12:$N$2488,TIMESHEET!$E$12:$E$2488,$B51,TIMESHEET!$C$12:$C$2488,AG$40)</f>
        <v>0</v>
      </c>
      <c r="AH51" s="294">
        <f>SUMIFS(TIMESHEET!$N$12:$N$2488,TIMESHEET!$E$12:$E$2488,$B51,TIMESHEET!$C$12:$C$2488,AH$40)</f>
        <v>0</v>
      </c>
      <c r="AI51" s="294">
        <f>SUMIFS(TIMESHEET!$N$12:$N$2488,TIMESHEET!$E$12:$E$2488,$B51,TIMESHEET!$C$12:$C$2488,AI$40)</f>
        <v>0</v>
      </c>
      <c r="AJ51" s="294">
        <f>SUMIFS(TIMESHEET!$N$12:$N$2488,TIMESHEET!$E$12:$E$2488,$B51,TIMESHEET!$C$12:$C$2488,AJ$40)</f>
        <v>0</v>
      </c>
      <c r="AK51" s="294">
        <f>SUMIFS(TIMESHEET!$N$12:$N$2488,TIMESHEET!$E$12:$E$2488,$B51,TIMESHEET!$C$12:$C$2488,AK$40)</f>
        <v>0</v>
      </c>
      <c r="AL51" s="294">
        <f>SUMIFS(TIMESHEET!$N$12:$N$2488,TIMESHEET!$E$12:$E$2488,$B51,TIMESHEET!$C$12:$C$2488,AL$40)</f>
        <v>0</v>
      </c>
    </row>
    <row r="52">
      <c r="A52" s="306"/>
      <c r="B52" s="291" t="str">
        <f>IFERROR(__xludf.DUMMYFUNCTION("""COMPUTED_VALUE"""),"Raissa Bellotti")</f>
        <v>Raissa Bellotti</v>
      </c>
      <c r="C52" s="307" t="str">
        <f>VLOOKUP(B52,PESSOAL!$B:$C,2,false)</f>
        <v>430.604.838-17</v>
      </c>
      <c r="D52" s="291" t="str">
        <f>VLOOKUP(B52,PESSOAL!$B$13:$F$25,5,FALSE)</f>
        <v>Pós Graduada</v>
      </c>
      <c r="E52" s="308">
        <f>SUMIFS(TIMESHEET!$N$12:$N$2488,TIMESHEET!$E$12:$E$2488,$B52,TIMESHEET!$C$12:$C$2488,E$40)</f>
        <v>2072.481021</v>
      </c>
      <c r="F52" s="294">
        <f>SUMIFS(TIMESHEET!$N$12:$N$2488,TIMESHEET!$E$12:$E$2488,$B52,TIMESHEET!$C$12:$C$2488,F$40)</f>
        <v>0</v>
      </c>
      <c r="G52" s="294">
        <f>SUMIFS(TIMESHEET!$N$12:$N$2488,TIMESHEET!$E$12:$E$2488,$B52,TIMESHEET!$C$12:$C$2488,G$40)</f>
        <v>0</v>
      </c>
      <c r="H52" s="294">
        <f>SUMIFS(TIMESHEET!$N$12:$N$2488,TIMESHEET!$E$12:$E$2488,$B52,TIMESHEET!$C$12:$C$2488,H$40)</f>
        <v>1018.995963</v>
      </c>
      <c r="I52" s="294">
        <f>SUMIFS(TIMESHEET!$N$12:$N$2488,TIMESHEET!$E$12:$E$2488,$B52,TIMESHEET!$C$12:$C$2488,I$40)</f>
        <v>0</v>
      </c>
      <c r="J52" s="294">
        <f>SUMIFS(TIMESHEET!$N$12:$N$2488,TIMESHEET!$E$12:$E$2488,$B52,TIMESHEET!$C$12:$C$2488,J$40)</f>
        <v>0</v>
      </c>
      <c r="K52" s="294">
        <f>SUMIFS(TIMESHEET!$N$12:$N$2488,TIMESHEET!$E$12:$E$2488,$B52,TIMESHEET!$C$12:$C$2488,K$40)</f>
        <v>0</v>
      </c>
      <c r="L52" s="294">
        <f>SUMIFS(TIMESHEET!$N$12:$N$2488,TIMESHEET!$E$12:$E$2488,$B52,TIMESHEET!$C$12:$C$2488,L$40)</f>
        <v>0</v>
      </c>
      <c r="M52" s="294">
        <f>SUMIFS(TIMESHEET!$N$12:$N$2488,TIMESHEET!$E$12:$E$2488,$B52,TIMESHEET!$C$12:$C$2488,M$40)</f>
        <v>0</v>
      </c>
      <c r="N52" s="294">
        <f>SUMIFS(TIMESHEET!$N$12:$N$2488,TIMESHEET!$E$12:$E$2488,$B52,TIMESHEET!$C$12:$C$2488,N$40)</f>
        <v>0</v>
      </c>
      <c r="O52" s="294">
        <f>SUMIFS(TIMESHEET!$N$12:$N$2488,TIMESHEET!$E$12:$E$2488,$B52,TIMESHEET!$C$12:$C$2488,O$40)</f>
        <v>125.4148878</v>
      </c>
      <c r="P52" s="294">
        <f>SUMIFS(TIMESHEET!$N$12:$N$2488,TIMESHEET!$E$12:$E$2488,$B52,TIMESHEET!$C$12:$C$2488,P$40)</f>
        <v>0</v>
      </c>
      <c r="Q52" s="294">
        <f>SUMIFS(TIMESHEET!$N$12:$N$2488,TIMESHEET!$E$12:$E$2488,$B52,TIMESHEET!$C$12:$C$2488,Q$40)</f>
        <v>0</v>
      </c>
      <c r="R52" s="294">
        <f>SUMIFS(TIMESHEET!$N$12:$N$2488,TIMESHEET!$E$12:$E$2488,$B52,TIMESHEET!$C$12:$C$2488,R$40)</f>
        <v>0</v>
      </c>
      <c r="S52" s="294">
        <f>SUMIFS(TIMESHEET!$N$12:$N$2488,TIMESHEET!$E$12:$E$2488,$B52,TIMESHEET!$C$12:$C$2488,S$40)</f>
        <v>0</v>
      </c>
      <c r="T52" s="294">
        <f>SUMIFS(TIMESHEET!$N$12:$N$2488,TIMESHEET!$E$12:$E$2488,$B52,TIMESHEET!$C$12:$C$2488,T$40)</f>
        <v>0</v>
      </c>
      <c r="U52" s="294">
        <f>SUMIFS(TIMESHEET!$N$12:$N$2488,TIMESHEET!$E$12:$E$2488,$B52,TIMESHEET!$C$12:$C$2488,U$40)</f>
        <v>0</v>
      </c>
      <c r="V52" s="294">
        <f>SUMIFS(TIMESHEET!$N$12:$N$2488,TIMESHEET!$E$12:$E$2488,$B52,TIMESHEET!$C$12:$C$2488,V$40)</f>
        <v>845.1569939</v>
      </c>
      <c r="W52" s="294">
        <f>SUMIFS(TIMESHEET!$N$12:$N$2488,TIMESHEET!$E$12:$E$2488,$B52,TIMESHEET!$C$12:$C$2488,W$40)</f>
        <v>0</v>
      </c>
      <c r="X52" s="294">
        <f>SUMIFS(TIMESHEET!$N$12:$N$2488,TIMESHEET!$E$12:$E$2488,$B52,TIMESHEET!$C$12:$C$2488,X$40)</f>
        <v>0</v>
      </c>
      <c r="Y52" s="294">
        <f>SUMIFS(TIMESHEET!$N$12:$N$2488,TIMESHEET!$E$12:$E$2488,$B52,TIMESHEET!$C$12:$C$2488,Y$40)</f>
        <v>0</v>
      </c>
      <c r="Z52" s="294">
        <f>SUMIFS(TIMESHEET!$N$12:$N$2488,TIMESHEET!$E$12:$E$2488,$B52,TIMESHEET!$C$12:$C$2488,Z$40)</f>
        <v>0</v>
      </c>
      <c r="AA52" s="294">
        <f>SUMIFS(TIMESHEET!$N$12:$N$2488,TIMESHEET!$E$12:$E$2488,$B52,TIMESHEET!$C$12:$C$2488,AA$40)</f>
        <v>0</v>
      </c>
      <c r="AB52" s="294">
        <f>SUMIFS(TIMESHEET!$N$12:$N$2488,TIMESHEET!$E$12:$E$2488,$B52,TIMESHEET!$C$12:$C$2488,AB$40)</f>
        <v>0</v>
      </c>
      <c r="AC52" s="294">
        <f>SUMIFS(TIMESHEET!$N$12:$N$2488,TIMESHEET!$E$12:$E$2488,$B52,TIMESHEET!$C$12:$C$2488,AC$40)</f>
        <v>0</v>
      </c>
      <c r="AD52" s="294">
        <f>SUMIFS(TIMESHEET!$N$12:$N$2488,TIMESHEET!$E$12:$E$2488,$B52,TIMESHEET!$C$12:$C$2488,AD$40)</f>
        <v>0</v>
      </c>
      <c r="AE52" s="294">
        <f>SUMIFS(TIMESHEET!$N$12:$N$2488,TIMESHEET!$E$12:$E$2488,$B52,TIMESHEET!$C$12:$C$2488,AE$40)</f>
        <v>169.3100985</v>
      </c>
      <c r="AF52" s="294">
        <f>SUMIFS(TIMESHEET!$N$12:$N$2488,TIMESHEET!$E$12:$E$2488,$B52,TIMESHEET!$C$12:$C$2488,AF$40)</f>
        <v>0</v>
      </c>
      <c r="AG52" s="294">
        <f>SUMIFS(TIMESHEET!$N$12:$N$2488,TIMESHEET!$E$12:$E$2488,$B52,TIMESHEET!$C$12:$C$2488,AG$40)</f>
        <v>0</v>
      </c>
      <c r="AH52" s="294">
        <f>SUMIFS(TIMESHEET!$N$12:$N$2488,TIMESHEET!$E$12:$E$2488,$B52,TIMESHEET!$C$12:$C$2488,AH$40)</f>
        <v>0</v>
      </c>
      <c r="AI52" s="294">
        <f>SUMIFS(TIMESHEET!$N$12:$N$2488,TIMESHEET!$E$12:$E$2488,$B52,TIMESHEET!$C$12:$C$2488,AI$40)</f>
        <v>167.2198504</v>
      </c>
      <c r="AJ52" s="294">
        <f>SUMIFS(TIMESHEET!$N$12:$N$2488,TIMESHEET!$E$12:$E$2488,$B52,TIMESHEET!$C$12:$C$2488,AJ$40)</f>
        <v>0</v>
      </c>
      <c r="AK52" s="294">
        <f>SUMIFS(TIMESHEET!$N$12:$N$2488,TIMESHEET!$E$12:$E$2488,$B52,TIMESHEET!$C$12:$C$2488,AK$40)</f>
        <v>0</v>
      </c>
      <c r="AL52" s="294">
        <f>SUMIFS(TIMESHEET!$N$12:$N$2488,TIMESHEET!$E$12:$E$2488,$B52,TIMESHEET!$C$12:$C$2488,AL$40)</f>
        <v>0</v>
      </c>
    </row>
    <row r="53">
      <c r="A53" s="306"/>
      <c r="B53" s="291" t="str">
        <f>IFERROR(__xludf.DUMMYFUNCTION("""COMPUTED_VALUE"""),"Vaneisse Cristina Lima Monteiro")</f>
        <v>Vaneisse Cristina Lima Monteiro</v>
      </c>
      <c r="C53" s="307" t="str">
        <f>VLOOKUP(B53,PESSOAL!$B:$C,2,false)</f>
        <v/>
      </c>
      <c r="D53" s="291" t="str">
        <f>VLOOKUP(B53,PESSOAL!$B$13:$F$25,5,FALSE)</f>
        <v>Superior Completo</v>
      </c>
      <c r="E53" s="308">
        <f>SUMIFS(TIMESHEET!$N$12:$N$2488,TIMESHEET!$E$12:$E$2488,$B53,TIMESHEET!$C$12:$C$2488,E$40)</f>
        <v>941.74</v>
      </c>
      <c r="F53" s="294">
        <f>SUMIFS(TIMESHEET!$N$12:$N$2488,TIMESHEET!$E$12:$E$2488,$B53,TIMESHEET!$C$12:$C$2488,F$40)</f>
        <v>0</v>
      </c>
      <c r="G53" s="294">
        <f>SUMIFS(TIMESHEET!$N$12:$N$2488,TIMESHEET!$E$12:$E$2488,$B53,TIMESHEET!$C$12:$C$2488,G$40)</f>
        <v>844.256069</v>
      </c>
      <c r="H53" s="294">
        <f>SUMIFS(TIMESHEET!$N$12:$N$2488,TIMESHEET!$E$12:$E$2488,$B53,TIMESHEET!$C$12:$C$2488,H$40)</f>
        <v>18.32</v>
      </c>
      <c r="I53" s="294">
        <f>SUMIFS(TIMESHEET!$N$12:$N$2488,TIMESHEET!$E$12:$E$2488,$B53,TIMESHEET!$C$12:$C$2488,I$40)</f>
        <v>0</v>
      </c>
      <c r="J53" s="294">
        <f>SUMIFS(TIMESHEET!$N$12:$N$2488,TIMESHEET!$E$12:$E$2488,$B53,TIMESHEET!$C$12:$C$2488,J$40)</f>
        <v>0</v>
      </c>
      <c r="K53" s="294">
        <f>SUMIFS(TIMESHEET!$N$12:$N$2488,TIMESHEET!$E$12:$E$2488,$B53,TIMESHEET!$C$12:$C$2488,K$40)</f>
        <v>0</v>
      </c>
      <c r="L53" s="294">
        <f>SUMIFS(TIMESHEET!$N$12:$N$2488,TIMESHEET!$E$12:$E$2488,$B53,TIMESHEET!$C$12:$C$2488,L$40)</f>
        <v>0</v>
      </c>
      <c r="M53" s="294">
        <f>SUMIFS(TIMESHEET!$N$12:$N$2488,TIMESHEET!$E$12:$E$2488,$B53,TIMESHEET!$C$12:$C$2488,M$40)</f>
        <v>0</v>
      </c>
      <c r="N53" s="294">
        <f>SUMIFS(TIMESHEET!$N$12:$N$2488,TIMESHEET!$E$12:$E$2488,$B53,TIMESHEET!$C$12:$C$2488,N$40)</f>
        <v>0</v>
      </c>
      <c r="O53" s="294">
        <f>SUMIFS(TIMESHEET!$N$12:$N$2488,TIMESHEET!$E$12:$E$2488,$B53,TIMESHEET!$C$12:$C$2488,O$40)</f>
        <v>0</v>
      </c>
      <c r="P53" s="294">
        <f>SUMIFS(TIMESHEET!$N$12:$N$2488,TIMESHEET!$E$12:$E$2488,$B53,TIMESHEET!$C$12:$C$2488,P$40)</f>
        <v>0</v>
      </c>
      <c r="Q53" s="294">
        <f>SUMIFS(TIMESHEET!$N$12:$N$2488,TIMESHEET!$E$12:$E$2488,$B53,TIMESHEET!$C$12:$C$2488,Q$40)</f>
        <v>0</v>
      </c>
      <c r="R53" s="294">
        <f>SUMIFS(TIMESHEET!$N$12:$N$2488,TIMESHEET!$E$12:$E$2488,$B53,TIMESHEET!$C$12:$C$2488,R$40)</f>
        <v>0</v>
      </c>
      <c r="S53" s="294">
        <f>SUMIFS(TIMESHEET!$N$12:$N$2488,TIMESHEET!$E$12:$E$2488,$B53,TIMESHEET!$C$12:$C$2488,S$40)</f>
        <v>0</v>
      </c>
      <c r="T53" s="294">
        <f>SUMIFS(TIMESHEET!$N$12:$N$2488,TIMESHEET!$E$12:$E$2488,$B53,TIMESHEET!$C$12:$C$2488,T$40)</f>
        <v>0</v>
      </c>
      <c r="U53" s="294">
        <f>SUMIFS(TIMESHEET!$N$12:$N$2488,TIMESHEET!$E$12:$E$2488,$B53,TIMESHEET!$C$12:$C$2488,U$40)</f>
        <v>0</v>
      </c>
      <c r="V53" s="294">
        <f>SUMIFS(TIMESHEET!$N$12:$N$2488,TIMESHEET!$E$12:$E$2488,$B53,TIMESHEET!$C$12:$C$2488,V$40)</f>
        <v>520.3349656</v>
      </c>
      <c r="W53" s="294">
        <f>SUMIFS(TIMESHEET!$N$12:$N$2488,TIMESHEET!$E$12:$E$2488,$B53,TIMESHEET!$C$12:$C$2488,W$40)</f>
        <v>0</v>
      </c>
      <c r="X53" s="294">
        <f>SUMIFS(TIMESHEET!$N$12:$N$2488,TIMESHEET!$E$12:$E$2488,$B53,TIMESHEET!$C$12:$C$2488,X$40)</f>
        <v>0</v>
      </c>
      <c r="Y53" s="294">
        <f>SUMIFS(TIMESHEET!$N$12:$N$2488,TIMESHEET!$E$12:$E$2488,$B53,TIMESHEET!$C$12:$C$2488,Y$40)</f>
        <v>463.4130345</v>
      </c>
      <c r="Z53" s="294">
        <f>SUMIFS(TIMESHEET!$N$12:$N$2488,TIMESHEET!$E$12:$E$2488,$B53,TIMESHEET!$C$12:$C$2488,Z$40)</f>
        <v>0</v>
      </c>
      <c r="AA53" s="294">
        <f>SUMIFS(TIMESHEET!$N$12:$N$2488,TIMESHEET!$E$12:$E$2488,$B53,TIMESHEET!$C$12:$C$2488,AA$40)</f>
        <v>0</v>
      </c>
      <c r="AB53" s="294">
        <f>SUMIFS(TIMESHEET!$N$12:$N$2488,TIMESHEET!$E$12:$E$2488,$B53,TIMESHEET!$C$12:$C$2488,AB$40)</f>
        <v>0</v>
      </c>
      <c r="AC53" s="294">
        <f>SUMIFS(TIMESHEET!$N$12:$N$2488,TIMESHEET!$E$12:$E$2488,$B53,TIMESHEET!$C$12:$C$2488,AC$40)</f>
        <v>0</v>
      </c>
      <c r="AD53" s="294">
        <f>SUMIFS(TIMESHEET!$N$12:$N$2488,TIMESHEET!$E$12:$E$2488,$B53,TIMESHEET!$C$12:$C$2488,AD$40)</f>
        <v>0</v>
      </c>
      <c r="AE53" s="294">
        <f>SUMIFS(TIMESHEET!$N$12:$N$2488,TIMESHEET!$E$12:$E$2488,$B53,TIMESHEET!$C$12:$C$2488,AE$40)</f>
        <v>1062.410994</v>
      </c>
      <c r="AF53" s="294">
        <f>SUMIFS(TIMESHEET!$N$12:$N$2488,TIMESHEET!$E$12:$E$2488,$B53,TIMESHEET!$C$12:$C$2488,AF$40)</f>
        <v>0</v>
      </c>
      <c r="AG53" s="294">
        <f>SUMIFS(TIMESHEET!$N$12:$N$2488,TIMESHEET!$E$12:$E$2488,$B53,TIMESHEET!$C$12:$C$2488,AG$40)</f>
        <v>0</v>
      </c>
      <c r="AH53" s="294">
        <f>SUMIFS(TIMESHEET!$N$12:$N$2488,TIMESHEET!$E$12:$E$2488,$B53,TIMESHEET!$C$12:$C$2488,AH$40)</f>
        <v>0</v>
      </c>
      <c r="AI53" s="294">
        <f>SUMIFS(TIMESHEET!$N$12:$N$2488,TIMESHEET!$E$12:$E$2488,$B53,TIMESHEET!$C$12:$C$2488,AI$40)</f>
        <v>235.4895622</v>
      </c>
      <c r="AJ53" s="294">
        <f>SUMIFS(TIMESHEET!$N$12:$N$2488,TIMESHEET!$E$12:$E$2488,$B53,TIMESHEET!$C$12:$C$2488,AJ$40)</f>
        <v>0</v>
      </c>
      <c r="AK53" s="294">
        <f>SUMIFS(TIMESHEET!$N$12:$N$2488,TIMESHEET!$E$12:$E$2488,$B53,TIMESHEET!$C$12:$C$2488,AK$40)</f>
        <v>0</v>
      </c>
      <c r="AL53" s="294">
        <f>SUMIFS(TIMESHEET!$N$12:$N$2488,TIMESHEET!$E$12:$E$2488,$B53,TIMESHEET!$C$12:$C$2488,AL$40)</f>
        <v>0</v>
      </c>
    </row>
    <row r="54">
      <c r="B54" s="280"/>
      <c r="C54" s="280"/>
      <c r="D54" s="280"/>
      <c r="E54" s="310"/>
      <c r="F54" s="310"/>
      <c r="G54" s="310"/>
      <c r="H54" s="310"/>
      <c r="I54" s="310"/>
      <c r="J54" s="310"/>
      <c r="K54" s="310"/>
      <c r="L54" s="310"/>
      <c r="M54" s="310"/>
      <c r="N54" s="310"/>
      <c r="O54" s="310"/>
      <c r="P54" s="310"/>
      <c r="Q54" s="310"/>
      <c r="R54" s="310"/>
      <c r="S54" s="310"/>
      <c r="T54" s="310"/>
      <c r="U54" s="310"/>
      <c r="V54" s="310"/>
      <c r="W54" s="310"/>
      <c r="X54" s="310"/>
      <c r="Y54" s="310"/>
      <c r="Z54" s="310"/>
      <c r="AA54" s="310"/>
      <c r="AB54" s="310"/>
      <c r="AC54" s="310"/>
      <c r="AD54" s="310"/>
      <c r="AE54" s="310"/>
      <c r="AF54" s="310"/>
      <c r="AG54" s="310"/>
      <c r="AH54" s="310"/>
      <c r="AI54" s="310"/>
      <c r="AJ54" s="310"/>
      <c r="AK54" s="310"/>
      <c r="AL54" s="310"/>
    </row>
    <row r="55">
      <c r="B55" s="280"/>
      <c r="C55" s="280"/>
      <c r="D55" s="311">
        <f>SUM(E55:AL55)</f>
        <v>120.1368056</v>
      </c>
      <c r="E55" s="310">
        <f t="shared" ref="E55:AL55" si="3">sum(E57:E66)</f>
        <v>44.84166667</v>
      </c>
      <c r="F55" s="310">
        <f t="shared" si="3"/>
        <v>0</v>
      </c>
      <c r="G55" s="310">
        <f t="shared" si="3"/>
        <v>5.944444444</v>
      </c>
      <c r="H55" s="310">
        <f t="shared" si="3"/>
        <v>4.947916667</v>
      </c>
      <c r="I55" s="310">
        <f t="shared" si="3"/>
        <v>3.15625</v>
      </c>
      <c r="J55" s="310">
        <f t="shared" si="3"/>
        <v>0</v>
      </c>
      <c r="K55" s="310">
        <f t="shared" si="3"/>
        <v>3.326388889</v>
      </c>
      <c r="L55" s="310">
        <f t="shared" si="3"/>
        <v>3.822916667</v>
      </c>
      <c r="M55" s="310">
        <f t="shared" si="3"/>
        <v>0</v>
      </c>
      <c r="N55" s="310">
        <f t="shared" si="3"/>
        <v>7.472222222</v>
      </c>
      <c r="O55" s="310">
        <f t="shared" si="3"/>
        <v>5.583333333</v>
      </c>
      <c r="P55" s="310">
        <f t="shared" si="3"/>
        <v>0</v>
      </c>
      <c r="Q55" s="310">
        <f t="shared" si="3"/>
        <v>0</v>
      </c>
      <c r="R55" s="310">
        <f t="shared" si="3"/>
        <v>0</v>
      </c>
      <c r="S55" s="310">
        <f t="shared" si="3"/>
        <v>4.864583333</v>
      </c>
      <c r="T55" s="310">
        <f t="shared" si="3"/>
        <v>6.291666667</v>
      </c>
      <c r="U55" s="310">
        <f t="shared" si="3"/>
        <v>2.5625</v>
      </c>
      <c r="V55" s="310">
        <f t="shared" si="3"/>
        <v>4.333333333</v>
      </c>
      <c r="W55" s="310">
        <f t="shared" si="3"/>
        <v>0</v>
      </c>
      <c r="X55" s="310">
        <f t="shared" si="3"/>
        <v>0</v>
      </c>
      <c r="Y55" s="310">
        <f t="shared" si="3"/>
        <v>0.08333333333</v>
      </c>
      <c r="Z55" s="310">
        <f t="shared" si="3"/>
        <v>0</v>
      </c>
      <c r="AA55" s="310">
        <f t="shared" si="3"/>
        <v>0</v>
      </c>
      <c r="AB55" s="310">
        <f t="shared" si="3"/>
        <v>0</v>
      </c>
      <c r="AC55" s="310">
        <f t="shared" si="3"/>
        <v>1.020833333</v>
      </c>
      <c r="AD55" s="310">
        <f t="shared" si="3"/>
        <v>0</v>
      </c>
      <c r="AE55" s="310">
        <f t="shared" si="3"/>
        <v>1.104166667</v>
      </c>
      <c r="AF55" s="310">
        <f t="shared" si="3"/>
        <v>0.3333333333</v>
      </c>
      <c r="AG55" s="310">
        <f t="shared" si="3"/>
        <v>0.3958333333</v>
      </c>
      <c r="AH55" s="310">
        <f t="shared" si="3"/>
        <v>5.739583333</v>
      </c>
      <c r="AI55" s="310">
        <f t="shared" si="3"/>
        <v>0.4375</v>
      </c>
      <c r="AJ55" s="310">
        <f t="shared" si="3"/>
        <v>1.25</v>
      </c>
      <c r="AK55" s="310">
        <f t="shared" si="3"/>
        <v>0</v>
      </c>
      <c r="AL55" s="310">
        <f t="shared" si="3"/>
        <v>12.625</v>
      </c>
    </row>
    <row r="56">
      <c r="A56" s="303" t="s">
        <v>2317</v>
      </c>
      <c r="B56" s="303" t="s">
        <v>2314</v>
      </c>
      <c r="C56" s="303" t="s">
        <v>316</v>
      </c>
      <c r="D56" s="304" t="s">
        <v>2315</v>
      </c>
      <c r="E56" s="305" t="s">
        <v>290</v>
      </c>
      <c r="F56" s="305" t="s">
        <v>419</v>
      </c>
      <c r="G56" s="305" t="s">
        <v>49</v>
      </c>
      <c r="H56" s="305" t="s">
        <v>50</v>
      </c>
      <c r="I56" s="305" t="s">
        <v>51</v>
      </c>
      <c r="J56" s="305" t="s">
        <v>425</v>
      </c>
      <c r="K56" s="305" t="s">
        <v>52</v>
      </c>
      <c r="L56" s="305" t="s">
        <v>53</v>
      </c>
      <c r="M56" s="305" t="s">
        <v>1646</v>
      </c>
      <c r="N56" s="303" t="s">
        <v>54</v>
      </c>
      <c r="O56" s="305" t="s">
        <v>55</v>
      </c>
      <c r="P56" s="305" t="s">
        <v>431</v>
      </c>
      <c r="Q56" s="305" t="s">
        <v>433</v>
      </c>
      <c r="R56" s="305" t="s">
        <v>435</v>
      </c>
      <c r="S56" s="305" t="s">
        <v>56</v>
      </c>
      <c r="T56" s="305" t="s">
        <v>57</v>
      </c>
      <c r="U56" s="305" t="s">
        <v>58</v>
      </c>
      <c r="V56" s="305" t="s">
        <v>59</v>
      </c>
      <c r="W56" s="305" t="s">
        <v>441</v>
      </c>
      <c r="X56" s="305" t="s">
        <v>443</v>
      </c>
      <c r="Y56" s="305" t="s">
        <v>60</v>
      </c>
      <c r="Z56" s="305" t="s">
        <v>446</v>
      </c>
      <c r="AA56" s="305" t="s">
        <v>448</v>
      </c>
      <c r="AB56" s="305" t="s">
        <v>450</v>
      </c>
      <c r="AC56" s="305" t="s">
        <v>61</v>
      </c>
      <c r="AD56" s="305" t="s">
        <v>453</v>
      </c>
      <c r="AE56" s="305" t="s">
        <v>62</v>
      </c>
      <c r="AF56" s="305" t="s">
        <v>63</v>
      </c>
      <c r="AG56" s="305" t="s">
        <v>64</v>
      </c>
      <c r="AH56" s="305" t="s">
        <v>65</v>
      </c>
      <c r="AI56" s="305" t="s">
        <v>66</v>
      </c>
      <c r="AJ56" s="305" t="s">
        <v>67</v>
      </c>
      <c r="AK56" s="305" t="s">
        <v>68</v>
      </c>
      <c r="AL56" s="305" t="s">
        <v>69</v>
      </c>
    </row>
    <row r="57">
      <c r="A57" s="306"/>
      <c r="B57" s="291" t="s">
        <v>144</v>
      </c>
      <c r="C57" s="307" t="s">
        <v>337</v>
      </c>
      <c r="D57" s="291" t="s">
        <v>41</v>
      </c>
      <c r="E57" s="306">
        <f>IFERROR(__xludf.DUMMYFUNCTION("iferror(sum(filter(TIMESHEET!$G:$G,TIMESHEET!$E:$E=$B57,TIMESHEET!$O:$O=TRUE,TIMESHEET!$P:$P=TRUE,TIMESHEET!$C:$C=E$56)))"),7.458333333333334)</f>
        <v>7.458333333</v>
      </c>
      <c r="F57" s="306" t="str">
        <f>IFERROR(__xludf.DUMMYFUNCTION("iferror(sum(filter(TIMESHEET!$G:$G,TIMESHEET!$E:$E=$B57,TIMESHEET!$O:$O=TRUE,TIMESHEET!$P:$P=TRUE,TIMESHEET!$C:$C=F$56)))"),"")</f>
        <v/>
      </c>
      <c r="G57" s="306" t="str">
        <f>IFERROR(__xludf.DUMMYFUNCTION("iferror(sum(filter(TIMESHEET!$G:$G,TIMESHEET!$E:$E=$B57,TIMESHEET!$O:$O=TRUE,TIMESHEET!$P:$P=TRUE,TIMESHEET!$C:$C=G$56)))"),"")</f>
        <v/>
      </c>
      <c r="H57" s="306" t="str">
        <f>IFERROR(__xludf.DUMMYFUNCTION("iferror(sum(filter(TIMESHEET!$G:$G,TIMESHEET!$E:$E=$B57,TIMESHEET!$O:$O=TRUE,TIMESHEET!$P:$P=TRUE,TIMESHEET!$C:$C=H$56)))"),"")</f>
        <v/>
      </c>
      <c r="I57" s="306" t="str">
        <f>IFERROR(__xludf.DUMMYFUNCTION("iferror(sum(filter(TIMESHEET!$G:$G,TIMESHEET!$E:$E=$B57,TIMESHEET!$O:$O=TRUE,TIMESHEET!$P:$P=TRUE,TIMESHEET!$C:$C=I$56)))"),"")</f>
        <v/>
      </c>
      <c r="J57" s="306" t="str">
        <f>IFERROR(__xludf.DUMMYFUNCTION("iferror(sum(filter(TIMESHEET!$G:$G,TIMESHEET!$E:$E=$B57,TIMESHEET!$O:$O=TRUE,TIMESHEET!$P:$P=TRUE,TIMESHEET!$C:$C=J$56)))"),"")</f>
        <v/>
      </c>
      <c r="K57" s="306" t="str">
        <f>IFERROR(__xludf.DUMMYFUNCTION("iferror(sum(filter(TIMESHEET!$G:$G,TIMESHEET!$E:$E=$B57,TIMESHEET!$O:$O=TRUE,TIMESHEET!$P:$P=TRUE,TIMESHEET!$C:$C=K$56)))"),"")</f>
        <v/>
      </c>
      <c r="L57" s="306" t="str">
        <f>IFERROR(__xludf.DUMMYFUNCTION("iferror(sum(filter(TIMESHEET!$G:$G,TIMESHEET!$E:$E=$B57,TIMESHEET!$O:$O=TRUE,TIMESHEET!$P:$P=TRUE,TIMESHEET!$C:$C=L$56)))"),"")</f>
        <v/>
      </c>
      <c r="M57" s="306" t="str">
        <f>IFERROR(__xludf.DUMMYFUNCTION("iferror(sum(filter(TIMESHEET!$G:$G,TIMESHEET!$E:$E=$B57,TIMESHEET!$O:$O=TRUE,TIMESHEET!$P:$P=TRUE,TIMESHEET!$C:$C=M$56)))"),"")</f>
        <v/>
      </c>
      <c r="N57" s="306" t="str">
        <f>IFERROR(__xludf.DUMMYFUNCTION("iferror(sum(filter(TIMESHEET!$G:$G,TIMESHEET!$E:$E=$B57,TIMESHEET!$O:$O=TRUE,TIMESHEET!$P:$P=TRUE,TIMESHEET!$C:$C=N$56)))"),"")</f>
        <v/>
      </c>
      <c r="O57" s="306" t="str">
        <f>IFERROR(__xludf.DUMMYFUNCTION("iferror(sum(filter(TIMESHEET!$G:$G,TIMESHEET!$E:$E=$B57,TIMESHEET!$O:$O=TRUE,TIMESHEET!$P:$P=TRUE,TIMESHEET!$C:$C=O$56)))"),"")</f>
        <v/>
      </c>
      <c r="P57" s="306" t="str">
        <f>IFERROR(__xludf.DUMMYFUNCTION("iferror(sum(filter(TIMESHEET!$G:$G,TIMESHEET!$E:$E=$B57,TIMESHEET!$O:$O=TRUE,TIMESHEET!$P:$P=TRUE,TIMESHEET!$C:$C=P$56)))"),"")</f>
        <v/>
      </c>
      <c r="Q57" s="306" t="str">
        <f>IFERROR(__xludf.DUMMYFUNCTION("iferror(sum(filter(TIMESHEET!$G:$G,TIMESHEET!$E:$E=$B57,TIMESHEET!$O:$O=TRUE,TIMESHEET!$P:$P=TRUE,TIMESHEET!$C:$C=Q$56)))"),"")</f>
        <v/>
      </c>
      <c r="R57" s="306" t="str">
        <f>IFERROR(__xludf.DUMMYFUNCTION("iferror(sum(filter(TIMESHEET!$G:$G,TIMESHEET!$E:$E=$B57,TIMESHEET!$O:$O=TRUE,TIMESHEET!$P:$P=TRUE,TIMESHEET!$C:$C=R$56)))"),"")</f>
        <v/>
      </c>
      <c r="S57" s="306" t="str">
        <f>IFERROR(__xludf.DUMMYFUNCTION("iferror(sum(filter(TIMESHEET!$G:$G,TIMESHEET!$E:$E=$B57,TIMESHEET!$O:$O=TRUE,TIMESHEET!$P:$P=TRUE,TIMESHEET!$C:$C=S$56)))"),"")</f>
        <v/>
      </c>
      <c r="T57" s="306">
        <f>IFERROR(__xludf.DUMMYFUNCTION("iferror(sum(filter(TIMESHEET!$G:$G,TIMESHEET!$E:$E=$B57,TIMESHEET!$O:$O=TRUE,TIMESHEET!$P:$P=TRUE,TIMESHEET!$C:$C=T$56)))"),5.4375)</f>
        <v>5.4375</v>
      </c>
      <c r="U57" s="306">
        <f>IFERROR(__xludf.DUMMYFUNCTION("iferror(sum(filter(TIMESHEET!$G:$G,TIMESHEET!$E:$E=$B57,TIMESHEET!$O:$O=TRUE,TIMESHEET!$P:$P=TRUE,TIMESHEET!$C:$C=U$56)))"),1.875)</f>
        <v>1.875</v>
      </c>
      <c r="V57" s="306">
        <f>IFERROR(__xludf.DUMMYFUNCTION("iferror(sum(filter(TIMESHEET!$G:$G,TIMESHEET!$E:$E=$B57,TIMESHEET!$O:$O=TRUE,TIMESHEET!$P:$P=TRUE,TIMESHEET!$C:$C=V$56)))"),3.3125)</f>
        <v>3.3125</v>
      </c>
      <c r="W57" s="306" t="str">
        <f>IFERROR(__xludf.DUMMYFUNCTION("iferror(sum(filter(TIMESHEET!$G:$G,TIMESHEET!$E:$E=$B57,TIMESHEET!$O:$O=TRUE,TIMESHEET!$P:$P=TRUE,TIMESHEET!$C:$C=W$56)))"),"")</f>
        <v/>
      </c>
      <c r="X57" s="306" t="str">
        <f>IFERROR(__xludf.DUMMYFUNCTION("iferror(sum(filter(TIMESHEET!$G:$G,TIMESHEET!$E:$E=$B57,TIMESHEET!$O:$O=TRUE,TIMESHEET!$P:$P=TRUE,TIMESHEET!$C:$C=X$56)))"),"")</f>
        <v/>
      </c>
      <c r="Y57" s="306" t="str">
        <f>IFERROR(__xludf.DUMMYFUNCTION("iferror(sum(filter(TIMESHEET!$G:$G,TIMESHEET!$E:$E=$B57,TIMESHEET!$O:$O=TRUE,TIMESHEET!$P:$P=TRUE,TIMESHEET!$C:$C=Y$56)))"),"")</f>
        <v/>
      </c>
      <c r="Z57" s="306" t="str">
        <f>IFERROR(__xludf.DUMMYFUNCTION("iferror(sum(filter(TIMESHEET!$G:$G,TIMESHEET!$E:$E=$B57,TIMESHEET!$O:$O=TRUE,TIMESHEET!$P:$P=TRUE,TIMESHEET!$C:$C=Z$56)))"),"")</f>
        <v/>
      </c>
      <c r="AA57" s="306" t="str">
        <f>IFERROR(__xludf.DUMMYFUNCTION("iferror(sum(filter(TIMESHEET!$G:$G,TIMESHEET!$E:$E=$B57,TIMESHEET!$O:$O=TRUE,TIMESHEET!$P:$P=TRUE,TIMESHEET!$C:$C=AA$56)))"),"")</f>
        <v/>
      </c>
      <c r="AB57" s="306" t="str">
        <f>IFERROR(__xludf.DUMMYFUNCTION("iferror(sum(filter(TIMESHEET!$G:$G,TIMESHEET!$E:$E=$B57,TIMESHEET!$O:$O=TRUE,TIMESHEET!$P:$P=TRUE,TIMESHEET!$C:$C=AB$56)))"),"")</f>
        <v/>
      </c>
      <c r="AC57" s="306" t="str">
        <f>IFERROR(__xludf.DUMMYFUNCTION("iferror(sum(filter(TIMESHEET!$G:$G,TIMESHEET!$E:$E=$B57,TIMESHEET!$O:$O=TRUE,TIMESHEET!$P:$P=TRUE,TIMESHEET!$C:$C=AC$56)))"),"")</f>
        <v/>
      </c>
      <c r="AD57" s="306" t="str">
        <f>IFERROR(__xludf.DUMMYFUNCTION("iferror(sum(filter(TIMESHEET!$G:$G,TIMESHEET!$E:$E=$B57,TIMESHEET!$O:$O=TRUE,TIMESHEET!$P:$P=TRUE,TIMESHEET!$C:$C=AD$56)))"),"")</f>
        <v/>
      </c>
      <c r="AE57" s="306" t="str">
        <f>IFERROR(__xludf.DUMMYFUNCTION("iferror(sum(filter(TIMESHEET!$G:$G,TIMESHEET!$E:$E=$B57,TIMESHEET!$O:$O=TRUE,TIMESHEET!$P:$P=TRUE,TIMESHEET!$C:$C=AE$56)))"),"")</f>
        <v/>
      </c>
      <c r="AF57" s="306" t="str">
        <f>IFERROR(__xludf.DUMMYFUNCTION("iferror(sum(filter(TIMESHEET!$G:$G,TIMESHEET!$E:$E=$B57,TIMESHEET!$O:$O=TRUE,TIMESHEET!$P:$P=TRUE,TIMESHEET!$C:$C=AF$56)))"),"")</f>
        <v/>
      </c>
      <c r="AG57" s="306" t="str">
        <f>IFERROR(__xludf.DUMMYFUNCTION("iferror(sum(filter(TIMESHEET!$G:$G,TIMESHEET!$E:$E=$B57,TIMESHEET!$O:$O=TRUE,TIMESHEET!$P:$P=TRUE,TIMESHEET!$C:$C=AG$56)))"),"")</f>
        <v/>
      </c>
      <c r="AH57" s="306">
        <f>IFERROR(__xludf.DUMMYFUNCTION("iferror(sum(filter(TIMESHEET!$G:$G,TIMESHEET!$E:$E=$B57,TIMESHEET!$O:$O=TRUE,TIMESHEET!$P:$P=TRUE,TIMESHEET!$C:$C=AH$56)))"),5.343750000000001)</f>
        <v>5.34375</v>
      </c>
      <c r="AI57" s="306" t="str">
        <f>IFERROR(__xludf.DUMMYFUNCTION("iferror(sum(filter(TIMESHEET!$G:$G,TIMESHEET!$E:$E=$B57,TIMESHEET!$O:$O=TRUE,TIMESHEET!$P:$P=TRUE,TIMESHEET!$C:$C=AI$56)))"),"")</f>
        <v/>
      </c>
      <c r="AJ57" s="306">
        <f>IFERROR(__xludf.DUMMYFUNCTION("iferror(sum(filter(TIMESHEET!$G:$G,TIMESHEET!$E:$E=$B57,TIMESHEET!$O:$O=TRUE,TIMESHEET!$P:$P=TRUE,TIMESHEET!$C:$C=AJ$56)))"),1.0833333333333333)</f>
        <v>1.083333333</v>
      </c>
      <c r="AK57" s="306" t="str">
        <f>IFERROR(__xludf.DUMMYFUNCTION("iferror(sum(filter(TIMESHEET!$G:$G,TIMESHEET!$E:$E=$B57,TIMESHEET!$O:$O=TRUE,TIMESHEET!$P:$P=TRUE,TIMESHEET!$C:$C=AK$56)))"),"")</f>
        <v/>
      </c>
      <c r="AL57" s="306">
        <f>IFERROR(__xludf.DUMMYFUNCTION("iferror(sum(filter(TIMESHEET!$G:$G,TIMESHEET!$E:$E=$B57,TIMESHEET!$O:$O=TRUE,TIMESHEET!$P:$P=TRUE,TIMESHEET!$C:$C=AL$56)))"),5.270833333333333)</f>
        <v>5.270833333</v>
      </c>
    </row>
    <row r="58">
      <c r="A58" s="306"/>
      <c r="B58" s="291" t="s">
        <v>113</v>
      </c>
      <c r="C58" s="307" t="s">
        <v>341</v>
      </c>
      <c r="D58" s="291" t="s">
        <v>343</v>
      </c>
      <c r="E58" s="306">
        <f>IFERROR(__xludf.DUMMYFUNCTION("iferror(sum(filter(TIMESHEET!$G:$G,TIMESHEET!$E:$E=$B58,TIMESHEET!$O:$O=TRUE,TIMESHEET!$P:$P=TRUE,TIMESHEET!$C:$C=E$56)))"),0.33333333333333337)</f>
        <v>0.3333333333</v>
      </c>
      <c r="F58" s="306" t="str">
        <f>IFERROR(__xludf.DUMMYFUNCTION("iferror(sum(filter(TIMESHEET!$G:$G,TIMESHEET!$E:$E=$B58,TIMESHEET!$O:$O=TRUE,TIMESHEET!$P:$P=TRUE,TIMESHEET!$C:$C=F$56)))"),"")</f>
        <v/>
      </c>
      <c r="G58" s="306">
        <f>IFERROR(__xludf.DUMMYFUNCTION("iferror(sum(filter(TIMESHEET!$G:$G,TIMESHEET!$E:$E=$B58,TIMESHEET!$O:$O=TRUE,TIMESHEET!$P:$P=TRUE,TIMESHEET!$C:$C=G$56)))"),0.09374999999999999)</f>
        <v>0.09375</v>
      </c>
      <c r="H58" s="306">
        <f>IFERROR(__xludf.DUMMYFUNCTION("iferror(sum(filter(TIMESHEET!$G:$G,TIMESHEET!$E:$E=$B58,TIMESHEET!$O:$O=TRUE,TIMESHEET!$P:$P=TRUE,TIMESHEET!$C:$C=H$56)))"),0.08333333333333333)</f>
        <v>0.08333333333</v>
      </c>
      <c r="I58" s="306">
        <f>IFERROR(__xludf.DUMMYFUNCTION("iferror(sum(filter(TIMESHEET!$G:$G,TIMESHEET!$E:$E=$B58,TIMESHEET!$O:$O=TRUE,TIMESHEET!$P:$P=TRUE,TIMESHEET!$C:$C=I$56)))"),0.041666666666666664)</f>
        <v>0.04166666667</v>
      </c>
      <c r="J58" s="306" t="str">
        <f>IFERROR(__xludf.DUMMYFUNCTION("iferror(sum(filter(TIMESHEET!$G:$G,TIMESHEET!$E:$E=$B58,TIMESHEET!$O:$O=TRUE,TIMESHEET!$P:$P=TRUE,TIMESHEET!$C:$C=J$56)))"),"")</f>
        <v/>
      </c>
      <c r="K58" s="306">
        <f>IFERROR(__xludf.DUMMYFUNCTION("iferror(sum(filter(TIMESHEET!$G:$G,TIMESHEET!$E:$E=$B58,TIMESHEET!$O:$O=TRUE,TIMESHEET!$P:$P=TRUE,TIMESHEET!$C:$C=K$56)))"),0.041666666666666664)</f>
        <v>0.04166666667</v>
      </c>
      <c r="L58" s="306" t="str">
        <f>IFERROR(__xludf.DUMMYFUNCTION("iferror(sum(filter(TIMESHEET!$G:$G,TIMESHEET!$E:$E=$B58,TIMESHEET!$O:$O=TRUE,TIMESHEET!$P:$P=TRUE,TIMESHEET!$C:$C=L$56)))"),"")</f>
        <v/>
      </c>
      <c r="M58" s="306" t="str">
        <f>IFERROR(__xludf.DUMMYFUNCTION("iferror(sum(filter(TIMESHEET!$G:$G,TIMESHEET!$E:$E=$B58,TIMESHEET!$O:$O=TRUE,TIMESHEET!$P:$P=TRUE,TIMESHEET!$C:$C=M$56)))"),"")</f>
        <v/>
      </c>
      <c r="N58" s="306" t="str">
        <f>IFERROR(__xludf.DUMMYFUNCTION("iferror(sum(filter(TIMESHEET!$G:$G,TIMESHEET!$E:$E=$B58,TIMESHEET!$O:$O=TRUE,TIMESHEET!$P:$P=TRUE,TIMESHEET!$C:$C=N$56)))"),"")</f>
        <v/>
      </c>
      <c r="O58" s="306">
        <f>IFERROR(__xludf.DUMMYFUNCTION("iferror(sum(filter(TIMESHEET!$G:$G,TIMESHEET!$E:$E=$B58,TIMESHEET!$O:$O=TRUE,TIMESHEET!$P:$P=TRUE,TIMESHEET!$C:$C=O$56)))"),0.041666666666666664)</f>
        <v>0.04166666667</v>
      </c>
      <c r="P58" s="306" t="str">
        <f>IFERROR(__xludf.DUMMYFUNCTION("iferror(sum(filter(TIMESHEET!$G:$G,TIMESHEET!$E:$E=$B58,TIMESHEET!$O:$O=TRUE,TIMESHEET!$P:$P=TRUE,TIMESHEET!$C:$C=P$56)))"),"")</f>
        <v/>
      </c>
      <c r="Q58" s="306" t="str">
        <f>IFERROR(__xludf.DUMMYFUNCTION("iferror(sum(filter(TIMESHEET!$G:$G,TIMESHEET!$E:$E=$B58,TIMESHEET!$O:$O=TRUE,TIMESHEET!$P:$P=TRUE,TIMESHEET!$C:$C=Q$56)))"),"")</f>
        <v/>
      </c>
      <c r="R58" s="306" t="str">
        <f>IFERROR(__xludf.DUMMYFUNCTION("iferror(sum(filter(TIMESHEET!$G:$G,TIMESHEET!$E:$E=$B58,TIMESHEET!$O:$O=TRUE,TIMESHEET!$P:$P=TRUE,TIMESHEET!$C:$C=R$56)))"),"")</f>
        <v/>
      </c>
      <c r="S58" s="306">
        <f>IFERROR(__xludf.DUMMYFUNCTION("iferror(sum(filter(TIMESHEET!$G:$G,TIMESHEET!$E:$E=$B58,TIMESHEET!$O:$O=TRUE,TIMESHEET!$P:$P=TRUE,TIMESHEET!$C:$C=S$56)))"),0.08333333333333333)</f>
        <v>0.08333333333</v>
      </c>
      <c r="T58" s="306">
        <f>IFERROR(__xludf.DUMMYFUNCTION("iferror(sum(filter(TIMESHEET!$G:$G,TIMESHEET!$E:$E=$B58,TIMESHEET!$O:$O=TRUE,TIMESHEET!$P:$P=TRUE,TIMESHEET!$C:$C=T$56)))"),0.020833333333333332)</f>
        <v>0.02083333333</v>
      </c>
      <c r="U58" s="306">
        <f>IFERROR(__xludf.DUMMYFUNCTION("iferror(sum(filter(TIMESHEET!$G:$G,TIMESHEET!$E:$E=$B58,TIMESHEET!$O:$O=TRUE,TIMESHEET!$P:$P=TRUE,TIMESHEET!$C:$C=U$56)))"),0.08333333333333333)</f>
        <v>0.08333333333</v>
      </c>
      <c r="V58" s="306">
        <f>IFERROR(__xludf.DUMMYFUNCTION("iferror(sum(filter(TIMESHEET!$G:$G,TIMESHEET!$E:$E=$B58,TIMESHEET!$O:$O=TRUE,TIMESHEET!$P:$P=TRUE,TIMESHEET!$C:$C=V$56)))"),0.020833333333333332)</f>
        <v>0.02083333333</v>
      </c>
      <c r="W58" s="306" t="str">
        <f>IFERROR(__xludf.DUMMYFUNCTION("iferror(sum(filter(TIMESHEET!$G:$G,TIMESHEET!$E:$E=$B58,TIMESHEET!$O:$O=TRUE,TIMESHEET!$P:$P=TRUE,TIMESHEET!$C:$C=W$56)))"),"")</f>
        <v/>
      </c>
      <c r="X58" s="306" t="str">
        <f>IFERROR(__xludf.DUMMYFUNCTION("iferror(sum(filter(TIMESHEET!$G:$G,TIMESHEET!$E:$E=$B58,TIMESHEET!$O:$O=TRUE,TIMESHEET!$P:$P=TRUE,TIMESHEET!$C:$C=X$56)))"),"")</f>
        <v/>
      </c>
      <c r="Y58" s="306" t="str">
        <f>IFERROR(__xludf.DUMMYFUNCTION("iferror(sum(filter(TIMESHEET!$G:$G,TIMESHEET!$E:$E=$B58,TIMESHEET!$O:$O=TRUE,TIMESHEET!$P:$P=TRUE,TIMESHEET!$C:$C=Y$56)))"),"")</f>
        <v/>
      </c>
      <c r="Z58" s="306" t="str">
        <f>IFERROR(__xludf.DUMMYFUNCTION("iferror(sum(filter(TIMESHEET!$G:$G,TIMESHEET!$E:$E=$B58,TIMESHEET!$O:$O=TRUE,TIMESHEET!$P:$P=TRUE,TIMESHEET!$C:$C=Z$56)))"),"")</f>
        <v/>
      </c>
      <c r="AA58" s="306" t="str">
        <f>IFERROR(__xludf.DUMMYFUNCTION("iferror(sum(filter(TIMESHEET!$G:$G,TIMESHEET!$E:$E=$B58,TIMESHEET!$O:$O=TRUE,TIMESHEET!$P:$P=TRUE,TIMESHEET!$C:$C=AA$56)))"),"")</f>
        <v/>
      </c>
      <c r="AB58" s="306" t="str">
        <f>IFERROR(__xludf.DUMMYFUNCTION("iferror(sum(filter(TIMESHEET!$G:$G,TIMESHEET!$E:$E=$B58,TIMESHEET!$O:$O=TRUE,TIMESHEET!$P:$P=TRUE,TIMESHEET!$C:$C=AB$56)))"),"")</f>
        <v/>
      </c>
      <c r="AC58" s="306" t="str">
        <f>IFERROR(__xludf.DUMMYFUNCTION("iferror(sum(filter(TIMESHEET!$G:$G,TIMESHEET!$E:$E=$B58,TIMESHEET!$O:$O=TRUE,TIMESHEET!$P:$P=TRUE,TIMESHEET!$C:$C=AC$56)))"),"")</f>
        <v/>
      </c>
      <c r="AD58" s="306" t="str">
        <f>IFERROR(__xludf.DUMMYFUNCTION("iferror(sum(filter(TIMESHEET!$G:$G,TIMESHEET!$E:$E=$B58,TIMESHEET!$O:$O=TRUE,TIMESHEET!$P:$P=TRUE,TIMESHEET!$C:$C=AD$56)))"),"")</f>
        <v/>
      </c>
      <c r="AE58" s="306" t="str">
        <f>IFERROR(__xludf.DUMMYFUNCTION("iferror(sum(filter(TIMESHEET!$G:$G,TIMESHEET!$E:$E=$B58,TIMESHEET!$O:$O=TRUE,TIMESHEET!$P:$P=TRUE,TIMESHEET!$C:$C=AE$56)))"),"")</f>
        <v/>
      </c>
      <c r="AF58" s="306" t="str">
        <f>IFERROR(__xludf.DUMMYFUNCTION("iferror(sum(filter(TIMESHEET!$G:$G,TIMESHEET!$E:$E=$B58,TIMESHEET!$O:$O=TRUE,TIMESHEET!$P:$P=TRUE,TIMESHEET!$C:$C=AF$56)))"),"")</f>
        <v/>
      </c>
      <c r="AG58" s="306" t="str">
        <f>IFERROR(__xludf.DUMMYFUNCTION("iferror(sum(filter(TIMESHEET!$G:$G,TIMESHEET!$E:$E=$B58,TIMESHEET!$O:$O=TRUE,TIMESHEET!$P:$P=TRUE,TIMESHEET!$C:$C=AG$56)))"),"")</f>
        <v/>
      </c>
      <c r="AH58" s="306">
        <f>IFERROR(__xludf.DUMMYFUNCTION("iferror(sum(filter(TIMESHEET!$G:$G,TIMESHEET!$E:$E=$B58,TIMESHEET!$O:$O=TRUE,TIMESHEET!$P:$P=TRUE,TIMESHEET!$C:$C=AH$56)))"),0.020833333333333332)</f>
        <v>0.02083333333</v>
      </c>
      <c r="AI58" s="306" t="str">
        <f>IFERROR(__xludf.DUMMYFUNCTION("iferror(sum(filter(TIMESHEET!$G:$G,TIMESHEET!$E:$E=$B58,TIMESHEET!$O:$O=TRUE,TIMESHEET!$P:$P=TRUE,TIMESHEET!$C:$C=AI$56)))"),"")</f>
        <v/>
      </c>
      <c r="AJ58" s="306" t="str">
        <f>IFERROR(__xludf.DUMMYFUNCTION("iferror(sum(filter(TIMESHEET!$G:$G,TIMESHEET!$E:$E=$B58,TIMESHEET!$O:$O=TRUE,TIMESHEET!$P:$P=TRUE,TIMESHEET!$C:$C=AJ$56)))"),"")</f>
        <v/>
      </c>
      <c r="AK58" s="306" t="str">
        <f>IFERROR(__xludf.DUMMYFUNCTION("iferror(sum(filter(TIMESHEET!$G:$G,TIMESHEET!$E:$E=$B58,TIMESHEET!$O:$O=TRUE,TIMESHEET!$P:$P=TRUE,TIMESHEET!$C:$C=AK$56)))"),"")</f>
        <v/>
      </c>
      <c r="AL58" s="306">
        <f>IFERROR(__xludf.DUMMYFUNCTION("iferror(sum(filter(TIMESHEET!$G:$G,TIMESHEET!$E:$E=$B58,TIMESHEET!$O:$O=TRUE,TIMESHEET!$P:$P=TRUE,TIMESHEET!$C:$C=AL$56)))"),0.2708333333333333)</f>
        <v>0.2708333333</v>
      </c>
    </row>
    <row r="59">
      <c r="A59" s="306"/>
      <c r="B59" s="291" t="s">
        <v>137</v>
      </c>
      <c r="C59" s="309" t="s">
        <v>2316</v>
      </c>
      <c r="D59" s="291" t="s">
        <v>39</v>
      </c>
      <c r="E59" s="306" t="str">
        <f>IFERROR(__xludf.DUMMYFUNCTION("iferror(sum(filter(TIMESHEET!$G:$G,TIMESHEET!$E:$E=$B59,TIMESHEET!$O:$O=TRUE,TIMESHEET!$P:$P=TRUE,TIMESHEET!$C:$C=E$56)))"),"")</f>
        <v/>
      </c>
      <c r="F59" s="306" t="str">
        <f>IFERROR(__xludf.DUMMYFUNCTION("iferror(sum(filter(TIMESHEET!$G:$G,TIMESHEET!$E:$E=$B59,TIMESHEET!$O:$O=TRUE,TIMESHEET!$P:$P=TRUE,TIMESHEET!$C:$C=F$56)))"),"")</f>
        <v/>
      </c>
      <c r="G59" s="306" t="str">
        <f>IFERROR(__xludf.DUMMYFUNCTION("iferror(sum(filter(TIMESHEET!$G:$G,TIMESHEET!$E:$E=$B59,TIMESHEET!$O:$O=TRUE,TIMESHEET!$P:$P=TRUE,TIMESHEET!$C:$C=G$56)))"),"")</f>
        <v/>
      </c>
      <c r="H59" s="306">
        <f>IFERROR(__xludf.DUMMYFUNCTION("iferror(sum(filter(TIMESHEET!$G:$G,TIMESHEET!$E:$E=$B59,TIMESHEET!$O:$O=TRUE,TIMESHEET!$P:$P=TRUE,TIMESHEET!$C:$C=H$56)))"),1.9270833333333333)</f>
        <v>1.927083333</v>
      </c>
      <c r="I59" s="306">
        <f>IFERROR(__xludf.DUMMYFUNCTION("iferror(sum(filter(TIMESHEET!$G:$G,TIMESHEET!$E:$E=$B59,TIMESHEET!$O:$O=TRUE,TIMESHEET!$P:$P=TRUE,TIMESHEET!$C:$C=I$56)))"),1.6666666666666672)</f>
        <v>1.666666667</v>
      </c>
      <c r="J59" s="306" t="str">
        <f>IFERROR(__xludf.DUMMYFUNCTION("iferror(sum(filter(TIMESHEET!$G:$G,TIMESHEET!$E:$E=$B59,TIMESHEET!$O:$O=TRUE,TIMESHEET!$P:$P=TRUE,TIMESHEET!$C:$C=J$56)))"),"")</f>
        <v/>
      </c>
      <c r="K59" s="306">
        <f>IFERROR(__xludf.DUMMYFUNCTION("iferror(sum(filter(TIMESHEET!$G:$G,TIMESHEET!$E:$E=$B59,TIMESHEET!$O:$O=TRUE,TIMESHEET!$P:$P=TRUE,TIMESHEET!$C:$C=K$56)))"),0.10416666666666666)</f>
        <v>0.1041666667</v>
      </c>
      <c r="L59" s="306">
        <f>IFERROR(__xludf.DUMMYFUNCTION("iferror(sum(filter(TIMESHEET!$G:$G,TIMESHEET!$E:$E=$B59,TIMESHEET!$O:$O=TRUE,TIMESHEET!$P:$P=TRUE,TIMESHEET!$C:$C=L$56)))"),0.4166666666666667)</f>
        <v>0.4166666667</v>
      </c>
      <c r="M59" s="306" t="str">
        <f>IFERROR(__xludf.DUMMYFUNCTION("iferror(sum(filter(TIMESHEET!$G:$G,TIMESHEET!$E:$E=$B59,TIMESHEET!$O:$O=TRUE,TIMESHEET!$P:$P=TRUE,TIMESHEET!$C:$C=M$56)))"),"")</f>
        <v/>
      </c>
      <c r="N59" s="306" t="str">
        <f>IFERROR(__xludf.DUMMYFUNCTION("iferror(sum(filter(TIMESHEET!$G:$G,TIMESHEET!$E:$E=$B59,TIMESHEET!$O:$O=TRUE,TIMESHEET!$P:$P=TRUE,TIMESHEET!$C:$C=N$56)))"),"")</f>
        <v/>
      </c>
      <c r="O59" s="306">
        <f>IFERROR(__xludf.DUMMYFUNCTION("iferror(sum(filter(TIMESHEET!$G:$G,TIMESHEET!$E:$E=$B59,TIMESHEET!$O:$O=TRUE,TIMESHEET!$P:$P=TRUE,TIMESHEET!$C:$C=O$56)))"),2.729166666666667)</f>
        <v>2.729166667</v>
      </c>
      <c r="P59" s="306" t="str">
        <f>IFERROR(__xludf.DUMMYFUNCTION("iferror(sum(filter(TIMESHEET!$G:$G,TIMESHEET!$E:$E=$B59,TIMESHEET!$O:$O=TRUE,TIMESHEET!$P:$P=TRUE,TIMESHEET!$C:$C=P$56)))"),"")</f>
        <v/>
      </c>
      <c r="Q59" s="306" t="str">
        <f>IFERROR(__xludf.DUMMYFUNCTION("iferror(sum(filter(TIMESHEET!$G:$G,TIMESHEET!$E:$E=$B59,TIMESHEET!$O:$O=TRUE,TIMESHEET!$P:$P=TRUE,TIMESHEET!$C:$C=Q$56)))"),"")</f>
        <v/>
      </c>
      <c r="R59" s="306" t="str">
        <f>IFERROR(__xludf.DUMMYFUNCTION("iferror(sum(filter(TIMESHEET!$G:$G,TIMESHEET!$E:$E=$B59,TIMESHEET!$O:$O=TRUE,TIMESHEET!$P:$P=TRUE,TIMESHEET!$C:$C=R$56)))"),"")</f>
        <v/>
      </c>
      <c r="S59" s="306" t="str">
        <f>IFERROR(__xludf.DUMMYFUNCTION("iferror(sum(filter(TIMESHEET!$G:$G,TIMESHEET!$E:$E=$B59,TIMESHEET!$O:$O=TRUE,TIMESHEET!$P:$P=TRUE,TIMESHEET!$C:$C=S$56)))"),"")</f>
        <v/>
      </c>
      <c r="T59" s="306" t="str">
        <f>IFERROR(__xludf.DUMMYFUNCTION("iferror(sum(filter(TIMESHEET!$G:$G,TIMESHEET!$E:$E=$B59,TIMESHEET!$O:$O=TRUE,TIMESHEET!$P:$P=TRUE,TIMESHEET!$C:$C=T$56)))"),"")</f>
        <v/>
      </c>
      <c r="U59" s="306" t="str">
        <f>IFERROR(__xludf.DUMMYFUNCTION("iferror(sum(filter(TIMESHEET!$G:$G,TIMESHEET!$E:$E=$B59,TIMESHEET!$O:$O=TRUE,TIMESHEET!$P:$P=TRUE,TIMESHEET!$C:$C=U$56)))"),"")</f>
        <v/>
      </c>
      <c r="V59" s="306" t="str">
        <f>IFERROR(__xludf.DUMMYFUNCTION("iferror(sum(filter(TIMESHEET!$G:$G,TIMESHEET!$E:$E=$B59,TIMESHEET!$O:$O=TRUE,TIMESHEET!$P:$P=TRUE,TIMESHEET!$C:$C=V$56)))"),"")</f>
        <v/>
      </c>
      <c r="W59" s="306" t="str">
        <f>IFERROR(__xludf.DUMMYFUNCTION("iferror(sum(filter(TIMESHEET!$G:$G,TIMESHEET!$E:$E=$B59,TIMESHEET!$O:$O=TRUE,TIMESHEET!$P:$P=TRUE,TIMESHEET!$C:$C=W$56)))"),"")</f>
        <v/>
      </c>
      <c r="X59" s="306" t="str">
        <f>IFERROR(__xludf.DUMMYFUNCTION("iferror(sum(filter(TIMESHEET!$G:$G,TIMESHEET!$E:$E=$B59,TIMESHEET!$O:$O=TRUE,TIMESHEET!$P:$P=TRUE,TIMESHEET!$C:$C=X$56)))"),"")</f>
        <v/>
      </c>
      <c r="Y59" s="306" t="str">
        <f>IFERROR(__xludf.DUMMYFUNCTION("iferror(sum(filter(TIMESHEET!$G:$G,TIMESHEET!$E:$E=$B59,TIMESHEET!$O:$O=TRUE,TIMESHEET!$P:$P=TRUE,TIMESHEET!$C:$C=Y$56)))"),"")</f>
        <v/>
      </c>
      <c r="Z59" s="306" t="str">
        <f>IFERROR(__xludf.DUMMYFUNCTION("iferror(sum(filter(TIMESHEET!$G:$G,TIMESHEET!$E:$E=$B59,TIMESHEET!$O:$O=TRUE,TIMESHEET!$P:$P=TRUE,TIMESHEET!$C:$C=Z$56)))"),"")</f>
        <v/>
      </c>
      <c r="AA59" s="306" t="str">
        <f>IFERROR(__xludf.DUMMYFUNCTION("iferror(sum(filter(TIMESHEET!$G:$G,TIMESHEET!$E:$E=$B59,TIMESHEET!$O:$O=TRUE,TIMESHEET!$P:$P=TRUE,TIMESHEET!$C:$C=AA$56)))"),"")</f>
        <v/>
      </c>
      <c r="AB59" s="306" t="str">
        <f>IFERROR(__xludf.DUMMYFUNCTION("iferror(sum(filter(TIMESHEET!$G:$G,TIMESHEET!$E:$E=$B59,TIMESHEET!$O:$O=TRUE,TIMESHEET!$P:$P=TRUE,TIMESHEET!$C:$C=AB$56)))"),"")</f>
        <v/>
      </c>
      <c r="AC59" s="306">
        <f>IFERROR(__xludf.DUMMYFUNCTION("iferror(sum(filter(TIMESHEET!$G:$G,TIMESHEET!$E:$E=$B59,TIMESHEET!$O:$O=TRUE,TIMESHEET!$P:$P=TRUE,TIMESHEET!$C:$C=AC$56)))"),0.6249999999999999)</f>
        <v>0.625</v>
      </c>
      <c r="AD59" s="306" t="str">
        <f>IFERROR(__xludf.DUMMYFUNCTION("iferror(sum(filter(TIMESHEET!$G:$G,TIMESHEET!$E:$E=$B59,TIMESHEET!$O:$O=TRUE,TIMESHEET!$P:$P=TRUE,TIMESHEET!$C:$C=AD$56)))"),"")</f>
        <v/>
      </c>
      <c r="AE59" s="306" t="str">
        <f>IFERROR(__xludf.DUMMYFUNCTION("iferror(sum(filter(TIMESHEET!$G:$G,TIMESHEET!$E:$E=$B59,TIMESHEET!$O:$O=TRUE,TIMESHEET!$P:$P=TRUE,TIMESHEET!$C:$C=AE$56)))"),"")</f>
        <v/>
      </c>
      <c r="AF59" s="306" t="str">
        <f>IFERROR(__xludf.DUMMYFUNCTION("iferror(sum(filter(TIMESHEET!$G:$G,TIMESHEET!$E:$E=$B59,TIMESHEET!$O:$O=TRUE,TIMESHEET!$P:$P=TRUE,TIMESHEET!$C:$C=AF$56)))"),"")</f>
        <v/>
      </c>
      <c r="AG59" s="306" t="str">
        <f>IFERROR(__xludf.DUMMYFUNCTION("iferror(sum(filter(TIMESHEET!$G:$G,TIMESHEET!$E:$E=$B59,TIMESHEET!$O:$O=TRUE,TIMESHEET!$P:$P=TRUE,TIMESHEET!$C:$C=AG$56)))"),"")</f>
        <v/>
      </c>
      <c r="AH59" s="306" t="str">
        <f>IFERROR(__xludf.DUMMYFUNCTION("iferror(sum(filter(TIMESHEET!$G:$G,TIMESHEET!$E:$E=$B59,TIMESHEET!$O:$O=TRUE,TIMESHEET!$P:$P=TRUE,TIMESHEET!$C:$C=AH$56)))"),"")</f>
        <v/>
      </c>
      <c r="AI59" s="306" t="str">
        <f>IFERROR(__xludf.DUMMYFUNCTION("iferror(sum(filter(TIMESHEET!$G:$G,TIMESHEET!$E:$E=$B59,TIMESHEET!$O:$O=TRUE,TIMESHEET!$P:$P=TRUE,TIMESHEET!$C:$C=AI$56)))"),"")</f>
        <v/>
      </c>
      <c r="AJ59" s="306" t="str">
        <f>IFERROR(__xludf.DUMMYFUNCTION("iferror(sum(filter(TIMESHEET!$G:$G,TIMESHEET!$E:$E=$B59,TIMESHEET!$O:$O=TRUE,TIMESHEET!$P:$P=TRUE,TIMESHEET!$C:$C=AJ$56)))"),"")</f>
        <v/>
      </c>
      <c r="AK59" s="306" t="str">
        <f>IFERROR(__xludf.DUMMYFUNCTION("iferror(sum(filter(TIMESHEET!$G:$G,TIMESHEET!$E:$E=$B59,TIMESHEET!$O:$O=TRUE,TIMESHEET!$P:$P=TRUE,TIMESHEET!$C:$C=AK$56)))"),"")</f>
        <v/>
      </c>
      <c r="AL59" s="306">
        <f>IFERROR(__xludf.DUMMYFUNCTION("iferror(sum(filter(TIMESHEET!$G:$G,TIMESHEET!$E:$E=$B59,TIMESHEET!$O:$O=TRUE,TIMESHEET!$P:$P=TRUE,TIMESHEET!$C:$C=AL$56)))"),0.041666666666666664)</f>
        <v>0.04166666667</v>
      </c>
    </row>
    <row r="60">
      <c r="A60" s="306"/>
      <c r="B60" s="291" t="s">
        <v>126</v>
      </c>
      <c r="C60" s="307" t="s">
        <v>345</v>
      </c>
      <c r="D60" s="291" t="s">
        <v>343</v>
      </c>
      <c r="E60" s="306">
        <f>IFERROR(__xludf.DUMMYFUNCTION("iferror(sum(filter(TIMESHEET!$G:$G,TIMESHEET!$E:$E=$B60,TIMESHEET!$O:$O=TRUE,TIMESHEET!$P:$P=TRUE,TIMESHEET!$C:$C=E$56)))"),0.25)</f>
        <v>0.25</v>
      </c>
      <c r="F60" s="306" t="str">
        <f>IFERROR(__xludf.DUMMYFUNCTION("iferror(sum(filter(TIMESHEET!$G:$G,TIMESHEET!$E:$E=$B60,TIMESHEET!$O:$O=TRUE,TIMESHEET!$P:$P=TRUE,TIMESHEET!$C:$C=F$56)))"),"")</f>
        <v/>
      </c>
      <c r="G60" s="306">
        <f>IFERROR(__xludf.DUMMYFUNCTION("iferror(sum(filter(TIMESHEET!$G:$G,TIMESHEET!$E:$E=$B60,TIMESHEET!$O:$O=TRUE,TIMESHEET!$P:$P=TRUE,TIMESHEET!$C:$C=G$56)))"),4.437500000000001)</f>
        <v>4.4375</v>
      </c>
      <c r="H60" s="306">
        <f>IFERROR(__xludf.DUMMYFUNCTION("iferror(sum(filter(TIMESHEET!$G:$G,TIMESHEET!$E:$E=$B60,TIMESHEET!$O:$O=TRUE,TIMESHEET!$P:$P=TRUE,TIMESHEET!$C:$C=H$56)))"),1.770833333333333)</f>
        <v>1.770833333</v>
      </c>
      <c r="I60" s="306" t="str">
        <f>IFERROR(__xludf.DUMMYFUNCTION("iferror(sum(filter(TIMESHEET!$G:$G,TIMESHEET!$E:$E=$B60,TIMESHEET!$O:$O=TRUE,TIMESHEET!$P:$P=TRUE,TIMESHEET!$C:$C=I$56)))"),"")</f>
        <v/>
      </c>
      <c r="J60" s="306" t="str">
        <f>IFERROR(__xludf.DUMMYFUNCTION("iferror(sum(filter(TIMESHEET!$G:$G,TIMESHEET!$E:$E=$B60,TIMESHEET!$O:$O=TRUE,TIMESHEET!$P:$P=TRUE,TIMESHEET!$C:$C=J$56)))"),"")</f>
        <v/>
      </c>
      <c r="K60" s="306" t="str">
        <f>IFERROR(__xludf.DUMMYFUNCTION("iferror(sum(filter(TIMESHEET!$G:$G,TIMESHEET!$E:$E=$B60,TIMESHEET!$O:$O=TRUE,TIMESHEET!$P:$P=TRUE,TIMESHEET!$C:$C=K$56)))"),"")</f>
        <v/>
      </c>
      <c r="L60" s="306" t="str">
        <f>IFERROR(__xludf.DUMMYFUNCTION("iferror(sum(filter(TIMESHEET!$G:$G,TIMESHEET!$E:$E=$B60,TIMESHEET!$O:$O=TRUE,TIMESHEET!$P:$P=TRUE,TIMESHEET!$C:$C=L$56)))"),"")</f>
        <v/>
      </c>
      <c r="M60" s="306" t="str">
        <f>IFERROR(__xludf.DUMMYFUNCTION("iferror(sum(filter(TIMESHEET!$G:$G,TIMESHEET!$E:$E=$B60,TIMESHEET!$O:$O=TRUE,TIMESHEET!$P:$P=TRUE,TIMESHEET!$C:$C=M$56)))"),"")</f>
        <v/>
      </c>
      <c r="N60" s="306" t="str">
        <f>IFERROR(__xludf.DUMMYFUNCTION("iferror(sum(filter(TIMESHEET!$G:$G,TIMESHEET!$E:$E=$B60,TIMESHEET!$O:$O=TRUE,TIMESHEET!$P:$P=TRUE,TIMESHEET!$C:$C=N$56)))"),"")</f>
        <v/>
      </c>
      <c r="O60" s="306">
        <f>IFERROR(__xludf.DUMMYFUNCTION("iferror(sum(filter(TIMESHEET!$G:$G,TIMESHEET!$E:$E=$B60,TIMESHEET!$O:$O=TRUE,TIMESHEET!$P:$P=TRUE,TIMESHEET!$C:$C=O$56)))"),0.08333333333333333)</f>
        <v>0.08333333333</v>
      </c>
      <c r="P60" s="306" t="str">
        <f>IFERROR(__xludf.DUMMYFUNCTION("iferror(sum(filter(TIMESHEET!$G:$G,TIMESHEET!$E:$E=$B60,TIMESHEET!$O:$O=TRUE,TIMESHEET!$P:$P=TRUE,TIMESHEET!$C:$C=P$56)))"),"")</f>
        <v/>
      </c>
      <c r="Q60" s="306" t="str">
        <f>IFERROR(__xludf.DUMMYFUNCTION("iferror(sum(filter(TIMESHEET!$G:$G,TIMESHEET!$E:$E=$B60,TIMESHEET!$O:$O=TRUE,TIMESHEET!$P:$P=TRUE,TIMESHEET!$C:$C=Q$56)))"),"")</f>
        <v/>
      </c>
      <c r="R60" s="306" t="str">
        <f>IFERROR(__xludf.DUMMYFUNCTION("iferror(sum(filter(TIMESHEET!$G:$G,TIMESHEET!$E:$E=$B60,TIMESHEET!$O:$O=TRUE,TIMESHEET!$P:$P=TRUE,TIMESHEET!$C:$C=R$56)))"),"")</f>
        <v/>
      </c>
      <c r="S60" s="306" t="str">
        <f>IFERROR(__xludf.DUMMYFUNCTION("iferror(sum(filter(TIMESHEET!$G:$G,TIMESHEET!$E:$E=$B60,TIMESHEET!$O:$O=TRUE,TIMESHEET!$P:$P=TRUE,TIMESHEET!$C:$C=S$56)))"),"")</f>
        <v/>
      </c>
      <c r="T60" s="306" t="str">
        <f>IFERROR(__xludf.DUMMYFUNCTION("iferror(sum(filter(TIMESHEET!$G:$G,TIMESHEET!$E:$E=$B60,TIMESHEET!$O:$O=TRUE,TIMESHEET!$P:$P=TRUE,TIMESHEET!$C:$C=T$56)))"),"")</f>
        <v/>
      </c>
      <c r="U60" s="306" t="str">
        <f>IFERROR(__xludf.DUMMYFUNCTION("iferror(sum(filter(TIMESHEET!$G:$G,TIMESHEET!$E:$E=$B60,TIMESHEET!$O:$O=TRUE,TIMESHEET!$P:$P=TRUE,TIMESHEET!$C:$C=U$56)))"),"")</f>
        <v/>
      </c>
      <c r="V60" s="306">
        <f>IFERROR(__xludf.DUMMYFUNCTION("iferror(sum(filter(TIMESHEET!$G:$G,TIMESHEET!$E:$E=$B60,TIMESHEET!$O:$O=TRUE,TIMESHEET!$P:$P=TRUE,TIMESHEET!$C:$C=V$56)))"),0.625)</f>
        <v>0.625</v>
      </c>
      <c r="W60" s="306" t="str">
        <f>IFERROR(__xludf.DUMMYFUNCTION("iferror(sum(filter(TIMESHEET!$G:$G,TIMESHEET!$E:$E=$B60,TIMESHEET!$O:$O=TRUE,TIMESHEET!$P:$P=TRUE,TIMESHEET!$C:$C=W$56)))"),"")</f>
        <v/>
      </c>
      <c r="X60" s="306" t="str">
        <f>IFERROR(__xludf.DUMMYFUNCTION("iferror(sum(filter(TIMESHEET!$G:$G,TIMESHEET!$E:$E=$B60,TIMESHEET!$O:$O=TRUE,TIMESHEET!$P:$P=TRUE,TIMESHEET!$C:$C=X$56)))"),"")</f>
        <v/>
      </c>
      <c r="Y60" s="306" t="str">
        <f>IFERROR(__xludf.DUMMYFUNCTION("iferror(sum(filter(TIMESHEET!$G:$G,TIMESHEET!$E:$E=$B60,TIMESHEET!$O:$O=TRUE,TIMESHEET!$P:$P=TRUE,TIMESHEET!$C:$C=Y$56)))"),"")</f>
        <v/>
      </c>
      <c r="Z60" s="306" t="str">
        <f>IFERROR(__xludf.DUMMYFUNCTION("iferror(sum(filter(TIMESHEET!$G:$G,TIMESHEET!$E:$E=$B60,TIMESHEET!$O:$O=TRUE,TIMESHEET!$P:$P=TRUE,TIMESHEET!$C:$C=Z$56)))"),"")</f>
        <v/>
      </c>
      <c r="AA60" s="306" t="str">
        <f>IFERROR(__xludf.DUMMYFUNCTION("iferror(sum(filter(TIMESHEET!$G:$G,TIMESHEET!$E:$E=$B60,TIMESHEET!$O:$O=TRUE,TIMESHEET!$P:$P=TRUE,TIMESHEET!$C:$C=AA$56)))"),"")</f>
        <v/>
      </c>
      <c r="AB60" s="306" t="str">
        <f>IFERROR(__xludf.DUMMYFUNCTION("iferror(sum(filter(TIMESHEET!$G:$G,TIMESHEET!$E:$E=$B60,TIMESHEET!$O:$O=TRUE,TIMESHEET!$P:$P=TRUE,TIMESHEET!$C:$C=AB$56)))"),"")</f>
        <v/>
      </c>
      <c r="AC60" s="306" t="str">
        <f>IFERROR(__xludf.DUMMYFUNCTION("iferror(sum(filter(TIMESHEET!$G:$G,TIMESHEET!$E:$E=$B60,TIMESHEET!$O:$O=TRUE,TIMESHEET!$P:$P=TRUE,TIMESHEET!$C:$C=AC$56)))"),"")</f>
        <v/>
      </c>
      <c r="AD60" s="306" t="str">
        <f>IFERROR(__xludf.DUMMYFUNCTION("iferror(sum(filter(TIMESHEET!$G:$G,TIMESHEET!$E:$E=$B60,TIMESHEET!$O:$O=TRUE,TIMESHEET!$P:$P=TRUE,TIMESHEET!$C:$C=AD$56)))"),"")</f>
        <v/>
      </c>
      <c r="AE60" s="306">
        <f>IFERROR(__xludf.DUMMYFUNCTION("iferror(sum(filter(TIMESHEET!$G:$G,TIMESHEET!$E:$E=$B60,TIMESHEET!$O:$O=TRUE,TIMESHEET!$P:$P=TRUE,TIMESHEET!$C:$C=AE$56)))"),0.45833333333333326)</f>
        <v>0.4583333333</v>
      </c>
      <c r="AF60" s="306">
        <f>IFERROR(__xludf.DUMMYFUNCTION("iferror(sum(filter(TIMESHEET!$G:$G,TIMESHEET!$E:$E=$B60,TIMESHEET!$O:$O=TRUE,TIMESHEET!$P:$P=TRUE,TIMESHEET!$C:$C=AF$56)))"),0.2916666666666667)</f>
        <v>0.2916666667</v>
      </c>
      <c r="AG60" s="306">
        <f>IFERROR(__xludf.DUMMYFUNCTION("iferror(sum(filter(TIMESHEET!$G:$G,TIMESHEET!$E:$E=$B60,TIMESHEET!$O:$O=TRUE,TIMESHEET!$P:$P=TRUE,TIMESHEET!$C:$C=AG$56)))"),0.3333333333333333)</f>
        <v>0.3333333333</v>
      </c>
      <c r="AH60" s="306" t="str">
        <f>IFERROR(__xludf.DUMMYFUNCTION("iferror(sum(filter(TIMESHEET!$G:$G,TIMESHEET!$E:$E=$B60,TIMESHEET!$O:$O=TRUE,TIMESHEET!$P:$P=TRUE,TIMESHEET!$C:$C=AH$56)))"),"")</f>
        <v/>
      </c>
      <c r="AI60" s="306" t="str">
        <f>IFERROR(__xludf.DUMMYFUNCTION("iferror(sum(filter(TIMESHEET!$G:$G,TIMESHEET!$E:$E=$B60,TIMESHEET!$O:$O=TRUE,TIMESHEET!$P:$P=TRUE,TIMESHEET!$C:$C=AI$56)))"),"")</f>
        <v/>
      </c>
      <c r="AJ60" s="306" t="str">
        <f>IFERROR(__xludf.DUMMYFUNCTION("iferror(sum(filter(TIMESHEET!$G:$G,TIMESHEET!$E:$E=$B60,TIMESHEET!$O:$O=TRUE,TIMESHEET!$P:$P=TRUE,TIMESHEET!$C:$C=AJ$56)))"),"")</f>
        <v/>
      </c>
      <c r="AK60" s="306" t="str">
        <f>IFERROR(__xludf.DUMMYFUNCTION("iferror(sum(filter(TIMESHEET!$G:$G,TIMESHEET!$E:$E=$B60,TIMESHEET!$O:$O=TRUE,TIMESHEET!$P:$P=TRUE,TIMESHEET!$C:$C=AK$56)))"),"")</f>
        <v/>
      </c>
      <c r="AL60" s="306" t="str">
        <f>IFERROR(__xludf.DUMMYFUNCTION("iferror(sum(filter(TIMESHEET!$G:$G,TIMESHEET!$E:$E=$B60,TIMESHEET!$O:$O=TRUE,TIMESHEET!$P:$P=TRUE,TIMESHEET!$C:$C=AL$56)))"),"")</f>
        <v/>
      </c>
    </row>
    <row r="61">
      <c r="A61" s="306"/>
      <c r="B61" s="291" t="s">
        <v>129</v>
      </c>
      <c r="C61" s="307" t="s">
        <v>346</v>
      </c>
      <c r="D61" s="291" t="s">
        <v>41</v>
      </c>
      <c r="E61" s="306">
        <f>IFERROR(__xludf.DUMMYFUNCTION("iferror(sum(filter(TIMESHEET!$G:$G,TIMESHEET!$E:$E=$B61,TIMESHEET!$O:$O=TRUE,TIMESHEET!$P:$P=TRUE,TIMESHEET!$C:$C=E$56)))"),1.1458333333333335)</f>
        <v>1.145833333</v>
      </c>
      <c r="F61" s="306" t="str">
        <f>IFERROR(__xludf.DUMMYFUNCTION("iferror(sum(filter(TIMESHEET!$G:$G,TIMESHEET!$E:$E=$B61,TIMESHEET!$O:$O=TRUE,TIMESHEET!$P:$P=TRUE,TIMESHEET!$C:$C=F$56)))"),"")</f>
        <v/>
      </c>
      <c r="G61" s="306">
        <f>IFERROR(__xludf.DUMMYFUNCTION("iferror(sum(filter(TIMESHEET!$G:$G,TIMESHEET!$E:$E=$B61,TIMESHEET!$O:$O=TRUE,TIMESHEET!$P:$P=TRUE,TIMESHEET!$C:$C=G$56)))"),0.22916666666666663)</f>
        <v>0.2291666667</v>
      </c>
      <c r="H61" s="306">
        <f>IFERROR(__xludf.DUMMYFUNCTION("iferror(sum(filter(TIMESHEET!$G:$G,TIMESHEET!$E:$E=$B61,TIMESHEET!$O:$O=TRUE,TIMESHEET!$P:$P=TRUE,TIMESHEET!$C:$C=H$56)))"),0.8541666666666665)</f>
        <v>0.8541666667</v>
      </c>
      <c r="I61" s="306">
        <f>IFERROR(__xludf.DUMMYFUNCTION("iferror(sum(filter(TIMESHEET!$G:$G,TIMESHEET!$E:$E=$B61,TIMESHEET!$O:$O=TRUE,TIMESHEET!$P:$P=TRUE,TIMESHEET!$C:$C=I$56)))"),0.041666666666666664)</f>
        <v>0.04166666667</v>
      </c>
      <c r="J61" s="306" t="str">
        <f>IFERROR(__xludf.DUMMYFUNCTION("iferror(sum(filter(TIMESHEET!$G:$G,TIMESHEET!$E:$E=$B61,TIMESHEET!$O:$O=TRUE,TIMESHEET!$P:$P=TRUE,TIMESHEET!$C:$C=J$56)))"),"")</f>
        <v/>
      </c>
      <c r="K61" s="306" t="str">
        <f>IFERROR(__xludf.DUMMYFUNCTION("iferror(sum(filter(TIMESHEET!$G:$G,TIMESHEET!$E:$E=$B61,TIMESHEET!$O:$O=TRUE,TIMESHEET!$P:$P=TRUE,TIMESHEET!$C:$C=K$56)))"),"")</f>
        <v/>
      </c>
      <c r="L61" s="306" t="str">
        <f>IFERROR(__xludf.DUMMYFUNCTION("iferror(sum(filter(TIMESHEET!$G:$G,TIMESHEET!$E:$E=$B61,TIMESHEET!$O:$O=TRUE,TIMESHEET!$P:$P=TRUE,TIMESHEET!$C:$C=L$56)))"),"")</f>
        <v/>
      </c>
      <c r="M61" s="306" t="str">
        <f>IFERROR(__xludf.DUMMYFUNCTION("iferror(sum(filter(TIMESHEET!$G:$G,TIMESHEET!$E:$E=$B61,TIMESHEET!$O:$O=TRUE,TIMESHEET!$P:$P=TRUE,TIMESHEET!$C:$C=M$56)))"),"")</f>
        <v/>
      </c>
      <c r="N61" s="306">
        <f>IFERROR(__xludf.DUMMYFUNCTION("iferror(sum(filter(TIMESHEET!$G:$G,TIMESHEET!$E:$E=$B61,TIMESHEET!$O:$O=TRUE,TIMESHEET!$P:$P=TRUE,TIMESHEET!$C:$C=N$56)))"),0.041666666666666664)</f>
        <v>0.04166666667</v>
      </c>
      <c r="O61" s="306" t="str">
        <f>IFERROR(__xludf.DUMMYFUNCTION("iferror(sum(filter(TIMESHEET!$G:$G,TIMESHEET!$E:$E=$B61,TIMESHEET!$O:$O=TRUE,TIMESHEET!$P:$P=TRUE,TIMESHEET!$C:$C=O$56)))"),"")</f>
        <v/>
      </c>
      <c r="P61" s="306" t="str">
        <f>IFERROR(__xludf.DUMMYFUNCTION("iferror(sum(filter(TIMESHEET!$G:$G,TIMESHEET!$E:$E=$B61,TIMESHEET!$O:$O=TRUE,TIMESHEET!$P:$P=TRUE,TIMESHEET!$C:$C=P$56)))"),"")</f>
        <v/>
      </c>
      <c r="Q61" s="306" t="str">
        <f>IFERROR(__xludf.DUMMYFUNCTION("iferror(sum(filter(TIMESHEET!$G:$G,TIMESHEET!$E:$E=$B61,TIMESHEET!$O:$O=TRUE,TIMESHEET!$P:$P=TRUE,TIMESHEET!$C:$C=Q$56)))"),"")</f>
        <v/>
      </c>
      <c r="R61" s="306" t="str">
        <f>IFERROR(__xludf.DUMMYFUNCTION("iferror(sum(filter(TIMESHEET!$G:$G,TIMESHEET!$E:$E=$B61,TIMESHEET!$O:$O=TRUE,TIMESHEET!$P:$P=TRUE,TIMESHEET!$C:$C=R$56)))"),"")</f>
        <v/>
      </c>
      <c r="S61" s="306" t="str">
        <f>IFERROR(__xludf.DUMMYFUNCTION("iferror(sum(filter(TIMESHEET!$G:$G,TIMESHEET!$E:$E=$B61,TIMESHEET!$O:$O=TRUE,TIMESHEET!$P:$P=TRUE,TIMESHEET!$C:$C=S$56)))"),"")</f>
        <v/>
      </c>
      <c r="T61" s="306">
        <f>IFERROR(__xludf.DUMMYFUNCTION("iferror(sum(filter(TIMESHEET!$G:$G,TIMESHEET!$E:$E=$B61,TIMESHEET!$O:$O=TRUE,TIMESHEET!$P:$P=TRUE,TIMESHEET!$C:$C=T$56)))"),0.625)</f>
        <v>0.625</v>
      </c>
      <c r="U61" s="306">
        <f>IFERROR(__xludf.DUMMYFUNCTION("iferror(sum(filter(TIMESHEET!$G:$G,TIMESHEET!$E:$E=$B61,TIMESHEET!$O:$O=TRUE,TIMESHEET!$P:$P=TRUE,TIMESHEET!$C:$C=U$56)))"),0.5416666666666666)</f>
        <v>0.5416666667</v>
      </c>
      <c r="V61" s="306">
        <f>IFERROR(__xludf.DUMMYFUNCTION("iferror(sum(filter(TIMESHEET!$G:$G,TIMESHEET!$E:$E=$B61,TIMESHEET!$O:$O=TRUE,TIMESHEET!$P:$P=TRUE,TIMESHEET!$C:$C=V$56)))"),0.37499999999999994)</f>
        <v>0.375</v>
      </c>
      <c r="W61" s="306" t="str">
        <f>IFERROR(__xludf.DUMMYFUNCTION("iferror(sum(filter(TIMESHEET!$G:$G,TIMESHEET!$E:$E=$B61,TIMESHEET!$O:$O=TRUE,TIMESHEET!$P:$P=TRUE,TIMESHEET!$C:$C=W$56)))"),"")</f>
        <v/>
      </c>
      <c r="X61" s="306" t="str">
        <f>IFERROR(__xludf.DUMMYFUNCTION("iferror(sum(filter(TIMESHEET!$G:$G,TIMESHEET!$E:$E=$B61,TIMESHEET!$O:$O=TRUE,TIMESHEET!$P:$P=TRUE,TIMESHEET!$C:$C=X$56)))"),"")</f>
        <v/>
      </c>
      <c r="Y61" s="306" t="str">
        <f>IFERROR(__xludf.DUMMYFUNCTION("iferror(sum(filter(TIMESHEET!$G:$G,TIMESHEET!$E:$E=$B61,TIMESHEET!$O:$O=TRUE,TIMESHEET!$P:$P=TRUE,TIMESHEET!$C:$C=Y$56)))"),"")</f>
        <v/>
      </c>
      <c r="Z61" s="306" t="str">
        <f>IFERROR(__xludf.DUMMYFUNCTION("iferror(sum(filter(TIMESHEET!$G:$G,TIMESHEET!$E:$E=$B61,TIMESHEET!$O:$O=TRUE,TIMESHEET!$P:$P=TRUE,TIMESHEET!$C:$C=Z$56)))"),"")</f>
        <v/>
      </c>
      <c r="AA61" s="306" t="str">
        <f>IFERROR(__xludf.DUMMYFUNCTION("iferror(sum(filter(TIMESHEET!$G:$G,TIMESHEET!$E:$E=$B61,TIMESHEET!$O:$O=TRUE,TIMESHEET!$P:$P=TRUE,TIMESHEET!$C:$C=AA$56)))"),"")</f>
        <v/>
      </c>
      <c r="AB61" s="306" t="str">
        <f>IFERROR(__xludf.DUMMYFUNCTION("iferror(sum(filter(TIMESHEET!$G:$G,TIMESHEET!$E:$E=$B61,TIMESHEET!$O:$O=TRUE,TIMESHEET!$P:$P=TRUE,TIMESHEET!$C:$C=AB$56)))"),"")</f>
        <v/>
      </c>
      <c r="AC61" s="306">
        <f>IFERROR(__xludf.DUMMYFUNCTION("iferror(sum(filter(TIMESHEET!$G:$G,TIMESHEET!$E:$E=$B61,TIMESHEET!$O:$O=TRUE,TIMESHEET!$P:$P=TRUE,TIMESHEET!$C:$C=AC$56)))"),0.041666666666666664)</f>
        <v>0.04166666667</v>
      </c>
      <c r="AD61" s="306" t="str">
        <f>IFERROR(__xludf.DUMMYFUNCTION("iferror(sum(filter(TIMESHEET!$G:$G,TIMESHEET!$E:$E=$B61,TIMESHEET!$O:$O=TRUE,TIMESHEET!$P:$P=TRUE,TIMESHEET!$C:$C=AD$56)))"),"")</f>
        <v/>
      </c>
      <c r="AE61" s="306">
        <f>IFERROR(__xludf.DUMMYFUNCTION("iferror(sum(filter(TIMESHEET!$G:$G,TIMESHEET!$E:$E=$B61,TIMESHEET!$O:$O=TRUE,TIMESHEET!$P:$P=TRUE,TIMESHEET!$C:$C=AE$56)))"),0.47916666666666663)</f>
        <v>0.4791666667</v>
      </c>
      <c r="AF61" s="306">
        <f>IFERROR(__xludf.DUMMYFUNCTION("iferror(sum(filter(TIMESHEET!$G:$G,TIMESHEET!$E:$E=$B61,TIMESHEET!$O:$O=TRUE,TIMESHEET!$P:$P=TRUE,TIMESHEET!$C:$C=AF$56)))"),0.041666666666666664)</f>
        <v>0.04166666667</v>
      </c>
      <c r="AG61" s="306">
        <f>IFERROR(__xludf.DUMMYFUNCTION("iferror(sum(filter(TIMESHEET!$G:$G,TIMESHEET!$E:$E=$B61,TIMESHEET!$O:$O=TRUE,TIMESHEET!$P:$P=TRUE,TIMESHEET!$C:$C=AG$56)))"),0.0625)</f>
        <v>0.0625</v>
      </c>
      <c r="AH61" s="306">
        <f>IFERROR(__xludf.DUMMYFUNCTION("iferror(sum(filter(TIMESHEET!$G:$G,TIMESHEET!$E:$E=$B61,TIMESHEET!$O:$O=TRUE,TIMESHEET!$P:$P=TRUE,TIMESHEET!$C:$C=AH$56)))"),0.375)</f>
        <v>0.375</v>
      </c>
      <c r="AI61" s="306">
        <f>IFERROR(__xludf.DUMMYFUNCTION("iferror(sum(filter(TIMESHEET!$G:$G,TIMESHEET!$E:$E=$B61,TIMESHEET!$O:$O=TRUE,TIMESHEET!$P:$P=TRUE,TIMESHEET!$C:$C=AI$56)))"),0.4375)</f>
        <v>0.4375</v>
      </c>
      <c r="AJ61" s="306" t="str">
        <f>IFERROR(__xludf.DUMMYFUNCTION("iferror(sum(filter(TIMESHEET!$G:$G,TIMESHEET!$E:$E=$B61,TIMESHEET!$O:$O=TRUE,TIMESHEET!$P:$P=TRUE,TIMESHEET!$C:$C=AJ$56)))"),"")</f>
        <v/>
      </c>
      <c r="AK61" s="306" t="str">
        <f>IFERROR(__xludf.DUMMYFUNCTION("iferror(sum(filter(TIMESHEET!$G:$G,TIMESHEET!$E:$E=$B61,TIMESHEET!$O:$O=TRUE,TIMESHEET!$P:$P=TRUE,TIMESHEET!$C:$C=AK$56)))"),"")</f>
        <v/>
      </c>
      <c r="AL61" s="306">
        <f>IFERROR(__xludf.DUMMYFUNCTION("iferror(sum(filter(TIMESHEET!$G:$G,TIMESHEET!$E:$E=$B61,TIMESHEET!$O:$O=TRUE,TIMESHEET!$P:$P=TRUE,TIMESHEET!$C:$C=AL$56)))"),1.1458333333333333)</f>
        <v>1.145833333</v>
      </c>
    </row>
    <row r="62">
      <c r="A62" s="306"/>
      <c r="B62" s="291" t="s">
        <v>146</v>
      </c>
      <c r="C62" s="307" t="s">
        <v>347</v>
      </c>
      <c r="D62" s="291" t="s">
        <v>41</v>
      </c>
      <c r="E62" s="306">
        <f>IFERROR(__xludf.DUMMYFUNCTION("iferror(sum(filter(TIMESHEET!$G:$G,TIMESHEET!$E:$E=$B62,TIMESHEET!$O:$O=TRUE,TIMESHEET!$P:$P=TRUE,TIMESHEET!$C:$C=E$56)))"),8.668750000000001)</f>
        <v>8.66875</v>
      </c>
      <c r="F62" s="306" t="str">
        <f>IFERROR(__xludf.DUMMYFUNCTION("iferror(sum(filter(TIMESHEET!$G:$G,TIMESHEET!$E:$E=$B62,TIMESHEET!$O:$O=TRUE,TIMESHEET!$P:$P=TRUE,TIMESHEET!$C:$C=F$56)))"),"")</f>
        <v/>
      </c>
      <c r="G62" s="306">
        <f>IFERROR(__xludf.DUMMYFUNCTION("iferror(sum(filter(TIMESHEET!$G:$G,TIMESHEET!$E:$E=$B62,TIMESHEET!$O:$O=TRUE,TIMESHEET!$P:$P=TRUE,TIMESHEET!$C:$C=G$56)))"),0.6215277777777778)</f>
        <v>0.6215277778</v>
      </c>
      <c r="H62" s="306">
        <f>IFERROR(__xludf.DUMMYFUNCTION("iferror(sum(filter(TIMESHEET!$G:$G,TIMESHEET!$E:$E=$B62,TIMESHEET!$O:$O=TRUE,TIMESHEET!$P:$P=TRUE,TIMESHEET!$C:$C=H$56)))"),0.125)</f>
        <v>0.125</v>
      </c>
      <c r="I62" s="306">
        <f>IFERROR(__xludf.DUMMYFUNCTION("iferror(sum(filter(TIMESHEET!$G:$G,TIMESHEET!$E:$E=$B62,TIMESHEET!$O:$O=TRUE,TIMESHEET!$P:$P=TRUE,TIMESHEET!$C:$C=I$56)))"),1.1562499999999998)</f>
        <v>1.15625</v>
      </c>
      <c r="J62" s="306" t="str">
        <f>IFERROR(__xludf.DUMMYFUNCTION("iferror(sum(filter(TIMESHEET!$G:$G,TIMESHEET!$E:$E=$B62,TIMESHEET!$O:$O=TRUE,TIMESHEET!$P:$P=TRUE,TIMESHEET!$C:$C=J$56)))"),"")</f>
        <v/>
      </c>
      <c r="K62" s="306">
        <f>IFERROR(__xludf.DUMMYFUNCTION("iferror(sum(filter(TIMESHEET!$G:$G,TIMESHEET!$E:$E=$B62,TIMESHEET!$O:$O=TRUE,TIMESHEET!$P:$P=TRUE,TIMESHEET!$C:$C=K$56)))"),0.2638888888888889)</f>
        <v>0.2638888889</v>
      </c>
      <c r="L62" s="306">
        <f>IFERROR(__xludf.DUMMYFUNCTION("iferror(sum(filter(TIMESHEET!$G:$G,TIMESHEET!$E:$E=$B62,TIMESHEET!$O:$O=TRUE,TIMESHEET!$P:$P=TRUE,TIMESHEET!$C:$C=L$56)))"),1.822916666666667)</f>
        <v>1.822916667</v>
      </c>
      <c r="M62" s="306" t="str">
        <f>IFERROR(__xludf.DUMMYFUNCTION("iferror(sum(filter(TIMESHEET!$G:$G,TIMESHEET!$E:$E=$B62,TIMESHEET!$O:$O=TRUE,TIMESHEET!$P:$P=TRUE,TIMESHEET!$C:$C=M$56)))"),"")</f>
        <v/>
      </c>
      <c r="N62" s="306">
        <f>IFERROR(__xludf.DUMMYFUNCTION("iferror(sum(filter(TIMESHEET!$G:$G,TIMESHEET!$E:$E=$B62,TIMESHEET!$O:$O=TRUE,TIMESHEET!$P:$P=TRUE,TIMESHEET!$C:$C=N$56)))"),6.013888888888888)</f>
        <v>6.013888889</v>
      </c>
      <c r="O62" s="306">
        <f>IFERROR(__xludf.DUMMYFUNCTION("iferror(sum(filter(TIMESHEET!$G:$G,TIMESHEET!$E:$E=$B62,TIMESHEET!$O:$O=TRUE,TIMESHEET!$P:$P=TRUE,TIMESHEET!$C:$C=O$56)))"),2.5000000000000004)</f>
        <v>2.5</v>
      </c>
      <c r="P62" s="306" t="str">
        <f>IFERROR(__xludf.DUMMYFUNCTION("iferror(sum(filter(TIMESHEET!$G:$G,TIMESHEET!$E:$E=$B62,TIMESHEET!$O:$O=TRUE,TIMESHEET!$P:$P=TRUE,TIMESHEET!$C:$C=P$56)))"),"")</f>
        <v/>
      </c>
      <c r="Q62" s="306" t="str">
        <f>IFERROR(__xludf.DUMMYFUNCTION("iferror(sum(filter(TIMESHEET!$G:$G,TIMESHEET!$E:$E=$B62,TIMESHEET!$O:$O=TRUE,TIMESHEET!$P:$P=TRUE,TIMESHEET!$C:$C=Q$56)))"),"")</f>
        <v/>
      </c>
      <c r="R62" s="306" t="str">
        <f>IFERROR(__xludf.DUMMYFUNCTION("iferror(sum(filter(TIMESHEET!$G:$G,TIMESHEET!$E:$E=$B62,TIMESHEET!$O:$O=TRUE,TIMESHEET!$P:$P=TRUE,TIMESHEET!$C:$C=R$56)))"),"")</f>
        <v/>
      </c>
      <c r="S62" s="306">
        <f>IFERROR(__xludf.DUMMYFUNCTION("iferror(sum(filter(TIMESHEET!$G:$G,TIMESHEET!$E:$E=$B62,TIMESHEET!$O:$O=TRUE,TIMESHEET!$P:$P=TRUE,TIMESHEET!$C:$C=S$56)))"),0.41666666666666663)</f>
        <v>0.4166666667</v>
      </c>
      <c r="T62" s="306">
        <f>IFERROR(__xludf.DUMMYFUNCTION("iferror(sum(filter(TIMESHEET!$G:$G,TIMESHEET!$E:$E=$B62,TIMESHEET!$O:$O=TRUE,TIMESHEET!$P:$P=TRUE,TIMESHEET!$C:$C=T$56)))"),0.14583333333333331)</f>
        <v>0.1458333333</v>
      </c>
      <c r="U62" s="306" t="str">
        <f>IFERROR(__xludf.DUMMYFUNCTION("iferror(sum(filter(TIMESHEET!$G:$G,TIMESHEET!$E:$E=$B62,TIMESHEET!$O:$O=TRUE,TIMESHEET!$P:$P=TRUE,TIMESHEET!$C:$C=U$56)))"),"")</f>
        <v/>
      </c>
      <c r="V62" s="306" t="str">
        <f>IFERROR(__xludf.DUMMYFUNCTION("iferror(sum(filter(TIMESHEET!$G:$G,TIMESHEET!$E:$E=$B62,TIMESHEET!$O:$O=TRUE,TIMESHEET!$P:$P=TRUE,TIMESHEET!$C:$C=V$56)))"),"")</f>
        <v/>
      </c>
      <c r="W62" s="306" t="str">
        <f>IFERROR(__xludf.DUMMYFUNCTION("iferror(sum(filter(TIMESHEET!$G:$G,TIMESHEET!$E:$E=$B62,TIMESHEET!$O:$O=TRUE,TIMESHEET!$P:$P=TRUE,TIMESHEET!$C:$C=W$56)))"),"")</f>
        <v/>
      </c>
      <c r="X62" s="306" t="str">
        <f>IFERROR(__xludf.DUMMYFUNCTION("iferror(sum(filter(TIMESHEET!$G:$G,TIMESHEET!$E:$E=$B62,TIMESHEET!$O:$O=TRUE,TIMESHEET!$P:$P=TRUE,TIMESHEET!$C:$C=X$56)))"),"")</f>
        <v/>
      </c>
      <c r="Y62" s="306" t="str">
        <f>IFERROR(__xludf.DUMMYFUNCTION("iferror(sum(filter(TIMESHEET!$G:$G,TIMESHEET!$E:$E=$B62,TIMESHEET!$O:$O=TRUE,TIMESHEET!$P:$P=TRUE,TIMESHEET!$C:$C=Y$56)))"),"")</f>
        <v/>
      </c>
      <c r="Z62" s="306" t="str">
        <f>IFERROR(__xludf.DUMMYFUNCTION("iferror(sum(filter(TIMESHEET!$G:$G,TIMESHEET!$E:$E=$B62,TIMESHEET!$O:$O=TRUE,TIMESHEET!$P:$P=TRUE,TIMESHEET!$C:$C=Z$56)))"),"")</f>
        <v/>
      </c>
      <c r="AA62" s="306" t="str">
        <f>IFERROR(__xludf.DUMMYFUNCTION("iferror(sum(filter(TIMESHEET!$G:$G,TIMESHEET!$E:$E=$B62,TIMESHEET!$O:$O=TRUE,TIMESHEET!$P:$P=TRUE,TIMESHEET!$C:$C=AA$56)))"),"")</f>
        <v/>
      </c>
      <c r="AB62" s="306" t="str">
        <f>IFERROR(__xludf.DUMMYFUNCTION("iferror(sum(filter(TIMESHEET!$G:$G,TIMESHEET!$E:$E=$B62,TIMESHEET!$O:$O=TRUE,TIMESHEET!$P:$P=TRUE,TIMESHEET!$C:$C=AB$56)))"),"")</f>
        <v/>
      </c>
      <c r="AC62" s="306">
        <f>IFERROR(__xludf.DUMMYFUNCTION("iferror(sum(filter(TIMESHEET!$G:$G,TIMESHEET!$E:$E=$B62,TIMESHEET!$O:$O=TRUE,TIMESHEET!$P:$P=TRUE,TIMESHEET!$C:$C=AC$56)))"),0.3125)</f>
        <v>0.3125</v>
      </c>
      <c r="AD62" s="306" t="str">
        <f>IFERROR(__xludf.DUMMYFUNCTION("iferror(sum(filter(TIMESHEET!$G:$G,TIMESHEET!$E:$E=$B62,TIMESHEET!$O:$O=TRUE,TIMESHEET!$P:$P=TRUE,TIMESHEET!$C:$C=AD$56)))"),"")</f>
        <v/>
      </c>
      <c r="AE62" s="306">
        <f>IFERROR(__xludf.DUMMYFUNCTION("iferror(sum(filter(TIMESHEET!$G:$G,TIMESHEET!$E:$E=$B62,TIMESHEET!$O:$O=TRUE,TIMESHEET!$P:$P=TRUE,TIMESHEET!$C:$C=AE$56)))"),0.0625)</f>
        <v>0.0625</v>
      </c>
      <c r="AF62" s="306" t="str">
        <f>IFERROR(__xludf.DUMMYFUNCTION("iferror(sum(filter(TIMESHEET!$G:$G,TIMESHEET!$E:$E=$B62,TIMESHEET!$O:$O=TRUE,TIMESHEET!$P:$P=TRUE,TIMESHEET!$C:$C=AF$56)))"),"")</f>
        <v/>
      </c>
      <c r="AG62" s="306" t="str">
        <f>IFERROR(__xludf.DUMMYFUNCTION("iferror(sum(filter(TIMESHEET!$G:$G,TIMESHEET!$E:$E=$B62,TIMESHEET!$O:$O=TRUE,TIMESHEET!$P:$P=TRUE,TIMESHEET!$C:$C=AG$56)))"),"")</f>
        <v/>
      </c>
      <c r="AH62" s="306" t="str">
        <f>IFERROR(__xludf.DUMMYFUNCTION("iferror(sum(filter(TIMESHEET!$G:$G,TIMESHEET!$E:$E=$B62,TIMESHEET!$O:$O=TRUE,TIMESHEET!$P:$P=TRUE,TIMESHEET!$C:$C=AH$56)))"),"")</f>
        <v/>
      </c>
      <c r="AI62" s="306" t="str">
        <f>IFERROR(__xludf.DUMMYFUNCTION("iferror(sum(filter(TIMESHEET!$G:$G,TIMESHEET!$E:$E=$B62,TIMESHEET!$O:$O=TRUE,TIMESHEET!$P:$P=TRUE,TIMESHEET!$C:$C=AI$56)))"),"")</f>
        <v/>
      </c>
      <c r="AJ62" s="306" t="str">
        <f>IFERROR(__xludf.DUMMYFUNCTION("iferror(sum(filter(TIMESHEET!$G:$G,TIMESHEET!$E:$E=$B62,TIMESHEET!$O:$O=TRUE,TIMESHEET!$P:$P=TRUE,TIMESHEET!$C:$C=AJ$56)))"),"")</f>
        <v/>
      </c>
      <c r="AK62" s="306" t="str">
        <f>IFERROR(__xludf.DUMMYFUNCTION("iferror(sum(filter(TIMESHEET!$G:$G,TIMESHEET!$E:$E=$B62,TIMESHEET!$O:$O=TRUE,TIMESHEET!$P:$P=TRUE,TIMESHEET!$C:$C=AK$56)))"),"")</f>
        <v/>
      </c>
      <c r="AL62" s="306">
        <f>IFERROR(__xludf.DUMMYFUNCTION("iferror(sum(filter(TIMESHEET!$G:$G,TIMESHEET!$E:$E=$B62,TIMESHEET!$O:$O=TRUE,TIMESHEET!$P:$P=TRUE,TIMESHEET!$C:$C=AL$56)))"),1.0416666666666665)</f>
        <v>1.041666667</v>
      </c>
    </row>
    <row r="63">
      <c r="A63" s="306"/>
      <c r="B63" s="291" t="s">
        <v>110</v>
      </c>
      <c r="C63" s="307" t="s">
        <v>349</v>
      </c>
      <c r="D63" s="291" t="s">
        <v>39</v>
      </c>
      <c r="E63" s="306">
        <f>IFERROR(__xludf.DUMMYFUNCTION("iferror(sum(filter(TIMESHEET!$G:$G,TIMESHEET!$E:$E=$B63,TIMESHEET!$O:$O=TRUE,TIMESHEET!$P:$P=TRUE,TIMESHEET!$C:$C=E$56)))"),26.339583333333344)</f>
        <v>26.33958333</v>
      </c>
      <c r="F63" s="306" t="str">
        <f>IFERROR(__xludf.DUMMYFUNCTION("iferror(sum(filter(TIMESHEET!$G:$G,TIMESHEET!$E:$E=$B63,TIMESHEET!$O:$O=TRUE,TIMESHEET!$P:$P=TRUE,TIMESHEET!$C:$C=F$56)))"),"")</f>
        <v/>
      </c>
      <c r="G63" s="306" t="str">
        <f>IFERROR(__xludf.DUMMYFUNCTION("iferror(sum(filter(TIMESHEET!$G:$G,TIMESHEET!$E:$E=$B63,TIMESHEET!$O:$O=TRUE,TIMESHEET!$P:$P=TRUE,TIMESHEET!$C:$C=G$56)))"),"")</f>
        <v/>
      </c>
      <c r="H63" s="306">
        <f>IFERROR(__xludf.DUMMYFUNCTION("iferror(sum(filter(TIMESHEET!$G:$G,TIMESHEET!$E:$E=$B63,TIMESHEET!$O:$O=TRUE,TIMESHEET!$P:$P=TRUE,TIMESHEET!$C:$C=H$56)))"),0.0625)</f>
        <v>0.0625</v>
      </c>
      <c r="I63" s="306">
        <f>IFERROR(__xludf.DUMMYFUNCTION("iferror(sum(filter(TIMESHEET!$G:$G,TIMESHEET!$E:$E=$B63,TIMESHEET!$O:$O=TRUE,TIMESHEET!$P:$P=TRUE,TIMESHEET!$C:$C=I$56)))"),0.16666666666666666)</f>
        <v>0.1666666667</v>
      </c>
      <c r="J63" s="306" t="str">
        <f>IFERROR(__xludf.DUMMYFUNCTION("iferror(sum(filter(TIMESHEET!$G:$G,TIMESHEET!$E:$E=$B63,TIMESHEET!$O:$O=TRUE,TIMESHEET!$P:$P=TRUE,TIMESHEET!$C:$C=J$56)))"),"")</f>
        <v/>
      </c>
      <c r="K63" s="306">
        <f>IFERROR(__xludf.DUMMYFUNCTION("iferror(sum(filter(TIMESHEET!$G:$G,TIMESHEET!$E:$E=$B63,TIMESHEET!$O:$O=TRUE,TIMESHEET!$P:$P=TRUE,TIMESHEET!$C:$C=K$56)))"),2.833333333333333)</f>
        <v>2.833333333</v>
      </c>
      <c r="L63" s="306" t="str">
        <f>IFERROR(__xludf.DUMMYFUNCTION("iferror(sum(filter(TIMESHEET!$G:$G,TIMESHEET!$E:$E=$B63,TIMESHEET!$O:$O=TRUE,TIMESHEET!$P:$P=TRUE,TIMESHEET!$C:$C=L$56)))"),"")</f>
        <v/>
      </c>
      <c r="M63" s="306" t="str">
        <f>IFERROR(__xludf.DUMMYFUNCTION("iferror(sum(filter(TIMESHEET!$G:$G,TIMESHEET!$E:$E=$B63,TIMESHEET!$O:$O=TRUE,TIMESHEET!$P:$P=TRUE,TIMESHEET!$C:$C=M$56)))"),"")</f>
        <v/>
      </c>
      <c r="N63" s="306">
        <f>IFERROR(__xludf.DUMMYFUNCTION("iferror(sum(filter(TIMESHEET!$G:$G,TIMESHEET!$E:$E=$B63,TIMESHEET!$O:$O=TRUE,TIMESHEET!$P:$P=TRUE,TIMESHEET!$C:$C=N$56)))"),0.5104166666666666)</f>
        <v>0.5104166667</v>
      </c>
      <c r="O63" s="306" t="str">
        <f>IFERROR(__xludf.DUMMYFUNCTION("iferror(sum(filter(TIMESHEET!$G:$G,TIMESHEET!$E:$E=$B63,TIMESHEET!$O:$O=TRUE,TIMESHEET!$P:$P=TRUE,TIMESHEET!$C:$C=O$56)))"),"")</f>
        <v/>
      </c>
      <c r="P63" s="306" t="str">
        <f>IFERROR(__xludf.DUMMYFUNCTION("iferror(sum(filter(TIMESHEET!$G:$G,TIMESHEET!$E:$E=$B63,TIMESHEET!$O:$O=TRUE,TIMESHEET!$P:$P=TRUE,TIMESHEET!$C:$C=P$56)))"),"")</f>
        <v/>
      </c>
      <c r="Q63" s="306" t="str">
        <f>IFERROR(__xludf.DUMMYFUNCTION("iferror(sum(filter(TIMESHEET!$G:$G,TIMESHEET!$E:$E=$B63,TIMESHEET!$O:$O=TRUE,TIMESHEET!$P:$P=TRUE,TIMESHEET!$C:$C=Q$56)))"),"")</f>
        <v/>
      </c>
      <c r="R63" s="306" t="str">
        <f>IFERROR(__xludf.DUMMYFUNCTION("iferror(sum(filter(TIMESHEET!$G:$G,TIMESHEET!$E:$E=$B63,TIMESHEET!$O:$O=TRUE,TIMESHEET!$P:$P=TRUE,TIMESHEET!$C:$C=R$56)))"),"")</f>
        <v/>
      </c>
      <c r="S63" s="306">
        <f>IFERROR(__xludf.DUMMYFUNCTION("iferror(sum(filter(TIMESHEET!$G:$G,TIMESHEET!$E:$E=$B63,TIMESHEET!$O:$O=TRUE,TIMESHEET!$P:$P=TRUE,TIMESHEET!$C:$C=S$56)))"),4.28125)</f>
        <v>4.28125</v>
      </c>
      <c r="T63" s="306">
        <f>IFERROR(__xludf.DUMMYFUNCTION("iferror(sum(filter(TIMESHEET!$G:$G,TIMESHEET!$E:$E=$B63,TIMESHEET!$O:$O=TRUE,TIMESHEET!$P:$P=TRUE,TIMESHEET!$C:$C=T$56)))"),0.0625)</f>
        <v>0.0625</v>
      </c>
      <c r="U63" s="306">
        <f>IFERROR(__xludf.DUMMYFUNCTION("iferror(sum(filter(TIMESHEET!$G:$G,TIMESHEET!$E:$E=$B63,TIMESHEET!$O:$O=TRUE,TIMESHEET!$P:$P=TRUE,TIMESHEET!$C:$C=U$56)))"),0.0625)</f>
        <v>0.0625</v>
      </c>
      <c r="V63" s="306" t="str">
        <f>IFERROR(__xludf.DUMMYFUNCTION("iferror(sum(filter(TIMESHEET!$G:$G,TIMESHEET!$E:$E=$B63,TIMESHEET!$O:$O=TRUE,TIMESHEET!$P:$P=TRUE,TIMESHEET!$C:$C=V$56)))"),"")</f>
        <v/>
      </c>
      <c r="W63" s="306" t="str">
        <f>IFERROR(__xludf.DUMMYFUNCTION("iferror(sum(filter(TIMESHEET!$G:$G,TIMESHEET!$E:$E=$B63,TIMESHEET!$O:$O=TRUE,TIMESHEET!$P:$P=TRUE,TIMESHEET!$C:$C=W$56)))"),"")</f>
        <v/>
      </c>
      <c r="X63" s="306" t="str">
        <f>IFERROR(__xludf.DUMMYFUNCTION("iferror(sum(filter(TIMESHEET!$G:$G,TIMESHEET!$E:$E=$B63,TIMESHEET!$O:$O=TRUE,TIMESHEET!$P:$P=TRUE,TIMESHEET!$C:$C=X$56)))"),"")</f>
        <v/>
      </c>
      <c r="Y63" s="306" t="str">
        <f>IFERROR(__xludf.DUMMYFUNCTION("iferror(sum(filter(TIMESHEET!$G:$G,TIMESHEET!$E:$E=$B63,TIMESHEET!$O:$O=TRUE,TIMESHEET!$P:$P=TRUE,TIMESHEET!$C:$C=Y$56)))"),"")</f>
        <v/>
      </c>
      <c r="Z63" s="306" t="str">
        <f>IFERROR(__xludf.DUMMYFUNCTION("iferror(sum(filter(TIMESHEET!$G:$G,TIMESHEET!$E:$E=$B63,TIMESHEET!$O:$O=TRUE,TIMESHEET!$P:$P=TRUE,TIMESHEET!$C:$C=Z$56)))"),"")</f>
        <v/>
      </c>
      <c r="AA63" s="306" t="str">
        <f>IFERROR(__xludf.DUMMYFUNCTION("iferror(sum(filter(TIMESHEET!$G:$G,TIMESHEET!$E:$E=$B63,TIMESHEET!$O:$O=TRUE,TIMESHEET!$P:$P=TRUE,TIMESHEET!$C:$C=AA$56)))"),"")</f>
        <v/>
      </c>
      <c r="AB63" s="306" t="str">
        <f>IFERROR(__xludf.DUMMYFUNCTION("iferror(sum(filter(TIMESHEET!$G:$G,TIMESHEET!$E:$E=$B63,TIMESHEET!$O:$O=TRUE,TIMESHEET!$P:$P=TRUE,TIMESHEET!$C:$C=AB$56)))"),"")</f>
        <v/>
      </c>
      <c r="AC63" s="306">
        <f>IFERROR(__xludf.DUMMYFUNCTION("iferror(sum(filter(TIMESHEET!$G:$G,TIMESHEET!$E:$E=$B63,TIMESHEET!$O:$O=TRUE,TIMESHEET!$P:$P=TRUE,TIMESHEET!$C:$C=AC$56)))"),0.041666666666666664)</f>
        <v>0.04166666667</v>
      </c>
      <c r="AD63" s="306" t="str">
        <f>IFERROR(__xludf.DUMMYFUNCTION("iferror(sum(filter(TIMESHEET!$G:$G,TIMESHEET!$E:$E=$B63,TIMESHEET!$O:$O=TRUE,TIMESHEET!$P:$P=TRUE,TIMESHEET!$C:$C=AD$56)))"),"")</f>
        <v/>
      </c>
      <c r="AE63" s="306">
        <f>IFERROR(__xludf.DUMMYFUNCTION("iferror(sum(filter(TIMESHEET!$G:$G,TIMESHEET!$E:$E=$B63,TIMESHEET!$O:$O=TRUE,TIMESHEET!$P:$P=TRUE,TIMESHEET!$C:$C=AE$56)))"),0.10416666666666666)</f>
        <v>0.1041666667</v>
      </c>
      <c r="AF63" s="306" t="str">
        <f>IFERROR(__xludf.DUMMYFUNCTION("iferror(sum(filter(TIMESHEET!$G:$G,TIMESHEET!$E:$E=$B63,TIMESHEET!$O:$O=TRUE,TIMESHEET!$P:$P=TRUE,TIMESHEET!$C:$C=AF$56)))"),"")</f>
        <v/>
      </c>
      <c r="AG63" s="306" t="str">
        <f>IFERROR(__xludf.DUMMYFUNCTION("iferror(sum(filter(TIMESHEET!$G:$G,TIMESHEET!$E:$E=$B63,TIMESHEET!$O:$O=TRUE,TIMESHEET!$P:$P=TRUE,TIMESHEET!$C:$C=AG$56)))"),"")</f>
        <v/>
      </c>
      <c r="AH63" s="306" t="str">
        <f>IFERROR(__xludf.DUMMYFUNCTION("iferror(sum(filter(TIMESHEET!$G:$G,TIMESHEET!$E:$E=$B63,TIMESHEET!$O:$O=TRUE,TIMESHEET!$P:$P=TRUE,TIMESHEET!$C:$C=AH$56)))"),"")</f>
        <v/>
      </c>
      <c r="AI63" s="306" t="str">
        <f>IFERROR(__xludf.DUMMYFUNCTION("iferror(sum(filter(TIMESHEET!$G:$G,TIMESHEET!$E:$E=$B63,TIMESHEET!$O:$O=TRUE,TIMESHEET!$P:$P=TRUE,TIMESHEET!$C:$C=AI$56)))"),"")</f>
        <v/>
      </c>
      <c r="AJ63" s="306">
        <f>IFERROR(__xludf.DUMMYFUNCTION("iferror(sum(filter(TIMESHEET!$G:$G,TIMESHEET!$E:$E=$B63,TIMESHEET!$O:$O=TRUE,TIMESHEET!$P:$P=TRUE,TIMESHEET!$C:$C=AJ$56)))"),0.16666666666666669)</f>
        <v>0.1666666667</v>
      </c>
      <c r="AK63" s="306" t="str">
        <f>IFERROR(__xludf.DUMMYFUNCTION("iferror(sum(filter(TIMESHEET!$G:$G,TIMESHEET!$E:$E=$B63,TIMESHEET!$O:$O=TRUE,TIMESHEET!$P:$P=TRUE,TIMESHEET!$C:$C=AK$56)))"),"")</f>
        <v/>
      </c>
      <c r="AL63" s="306">
        <f>IFERROR(__xludf.DUMMYFUNCTION("iferror(sum(filter(TIMESHEET!$G:$G,TIMESHEET!$E:$E=$B63,TIMESHEET!$O:$O=TRUE,TIMESHEET!$P:$P=TRUE,TIMESHEET!$C:$C=AL$56)))"),4.854166666666666)</f>
        <v>4.854166667</v>
      </c>
    </row>
    <row r="64">
      <c r="A64" s="306"/>
      <c r="B64" s="291" t="s">
        <v>116</v>
      </c>
      <c r="C64" s="307" t="s">
        <v>350</v>
      </c>
      <c r="D64" s="291" t="s">
        <v>343</v>
      </c>
      <c r="E64" s="306">
        <f>IFERROR(__xludf.DUMMYFUNCTION("iferror(sum(filter(TIMESHEET!$G:$G,TIMESHEET!$E:$E=$B64,TIMESHEET!$O:$O=TRUE,TIMESHEET!$P:$P=TRUE,TIMESHEET!$C:$C=E$56)))"),0.6458333333333334)</f>
        <v>0.6458333333</v>
      </c>
      <c r="F64" s="306" t="str">
        <f>IFERROR(__xludf.DUMMYFUNCTION("iferror(sum(filter(TIMESHEET!$G:$G,TIMESHEET!$E:$E=$B64,TIMESHEET!$O:$O=TRUE,TIMESHEET!$P:$P=TRUE,TIMESHEET!$C:$C=F$56)))"),"")</f>
        <v/>
      </c>
      <c r="G64" s="306">
        <f>IFERROR(__xludf.DUMMYFUNCTION("iferror(sum(filter(TIMESHEET!$G:$G,TIMESHEET!$E:$E=$B64,TIMESHEET!$O:$O=TRUE,TIMESHEET!$P:$P=TRUE,TIMESHEET!$C:$C=G$56)))"),0.1875)</f>
        <v>0.1875</v>
      </c>
      <c r="H64" s="306">
        <f>IFERROR(__xludf.DUMMYFUNCTION("iferror(sum(filter(TIMESHEET!$G:$G,TIMESHEET!$E:$E=$B64,TIMESHEET!$O:$O=TRUE,TIMESHEET!$P:$P=TRUE,TIMESHEET!$C:$C=H$56)))"),0.125)</f>
        <v>0.125</v>
      </c>
      <c r="I64" s="306">
        <f>IFERROR(__xludf.DUMMYFUNCTION("iferror(sum(filter(TIMESHEET!$G:$G,TIMESHEET!$E:$E=$B64,TIMESHEET!$O:$O=TRUE,TIMESHEET!$P:$P=TRUE,TIMESHEET!$C:$C=I$56)))"),0.08333333333333333)</f>
        <v>0.08333333333</v>
      </c>
      <c r="J64" s="306" t="str">
        <f>IFERROR(__xludf.DUMMYFUNCTION("iferror(sum(filter(TIMESHEET!$G:$G,TIMESHEET!$E:$E=$B64,TIMESHEET!$O:$O=TRUE,TIMESHEET!$P:$P=TRUE,TIMESHEET!$C:$C=J$56)))"),"")</f>
        <v/>
      </c>
      <c r="K64" s="306">
        <f>IFERROR(__xludf.DUMMYFUNCTION("iferror(sum(filter(TIMESHEET!$G:$G,TIMESHEET!$E:$E=$B64,TIMESHEET!$O:$O=TRUE,TIMESHEET!$P:$P=TRUE,TIMESHEET!$C:$C=K$56)))"),0.08333333333333333)</f>
        <v>0.08333333333</v>
      </c>
      <c r="L64" s="306">
        <f>IFERROR(__xludf.DUMMYFUNCTION("iferror(sum(filter(TIMESHEET!$G:$G,TIMESHEET!$E:$E=$B64,TIMESHEET!$O:$O=TRUE,TIMESHEET!$P:$P=TRUE,TIMESHEET!$C:$C=L$56)))"),0.16666666666666666)</f>
        <v>0.1666666667</v>
      </c>
      <c r="M64" s="306" t="str">
        <f>IFERROR(__xludf.DUMMYFUNCTION("iferror(sum(filter(TIMESHEET!$G:$G,TIMESHEET!$E:$E=$B64,TIMESHEET!$O:$O=TRUE,TIMESHEET!$P:$P=TRUE,TIMESHEET!$C:$C=M$56)))"),"")</f>
        <v/>
      </c>
      <c r="N64" s="306">
        <f>IFERROR(__xludf.DUMMYFUNCTION("iferror(sum(filter(TIMESHEET!$G:$G,TIMESHEET!$E:$E=$B64,TIMESHEET!$O:$O=TRUE,TIMESHEET!$P:$P=TRUE,TIMESHEET!$C:$C=N$56)))"),0.3333333333333333)</f>
        <v>0.3333333333</v>
      </c>
      <c r="O64" s="306">
        <f>IFERROR(__xludf.DUMMYFUNCTION("iferror(sum(filter(TIMESHEET!$G:$G,TIMESHEET!$E:$E=$B64,TIMESHEET!$O:$O=TRUE,TIMESHEET!$P:$P=TRUE,TIMESHEET!$C:$C=O$56)))"),0.22916666666666663)</f>
        <v>0.2291666667</v>
      </c>
      <c r="P64" s="306" t="str">
        <f>IFERROR(__xludf.DUMMYFUNCTION("iferror(sum(filter(TIMESHEET!$G:$G,TIMESHEET!$E:$E=$B64,TIMESHEET!$O:$O=TRUE,TIMESHEET!$P:$P=TRUE,TIMESHEET!$C:$C=P$56)))"),"")</f>
        <v/>
      </c>
      <c r="Q64" s="306" t="str">
        <f>IFERROR(__xludf.DUMMYFUNCTION("iferror(sum(filter(TIMESHEET!$G:$G,TIMESHEET!$E:$E=$B64,TIMESHEET!$O:$O=TRUE,TIMESHEET!$P:$P=TRUE,TIMESHEET!$C:$C=Q$56)))"),"")</f>
        <v/>
      </c>
      <c r="R64" s="306" t="str">
        <f>IFERROR(__xludf.DUMMYFUNCTION("iferror(sum(filter(TIMESHEET!$G:$G,TIMESHEET!$E:$E=$B64,TIMESHEET!$O:$O=TRUE,TIMESHEET!$P:$P=TRUE,TIMESHEET!$C:$C=R$56)))"),"")</f>
        <v/>
      </c>
      <c r="S64" s="306">
        <f>IFERROR(__xludf.DUMMYFUNCTION("iferror(sum(filter(TIMESHEET!$G:$G,TIMESHEET!$E:$E=$B64,TIMESHEET!$O:$O=TRUE,TIMESHEET!$P:$P=TRUE,TIMESHEET!$C:$C=S$56)))"),0.08333333333333333)</f>
        <v>0.08333333333</v>
      </c>
      <c r="T64" s="306" t="str">
        <f>IFERROR(__xludf.DUMMYFUNCTION("iferror(sum(filter(TIMESHEET!$G:$G,TIMESHEET!$E:$E=$B64,TIMESHEET!$O:$O=TRUE,TIMESHEET!$P:$P=TRUE,TIMESHEET!$C:$C=T$56)))"),"")</f>
        <v/>
      </c>
      <c r="U64" s="306" t="str">
        <f>IFERROR(__xludf.DUMMYFUNCTION("iferror(sum(filter(TIMESHEET!$G:$G,TIMESHEET!$E:$E=$B64,TIMESHEET!$O:$O=TRUE,TIMESHEET!$P:$P=TRUE,TIMESHEET!$C:$C=U$56)))"),"")</f>
        <v/>
      </c>
      <c r="V64" s="306" t="str">
        <f>IFERROR(__xludf.DUMMYFUNCTION("iferror(sum(filter(TIMESHEET!$G:$G,TIMESHEET!$E:$E=$B64,TIMESHEET!$O:$O=TRUE,TIMESHEET!$P:$P=TRUE,TIMESHEET!$C:$C=V$56)))"),"")</f>
        <v/>
      </c>
      <c r="W64" s="306" t="str">
        <f>IFERROR(__xludf.DUMMYFUNCTION("iferror(sum(filter(TIMESHEET!$G:$G,TIMESHEET!$E:$E=$B64,TIMESHEET!$O:$O=TRUE,TIMESHEET!$P:$P=TRUE,TIMESHEET!$C:$C=W$56)))"),"")</f>
        <v/>
      </c>
      <c r="X64" s="306" t="str">
        <f>IFERROR(__xludf.DUMMYFUNCTION("iferror(sum(filter(TIMESHEET!$G:$G,TIMESHEET!$E:$E=$B64,TIMESHEET!$O:$O=TRUE,TIMESHEET!$P:$P=TRUE,TIMESHEET!$C:$C=X$56)))"),"")</f>
        <v/>
      </c>
      <c r="Y64" s="306" t="str">
        <f>IFERROR(__xludf.DUMMYFUNCTION("iferror(sum(filter(TIMESHEET!$G:$G,TIMESHEET!$E:$E=$B64,TIMESHEET!$O:$O=TRUE,TIMESHEET!$P:$P=TRUE,TIMESHEET!$C:$C=Y$56)))"),"")</f>
        <v/>
      </c>
      <c r="Z64" s="306" t="str">
        <f>IFERROR(__xludf.DUMMYFUNCTION("iferror(sum(filter(TIMESHEET!$G:$G,TIMESHEET!$E:$E=$B64,TIMESHEET!$O:$O=TRUE,TIMESHEET!$P:$P=TRUE,TIMESHEET!$C:$C=Z$56)))"),"")</f>
        <v/>
      </c>
      <c r="AA64" s="306" t="str">
        <f>IFERROR(__xludf.DUMMYFUNCTION("iferror(sum(filter(TIMESHEET!$G:$G,TIMESHEET!$E:$E=$B64,TIMESHEET!$O:$O=TRUE,TIMESHEET!$P:$P=TRUE,TIMESHEET!$C:$C=AA$56)))"),"")</f>
        <v/>
      </c>
      <c r="AB64" s="306" t="str">
        <f>IFERROR(__xludf.DUMMYFUNCTION("iferror(sum(filter(TIMESHEET!$G:$G,TIMESHEET!$E:$E=$B64,TIMESHEET!$O:$O=TRUE,TIMESHEET!$P:$P=TRUE,TIMESHEET!$C:$C=AB$56)))"),"")</f>
        <v/>
      </c>
      <c r="AC64" s="306" t="str">
        <f>IFERROR(__xludf.DUMMYFUNCTION("iferror(sum(filter(TIMESHEET!$G:$G,TIMESHEET!$E:$E=$B64,TIMESHEET!$O:$O=TRUE,TIMESHEET!$P:$P=TRUE,TIMESHEET!$C:$C=AC$56)))"),"")</f>
        <v/>
      </c>
      <c r="AD64" s="306" t="str">
        <f>IFERROR(__xludf.DUMMYFUNCTION("iferror(sum(filter(TIMESHEET!$G:$G,TIMESHEET!$E:$E=$B64,TIMESHEET!$O:$O=TRUE,TIMESHEET!$P:$P=TRUE,TIMESHEET!$C:$C=AD$56)))"),"")</f>
        <v/>
      </c>
      <c r="AE64" s="306" t="str">
        <f>IFERROR(__xludf.DUMMYFUNCTION("iferror(sum(filter(TIMESHEET!$G:$G,TIMESHEET!$E:$E=$B64,TIMESHEET!$O:$O=TRUE,TIMESHEET!$P:$P=TRUE,TIMESHEET!$C:$C=AE$56)))"),"")</f>
        <v/>
      </c>
      <c r="AF64" s="306" t="str">
        <f>IFERROR(__xludf.DUMMYFUNCTION("iferror(sum(filter(TIMESHEET!$G:$G,TIMESHEET!$E:$E=$B64,TIMESHEET!$O:$O=TRUE,TIMESHEET!$P:$P=TRUE,TIMESHEET!$C:$C=AF$56)))"),"")</f>
        <v/>
      </c>
      <c r="AG64" s="306" t="str">
        <f>IFERROR(__xludf.DUMMYFUNCTION("iferror(sum(filter(TIMESHEET!$G:$G,TIMESHEET!$E:$E=$B64,TIMESHEET!$O:$O=TRUE,TIMESHEET!$P:$P=TRUE,TIMESHEET!$C:$C=AG$56)))"),"")</f>
        <v/>
      </c>
      <c r="AH64" s="306" t="str">
        <f>IFERROR(__xludf.DUMMYFUNCTION("iferror(sum(filter(TIMESHEET!$G:$G,TIMESHEET!$E:$E=$B64,TIMESHEET!$O:$O=TRUE,TIMESHEET!$P:$P=TRUE,TIMESHEET!$C:$C=AH$56)))"),"")</f>
        <v/>
      </c>
      <c r="AI64" s="306" t="str">
        <f>IFERROR(__xludf.DUMMYFUNCTION("iferror(sum(filter(TIMESHEET!$G:$G,TIMESHEET!$E:$E=$B64,TIMESHEET!$O:$O=TRUE,TIMESHEET!$P:$P=TRUE,TIMESHEET!$C:$C=AI$56)))"),"")</f>
        <v/>
      </c>
      <c r="AJ64" s="306" t="str">
        <f>IFERROR(__xludf.DUMMYFUNCTION("iferror(sum(filter(TIMESHEET!$G:$G,TIMESHEET!$E:$E=$B64,TIMESHEET!$O:$O=TRUE,TIMESHEET!$P:$P=TRUE,TIMESHEET!$C:$C=AJ$56)))"),"")</f>
        <v/>
      </c>
      <c r="AK64" s="306" t="str">
        <f>IFERROR(__xludf.DUMMYFUNCTION("iferror(sum(filter(TIMESHEET!$G:$G,TIMESHEET!$E:$E=$B64,TIMESHEET!$O:$O=TRUE,TIMESHEET!$P:$P=TRUE,TIMESHEET!$C:$C=AK$56)))"),"")</f>
        <v/>
      </c>
      <c r="AL64" s="306" t="str">
        <f>IFERROR(__xludf.DUMMYFUNCTION("iferror(sum(filter(TIMESHEET!$G:$G,TIMESHEET!$E:$E=$B64,TIMESHEET!$O:$O=TRUE,TIMESHEET!$P:$P=TRUE,TIMESHEET!$C:$C=AL$56)))"),"")</f>
        <v/>
      </c>
    </row>
    <row r="65">
      <c r="A65" s="306"/>
      <c r="B65" s="291" t="s">
        <v>163</v>
      </c>
      <c r="C65" s="307" t="s">
        <v>2318</v>
      </c>
      <c r="D65" s="291" t="s">
        <v>42</v>
      </c>
      <c r="E65" s="306" t="str">
        <f>IFERROR(__xludf.DUMMYFUNCTION("iferror(sum(filter(TIMESHEET!$G:$G,TIMESHEET!$E:$E=$B65,TIMESHEET!$O:$O=TRUE,TIMESHEET!$P:$P=TRUE,TIMESHEET!$C:$C=E$56)))"),"")</f>
        <v/>
      </c>
      <c r="F65" s="306" t="str">
        <f>IFERROR(__xludf.DUMMYFUNCTION("iferror(sum(filter(TIMESHEET!$G:$G,TIMESHEET!$E:$E=$B65,TIMESHEET!$O:$O=TRUE,TIMESHEET!$P:$P=TRUE,TIMESHEET!$C:$C=F$56)))"),"")</f>
        <v/>
      </c>
      <c r="G65" s="306" t="str">
        <f>IFERROR(__xludf.DUMMYFUNCTION("iferror(sum(filter(TIMESHEET!$G:$G,TIMESHEET!$E:$E=$B65,TIMESHEET!$O:$O=TRUE,TIMESHEET!$P:$P=TRUE,TIMESHEET!$C:$C=G$56)))"),"")</f>
        <v/>
      </c>
      <c r="H65" s="306" t="str">
        <f>IFERROR(__xludf.DUMMYFUNCTION("iferror(sum(filter(TIMESHEET!$G:$G,TIMESHEET!$E:$E=$B65,TIMESHEET!$O:$O=TRUE,TIMESHEET!$P:$P=TRUE,TIMESHEET!$C:$C=H$56)))"),"")</f>
        <v/>
      </c>
      <c r="I65" s="306" t="str">
        <f>IFERROR(__xludf.DUMMYFUNCTION("iferror(sum(filter(TIMESHEET!$G:$G,TIMESHEET!$E:$E=$B65,TIMESHEET!$O:$O=TRUE,TIMESHEET!$P:$P=TRUE,TIMESHEET!$C:$C=I$56)))"),"")</f>
        <v/>
      </c>
      <c r="J65" s="306" t="str">
        <f>IFERROR(__xludf.DUMMYFUNCTION("iferror(sum(filter(TIMESHEET!$G:$G,TIMESHEET!$E:$E=$B65,TIMESHEET!$O:$O=TRUE,TIMESHEET!$P:$P=TRUE,TIMESHEET!$C:$C=J$56)))"),"")</f>
        <v/>
      </c>
      <c r="K65" s="306" t="str">
        <f>IFERROR(__xludf.DUMMYFUNCTION("iferror(sum(filter(TIMESHEET!$G:$G,TIMESHEET!$E:$E=$B65,TIMESHEET!$O:$O=TRUE,TIMESHEET!$P:$P=TRUE,TIMESHEET!$C:$C=K$56)))"),"")</f>
        <v/>
      </c>
      <c r="L65" s="306" t="str">
        <f>IFERROR(__xludf.DUMMYFUNCTION("iferror(sum(filter(TIMESHEET!$G:$G,TIMESHEET!$E:$E=$B65,TIMESHEET!$O:$O=TRUE,TIMESHEET!$P:$P=TRUE,TIMESHEET!$C:$C=L$56)))"),"")</f>
        <v/>
      </c>
      <c r="M65" s="306" t="str">
        <f>IFERROR(__xludf.DUMMYFUNCTION("iferror(sum(filter(TIMESHEET!$G:$G,TIMESHEET!$E:$E=$B65,TIMESHEET!$O:$O=TRUE,TIMESHEET!$P:$P=TRUE,TIMESHEET!$C:$C=M$56)))"),"")</f>
        <v/>
      </c>
      <c r="N65" s="306" t="str">
        <f>IFERROR(__xludf.DUMMYFUNCTION("iferror(sum(filter(TIMESHEET!$G:$G,TIMESHEET!$E:$E=$B65,TIMESHEET!$O:$O=TRUE,TIMESHEET!$P:$P=TRUE,TIMESHEET!$C:$C=N$56)))"),"")</f>
        <v/>
      </c>
      <c r="O65" s="306" t="str">
        <f>IFERROR(__xludf.DUMMYFUNCTION("iferror(sum(filter(TIMESHEET!$G:$G,TIMESHEET!$E:$E=$B65,TIMESHEET!$O:$O=TRUE,TIMESHEET!$P:$P=TRUE,TIMESHEET!$C:$C=O$56)))"),"")</f>
        <v/>
      </c>
      <c r="P65" s="306" t="str">
        <f>IFERROR(__xludf.DUMMYFUNCTION("iferror(sum(filter(TIMESHEET!$G:$G,TIMESHEET!$E:$E=$B65,TIMESHEET!$O:$O=TRUE,TIMESHEET!$P:$P=TRUE,TIMESHEET!$C:$C=P$56)))"),"")</f>
        <v/>
      </c>
      <c r="Q65" s="306" t="str">
        <f>IFERROR(__xludf.DUMMYFUNCTION("iferror(sum(filter(TIMESHEET!$G:$G,TIMESHEET!$E:$E=$B65,TIMESHEET!$O:$O=TRUE,TIMESHEET!$P:$P=TRUE,TIMESHEET!$C:$C=Q$56)))"),"")</f>
        <v/>
      </c>
      <c r="R65" s="306" t="str">
        <f>IFERROR(__xludf.DUMMYFUNCTION("iferror(sum(filter(TIMESHEET!$G:$G,TIMESHEET!$E:$E=$B65,TIMESHEET!$O:$O=TRUE,TIMESHEET!$P:$P=TRUE,TIMESHEET!$C:$C=R$56)))"),"")</f>
        <v/>
      </c>
      <c r="S65" s="306" t="str">
        <f>IFERROR(__xludf.DUMMYFUNCTION("iferror(sum(filter(TIMESHEET!$G:$G,TIMESHEET!$E:$E=$B65,TIMESHEET!$O:$O=TRUE,TIMESHEET!$P:$P=TRUE,TIMESHEET!$C:$C=S$56)))"),"")</f>
        <v/>
      </c>
      <c r="T65" s="306" t="str">
        <f>IFERROR(__xludf.DUMMYFUNCTION("iferror(sum(filter(TIMESHEET!$G:$G,TIMESHEET!$E:$E=$B65,TIMESHEET!$O:$O=TRUE,TIMESHEET!$P:$P=TRUE,TIMESHEET!$C:$C=T$56)))"),"")</f>
        <v/>
      </c>
      <c r="U65" s="306" t="str">
        <f>IFERROR(__xludf.DUMMYFUNCTION("iferror(sum(filter(TIMESHEET!$G:$G,TIMESHEET!$E:$E=$B65,TIMESHEET!$O:$O=TRUE,TIMESHEET!$P:$P=TRUE,TIMESHEET!$C:$C=U$56)))"),"")</f>
        <v/>
      </c>
      <c r="V65" s="306" t="str">
        <f>IFERROR(__xludf.DUMMYFUNCTION("iferror(sum(filter(TIMESHEET!$G:$G,TIMESHEET!$E:$E=$B65,TIMESHEET!$O:$O=TRUE,TIMESHEET!$P:$P=TRUE,TIMESHEET!$C:$C=V$56)))"),"")</f>
        <v/>
      </c>
      <c r="W65" s="306" t="str">
        <f>IFERROR(__xludf.DUMMYFUNCTION("iferror(sum(filter(TIMESHEET!$G:$G,TIMESHEET!$E:$E=$B65,TIMESHEET!$O:$O=TRUE,TIMESHEET!$P:$P=TRUE,TIMESHEET!$C:$C=W$56)))"),"")</f>
        <v/>
      </c>
      <c r="X65" s="306" t="str">
        <f>IFERROR(__xludf.DUMMYFUNCTION("iferror(sum(filter(TIMESHEET!$G:$G,TIMESHEET!$E:$E=$B65,TIMESHEET!$O:$O=TRUE,TIMESHEET!$P:$P=TRUE,TIMESHEET!$C:$C=X$56)))"),"")</f>
        <v/>
      </c>
      <c r="Y65" s="306" t="str">
        <f>IFERROR(__xludf.DUMMYFUNCTION("iferror(sum(filter(TIMESHEET!$G:$G,TIMESHEET!$E:$E=$B65,TIMESHEET!$O:$O=TRUE,TIMESHEET!$P:$P=TRUE,TIMESHEET!$C:$C=Y$56)))"),"")</f>
        <v/>
      </c>
      <c r="Z65" s="306" t="str">
        <f>IFERROR(__xludf.DUMMYFUNCTION("iferror(sum(filter(TIMESHEET!$G:$G,TIMESHEET!$E:$E=$B65,TIMESHEET!$O:$O=TRUE,TIMESHEET!$P:$P=TRUE,TIMESHEET!$C:$C=Z$56)))"),"")</f>
        <v/>
      </c>
      <c r="AA65" s="306" t="str">
        <f>IFERROR(__xludf.DUMMYFUNCTION("iferror(sum(filter(TIMESHEET!$G:$G,TIMESHEET!$E:$E=$B65,TIMESHEET!$O:$O=TRUE,TIMESHEET!$P:$P=TRUE,TIMESHEET!$C:$C=AA$56)))"),"")</f>
        <v/>
      </c>
      <c r="AB65" s="306" t="str">
        <f>IFERROR(__xludf.DUMMYFUNCTION("iferror(sum(filter(TIMESHEET!$G:$G,TIMESHEET!$E:$E=$B65,TIMESHEET!$O:$O=TRUE,TIMESHEET!$P:$P=TRUE,TIMESHEET!$C:$C=AB$56)))"),"")</f>
        <v/>
      </c>
      <c r="AC65" s="306" t="str">
        <f>IFERROR(__xludf.DUMMYFUNCTION("iferror(sum(filter(TIMESHEET!$G:$G,TIMESHEET!$E:$E=$B65,TIMESHEET!$O:$O=TRUE,TIMESHEET!$P:$P=TRUE,TIMESHEET!$C:$C=AC$56)))"),"")</f>
        <v/>
      </c>
      <c r="AD65" s="306" t="str">
        <f>IFERROR(__xludf.DUMMYFUNCTION("iferror(sum(filter(TIMESHEET!$G:$G,TIMESHEET!$E:$E=$B65,TIMESHEET!$O:$O=TRUE,TIMESHEET!$P:$P=TRUE,TIMESHEET!$C:$C=AD$56)))"),"")</f>
        <v/>
      </c>
      <c r="AE65" s="306" t="str">
        <f>IFERROR(__xludf.DUMMYFUNCTION("iferror(sum(filter(TIMESHEET!$G:$G,TIMESHEET!$E:$E=$B65,TIMESHEET!$O:$O=TRUE,TIMESHEET!$P:$P=TRUE,TIMESHEET!$C:$C=AE$56)))"),"")</f>
        <v/>
      </c>
      <c r="AF65" s="306" t="str">
        <f>IFERROR(__xludf.DUMMYFUNCTION("iferror(sum(filter(TIMESHEET!$G:$G,TIMESHEET!$E:$E=$B65,TIMESHEET!$O:$O=TRUE,TIMESHEET!$P:$P=TRUE,TIMESHEET!$C:$C=AF$56)))"),"")</f>
        <v/>
      </c>
      <c r="AG65" s="306" t="str">
        <f>IFERROR(__xludf.DUMMYFUNCTION("iferror(sum(filter(TIMESHEET!$G:$G,TIMESHEET!$E:$E=$B65,TIMESHEET!$O:$O=TRUE,TIMESHEET!$P:$P=TRUE,TIMESHEET!$C:$C=AG$56)))"),"")</f>
        <v/>
      </c>
      <c r="AH65" s="306" t="str">
        <f>IFERROR(__xludf.DUMMYFUNCTION("iferror(sum(filter(TIMESHEET!$G:$G,TIMESHEET!$E:$E=$B65,TIMESHEET!$O:$O=TRUE,TIMESHEET!$P:$P=TRUE,TIMESHEET!$C:$C=AH$56)))"),"")</f>
        <v/>
      </c>
      <c r="AI65" s="306" t="str">
        <f>IFERROR(__xludf.DUMMYFUNCTION("iferror(sum(filter(TIMESHEET!$G:$G,TIMESHEET!$E:$E=$B65,TIMESHEET!$O:$O=TRUE,TIMESHEET!$P:$P=TRUE,TIMESHEET!$C:$C=AI$56)))"),"")</f>
        <v/>
      </c>
      <c r="AJ65" s="306" t="str">
        <f>IFERROR(__xludf.DUMMYFUNCTION("iferror(sum(filter(TIMESHEET!$G:$G,TIMESHEET!$E:$E=$B65,TIMESHEET!$O:$O=TRUE,TIMESHEET!$P:$P=TRUE,TIMESHEET!$C:$C=AJ$56)))"),"")</f>
        <v/>
      </c>
      <c r="AK65" s="306" t="str">
        <f>IFERROR(__xludf.DUMMYFUNCTION("iferror(sum(filter(TIMESHEET!$G:$G,TIMESHEET!$E:$E=$B65,TIMESHEET!$O:$O=TRUE,TIMESHEET!$P:$P=TRUE,TIMESHEET!$C:$C=AK$56)))"),"")</f>
        <v/>
      </c>
      <c r="AL65" s="306" t="str">
        <f>IFERROR(__xludf.DUMMYFUNCTION("iferror(sum(filter(TIMESHEET!$G:$G,TIMESHEET!$E:$E=$B65,TIMESHEET!$O:$O=TRUE,TIMESHEET!$P:$P=TRUE,TIMESHEET!$C:$C=AL$56)))"),"")</f>
        <v/>
      </c>
    </row>
    <row r="66">
      <c r="A66" s="306"/>
      <c r="B66" s="291" t="s">
        <v>128</v>
      </c>
      <c r="C66" s="307" t="s">
        <v>352</v>
      </c>
      <c r="D66" s="291" t="s">
        <v>39</v>
      </c>
      <c r="E66" s="306" t="str">
        <f>IFERROR(__xludf.DUMMYFUNCTION("iferror(sum(filter(TIMESHEET!$G:$G,TIMESHEET!$E:$E=$B66,TIMESHEET!$O:$O=TRUE,TIMESHEET!$P:$P=TRUE,TIMESHEET!$C:$C=E$56)))"),"")</f>
        <v/>
      </c>
      <c r="F66" s="306" t="str">
        <f>IFERROR(__xludf.DUMMYFUNCTION("iferror(sum(filter(TIMESHEET!$G:$G,TIMESHEET!$E:$E=$B66,TIMESHEET!$O:$O=TRUE,TIMESHEET!$P:$P=TRUE,TIMESHEET!$C:$C=F$56)))"),"")</f>
        <v/>
      </c>
      <c r="G66" s="306">
        <f>IFERROR(__xludf.DUMMYFUNCTION("iferror(sum(filter(TIMESHEET!$G:$G,TIMESHEET!$E:$E=$B66,TIMESHEET!$O:$O=TRUE,TIMESHEET!$P:$P=TRUE,TIMESHEET!$C:$C=G$56)))"),0.375)</f>
        <v>0.375</v>
      </c>
      <c r="H66" s="306" t="str">
        <f>IFERROR(__xludf.DUMMYFUNCTION("iferror(sum(filter(TIMESHEET!$G:$G,TIMESHEET!$E:$E=$B66,TIMESHEET!$O:$O=TRUE,TIMESHEET!$P:$P=TRUE,TIMESHEET!$C:$C=H$56)))"),"")</f>
        <v/>
      </c>
      <c r="I66" s="306" t="str">
        <f>IFERROR(__xludf.DUMMYFUNCTION("iferror(sum(filter(TIMESHEET!$G:$G,TIMESHEET!$E:$E=$B66,TIMESHEET!$O:$O=TRUE,TIMESHEET!$P:$P=TRUE,TIMESHEET!$C:$C=I$56)))"),"")</f>
        <v/>
      </c>
      <c r="J66" s="306" t="str">
        <f>IFERROR(__xludf.DUMMYFUNCTION("iferror(sum(filter(TIMESHEET!$G:$G,TIMESHEET!$E:$E=$B66,TIMESHEET!$O:$O=TRUE,TIMESHEET!$P:$P=TRUE,TIMESHEET!$C:$C=J$56)))"),"")</f>
        <v/>
      </c>
      <c r="K66" s="306" t="str">
        <f>IFERROR(__xludf.DUMMYFUNCTION("iferror(sum(filter(TIMESHEET!$G:$G,TIMESHEET!$E:$E=$B66,TIMESHEET!$O:$O=TRUE,TIMESHEET!$P:$P=TRUE,TIMESHEET!$C:$C=K$56)))"),"")</f>
        <v/>
      </c>
      <c r="L66" s="306">
        <f>IFERROR(__xludf.DUMMYFUNCTION("iferror(sum(filter(TIMESHEET!$G:$G,TIMESHEET!$E:$E=$B66,TIMESHEET!$O:$O=TRUE,TIMESHEET!$P:$P=TRUE,TIMESHEET!$C:$C=L$56)))"),1.4166666666666665)</f>
        <v>1.416666667</v>
      </c>
      <c r="M66" s="306" t="str">
        <f>IFERROR(__xludf.DUMMYFUNCTION("iferror(sum(filter(TIMESHEET!$G:$G,TIMESHEET!$E:$E=$B66,TIMESHEET!$O:$O=TRUE,TIMESHEET!$P:$P=TRUE,TIMESHEET!$C:$C=M$56)))"),"")</f>
        <v/>
      </c>
      <c r="N66" s="306">
        <f>IFERROR(__xludf.DUMMYFUNCTION("iferror(sum(filter(TIMESHEET!$G:$G,TIMESHEET!$E:$E=$B66,TIMESHEET!$O:$O=TRUE,TIMESHEET!$P:$P=TRUE,TIMESHEET!$C:$C=N$56)))"),0.5729166666666666)</f>
        <v>0.5729166667</v>
      </c>
      <c r="O66" s="306" t="str">
        <f>IFERROR(__xludf.DUMMYFUNCTION("iferror(sum(filter(TIMESHEET!$G:$G,TIMESHEET!$E:$E=$B66,TIMESHEET!$O:$O=TRUE,TIMESHEET!$P:$P=TRUE,TIMESHEET!$C:$C=O$56)))"),"")</f>
        <v/>
      </c>
      <c r="P66" s="306" t="str">
        <f>IFERROR(__xludf.DUMMYFUNCTION("iferror(sum(filter(TIMESHEET!$G:$G,TIMESHEET!$E:$E=$B66,TIMESHEET!$O:$O=TRUE,TIMESHEET!$P:$P=TRUE,TIMESHEET!$C:$C=P$56)))"),"")</f>
        <v/>
      </c>
      <c r="Q66" s="306" t="str">
        <f>IFERROR(__xludf.DUMMYFUNCTION("iferror(sum(filter(TIMESHEET!$G:$G,TIMESHEET!$E:$E=$B66,TIMESHEET!$O:$O=TRUE,TIMESHEET!$P:$P=TRUE,TIMESHEET!$C:$C=Q$56)))"),"")</f>
        <v/>
      </c>
      <c r="R66" s="306" t="str">
        <f>IFERROR(__xludf.DUMMYFUNCTION("iferror(sum(filter(TIMESHEET!$G:$G,TIMESHEET!$E:$E=$B66,TIMESHEET!$O:$O=TRUE,TIMESHEET!$P:$P=TRUE,TIMESHEET!$C:$C=R$56)))"),"")</f>
        <v/>
      </c>
      <c r="S66" s="306" t="str">
        <f>IFERROR(__xludf.DUMMYFUNCTION("iferror(sum(filter(TIMESHEET!$G:$G,TIMESHEET!$E:$E=$B66,TIMESHEET!$O:$O=TRUE,TIMESHEET!$P:$P=TRUE,TIMESHEET!$C:$C=S$56)))"),"")</f>
        <v/>
      </c>
      <c r="T66" s="306" t="str">
        <f>IFERROR(__xludf.DUMMYFUNCTION("iferror(sum(filter(TIMESHEET!$G:$G,TIMESHEET!$E:$E=$B66,TIMESHEET!$O:$O=TRUE,TIMESHEET!$P:$P=TRUE,TIMESHEET!$C:$C=T$56)))"),"")</f>
        <v/>
      </c>
      <c r="U66" s="306" t="str">
        <f>IFERROR(__xludf.DUMMYFUNCTION("iferror(sum(filter(TIMESHEET!$G:$G,TIMESHEET!$E:$E=$B66,TIMESHEET!$O:$O=TRUE,TIMESHEET!$P:$P=TRUE,TIMESHEET!$C:$C=U$56)))"),"")</f>
        <v/>
      </c>
      <c r="V66" s="306" t="str">
        <f>IFERROR(__xludf.DUMMYFUNCTION("iferror(sum(filter(TIMESHEET!$G:$G,TIMESHEET!$E:$E=$B66,TIMESHEET!$O:$O=TRUE,TIMESHEET!$P:$P=TRUE,TIMESHEET!$C:$C=V$56)))"),"")</f>
        <v/>
      </c>
      <c r="W66" s="306" t="str">
        <f>IFERROR(__xludf.DUMMYFUNCTION("iferror(sum(filter(TIMESHEET!$G:$G,TIMESHEET!$E:$E=$B66,TIMESHEET!$O:$O=TRUE,TIMESHEET!$P:$P=TRUE,TIMESHEET!$C:$C=W$56)))"),"")</f>
        <v/>
      </c>
      <c r="X66" s="306" t="str">
        <f>IFERROR(__xludf.DUMMYFUNCTION("iferror(sum(filter(TIMESHEET!$G:$G,TIMESHEET!$E:$E=$B66,TIMESHEET!$O:$O=TRUE,TIMESHEET!$P:$P=TRUE,TIMESHEET!$C:$C=X$56)))"),"")</f>
        <v/>
      </c>
      <c r="Y66" s="306">
        <f>IFERROR(__xludf.DUMMYFUNCTION("iferror(sum(filter(TIMESHEET!$G:$G,TIMESHEET!$E:$E=$B66,TIMESHEET!$O:$O=TRUE,TIMESHEET!$P:$P=TRUE,TIMESHEET!$C:$C=Y$56)))"),0.08333333333333333)</f>
        <v>0.08333333333</v>
      </c>
      <c r="Z66" s="306" t="str">
        <f>IFERROR(__xludf.DUMMYFUNCTION("iferror(sum(filter(TIMESHEET!$G:$G,TIMESHEET!$E:$E=$B66,TIMESHEET!$O:$O=TRUE,TIMESHEET!$P:$P=TRUE,TIMESHEET!$C:$C=Z$56)))"),"")</f>
        <v/>
      </c>
      <c r="AA66" s="306" t="str">
        <f>IFERROR(__xludf.DUMMYFUNCTION("iferror(sum(filter(TIMESHEET!$G:$G,TIMESHEET!$E:$E=$B66,TIMESHEET!$O:$O=TRUE,TIMESHEET!$P:$P=TRUE,TIMESHEET!$C:$C=AA$56)))"),"")</f>
        <v/>
      </c>
      <c r="AB66" s="306" t="str">
        <f>IFERROR(__xludf.DUMMYFUNCTION("iferror(sum(filter(TIMESHEET!$G:$G,TIMESHEET!$E:$E=$B66,TIMESHEET!$O:$O=TRUE,TIMESHEET!$P:$P=TRUE,TIMESHEET!$C:$C=AB$56)))"),"")</f>
        <v/>
      </c>
      <c r="AC66" s="306" t="str">
        <f>IFERROR(__xludf.DUMMYFUNCTION("iferror(sum(filter(TIMESHEET!$G:$G,TIMESHEET!$E:$E=$B66,TIMESHEET!$O:$O=TRUE,TIMESHEET!$P:$P=TRUE,TIMESHEET!$C:$C=AC$56)))"),"")</f>
        <v/>
      </c>
      <c r="AD66" s="306" t="str">
        <f>IFERROR(__xludf.DUMMYFUNCTION("iferror(sum(filter(TIMESHEET!$G:$G,TIMESHEET!$E:$E=$B66,TIMESHEET!$O:$O=TRUE,TIMESHEET!$P:$P=TRUE,TIMESHEET!$C:$C=AD$56)))"),"")</f>
        <v/>
      </c>
      <c r="AE66" s="306" t="str">
        <f>IFERROR(__xludf.DUMMYFUNCTION("iferror(sum(filter(TIMESHEET!$G:$G,TIMESHEET!$E:$E=$B66,TIMESHEET!$O:$O=TRUE,TIMESHEET!$P:$P=TRUE,TIMESHEET!$C:$C=AE$56)))"),"")</f>
        <v/>
      </c>
      <c r="AF66" s="306" t="str">
        <f>IFERROR(__xludf.DUMMYFUNCTION("iferror(sum(filter(TIMESHEET!$G:$G,TIMESHEET!$E:$E=$B66,TIMESHEET!$O:$O=TRUE,TIMESHEET!$P:$P=TRUE,TIMESHEET!$C:$C=AF$56)))"),"")</f>
        <v/>
      </c>
      <c r="AG66" s="306" t="str">
        <f>IFERROR(__xludf.DUMMYFUNCTION("iferror(sum(filter(TIMESHEET!$G:$G,TIMESHEET!$E:$E=$B66,TIMESHEET!$O:$O=TRUE,TIMESHEET!$P:$P=TRUE,TIMESHEET!$C:$C=AG$56)))"),"")</f>
        <v/>
      </c>
      <c r="AH66" s="306" t="str">
        <f>IFERROR(__xludf.DUMMYFUNCTION("iferror(sum(filter(TIMESHEET!$G:$G,TIMESHEET!$E:$E=$B66,TIMESHEET!$O:$O=TRUE,TIMESHEET!$P:$P=TRUE,TIMESHEET!$C:$C=AH$56)))"),"")</f>
        <v/>
      </c>
      <c r="AI66" s="306" t="str">
        <f>IFERROR(__xludf.DUMMYFUNCTION("iferror(sum(filter(TIMESHEET!$G:$G,TIMESHEET!$E:$E=$B66,TIMESHEET!$O:$O=TRUE,TIMESHEET!$P:$P=TRUE,TIMESHEET!$C:$C=AI$56)))"),"")</f>
        <v/>
      </c>
      <c r="AJ66" s="306" t="str">
        <f>IFERROR(__xludf.DUMMYFUNCTION("iferror(sum(filter(TIMESHEET!$G:$G,TIMESHEET!$E:$E=$B66,TIMESHEET!$O:$O=TRUE,TIMESHEET!$P:$P=TRUE,TIMESHEET!$C:$C=AJ$56)))"),"")</f>
        <v/>
      </c>
      <c r="AK66" s="306" t="str">
        <f>IFERROR(__xludf.DUMMYFUNCTION("iferror(sum(filter(TIMESHEET!$G:$G,TIMESHEET!$E:$E=$B66,TIMESHEET!$O:$O=TRUE,TIMESHEET!$P:$P=TRUE,TIMESHEET!$C:$C=AK$56)))"),"")</f>
        <v/>
      </c>
      <c r="AL66" s="306" t="str">
        <f>IFERROR(__xludf.DUMMYFUNCTION("iferror(sum(filter(TIMESHEET!$G:$G,TIMESHEET!$E:$E=$B66,TIMESHEET!$O:$O=TRUE,TIMESHEET!$P:$P=TRUE,TIMESHEET!$C:$C=AL$56)))"),"")</f>
        <v/>
      </c>
    </row>
  </sheetData>
  <autoFilter ref="$A$2:$AL$36"/>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88"/>
  </cols>
  <sheetData>
    <row r="1">
      <c r="D1" s="227"/>
    </row>
    <row r="2">
      <c r="D2" s="227"/>
      <c r="E2" s="227"/>
      <c r="G2" s="312" t="s">
        <v>2319</v>
      </c>
      <c r="H2" s="312" t="s">
        <v>2320</v>
      </c>
      <c r="I2" s="312" t="s">
        <v>1635</v>
      </c>
    </row>
    <row r="3">
      <c r="A3" s="313" t="s">
        <v>144</v>
      </c>
      <c r="B3" s="227">
        <f>IFERROR(__xludf.DUMMYFUNCTION("iferror(sum(filter(TIMESHEET!N:N,month(TIMESHEET!F:F)&gt;=10,TIMESHEET!$E:$E=A3)))"),20482.580567336325)</f>
        <v>20482.58057</v>
      </c>
      <c r="D3" s="227"/>
      <c r="E3" s="227"/>
      <c r="F3" s="313" t="s">
        <v>144</v>
      </c>
      <c r="G3" s="314">
        <v>1575.99</v>
      </c>
      <c r="H3" s="227">
        <f>IFERROR(__xludf.DUMMYFUNCTION("sum(filter(TIMESHEET!$N:$N,month(TIMESHEET!$F:$F)&lt;=3,TIMESHEET!$E:$E=F3))"),1576.0099999999995)</f>
        <v>1576.01</v>
      </c>
      <c r="I3" s="227">
        <f t="shared" ref="I3:I12" si="1">H3-G3</f>
        <v>0.02</v>
      </c>
    </row>
    <row r="4">
      <c r="A4" s="99" t="s">
        <v>307</v>
      </c>
      <c r="B4" s="227">
        <f>IFERROR(__xludf.DUMMYFUNCTION("iferror(sum(filter(TIMESHEET!N:N,month(TIMESHEET!F:F)&gt;=10,TIMESHEET!$E:$E=A4)))"),793.5041094618057)</f>
        <v>793.5041095</v>
      </c>
      <c r="D4" s="227"/>
      <c r="E4" s="227"/>
      <c r="F4" s="313" t="s">
        <v>113</v>
      </c>
      <c r="G4" s="314">
        <v>3090.99</v>
      </c>
      <c r="H4" s="227">
        <f>IFERROR(__xludf.DUMMYFUNCTION("sum(filter(TIMESHEET!$N:$N,month(TIMESHEET!$F:$F)&lt;=3,TIMESHEET!$E:$E=F4))"),3090.9900000000002)</f>
        <v>3090.99</v>
      </c>
      <c r="I4" s="227">
        <f t="shared" si="1"/>
        <v>0</v>
      </c>
    </row>
    <row r="5">
      <c r="A5" s="313" t="s">
        <v>113</v>
      </c>
      <c r="B5" s="227">
        <f>IFERROR(__xludf.DUMMYFUNCTION("iferror(sum(filter(TIMESHEET!N:N,month(TIMESHEET!F:F)&gt;=10,TIMESHEET!$E:$E=A5)))"),919.375081168831)</f>
        <v>919.3750812</v>
      </c>
      <c r="D5" s="227"/>
      <c r="E5" s="227"/>
      <c r="F5" s="313" t="s">
        <v>137</v>
      </c>
      <c r="G5" s="314">
        <v>2027.69</v>
      </c>
      <c r="H5" s="227">
        <f>IFERROR(__xludf.DUMMYFUNCTION("sum(filter(TIMESHEET!$N:$N,month(TIMESHEET!$F:$F)&lt;=3,TIMESHEET!$E:$E=F5))"),2027.6999999999998)</f>
        <v>2027.7</v>
      </c>
      <c r="I5" s="227">
        <f t="shared" si="1"/>
        <v>0.01</v>
      </c>
    </row>
    <row r="6">
      <c r="A6" s="313" t="s">
        <v>137</v>
      </c>
      <c r="B6" s="227">
        <f>IFERROR(__xludf.DUMMYFUNCTION("iferror(sum(filter(TIMESHEET!N:N,month(TIMESHEET!F:F)&gt;=10,TIMESHEET!$E:$E=A6)))"),693.5823896825398)</f>
        <v>693.5823897</v>
      </c>
      <c r="D6" s="227"/>
      <c r="E6" s="227"/>
      <c r="F6" s="313" t="s">
        <v>126</v>
      </c>
      <c r="G6" s="314">
        <v>3815.0</v>
      </c>
      <c r="H6" s="227">
        <f>IFERROR(__xludf.DUMMYFUNCTION("sum(filter(TIMESHEET!$N:$N,month(TIMESHEET!$F:$F)&lt;=3,TIMESHEET!$E:$E=F6))"),3814.9700000000007)</f>
        <v>3814.97</v>
      </c>
      <c r="I6" s="227">
        <f t="shared" si="1"/>
        <v>-0.03</v>
      </c>
    </row>
    <row r="7">
      <c r="A7" s="313" t="s">
        <v>126</v>
      </c>
      <c r="B7" s="227">
        <f>IFERROR(__xludf.DUMMYFUNCTION("iferror(sum(filter(TIMESHEET!N:N,month(TIMESHEET!F:F)&gt;=10,TIMESHEET!$E:$E=A7)))"),4053.1533969494058)</f>
        <v>4053.153397</v>
      </c>
      <c r="D7" s="227"/>
      <c r="E7" s="227"/>
      <c r="F7" s="313" t="s">
        <v>129</v>
      </c>
      <c r="G7" s="314">
        <v>3624.18</v>
      </c>
      <c r="H7" s="227">
        <f>IFERROR(__xludf.DUMMYFUNCTION("sum(filter(TIMESHEET!$N:$N,month(TIMESHEET!$F:$F)&lt;=3,TIMESHEET!$E:$E=F7))"),3624.1799999999994)</f>
        <v>3624.18</v>
      </c>
      <c r="I7" s="227">
        <f t="shared" si="1"/>
        <v>0</v>
      </c>
    </row>
    <row r="8">
      <c r="A8" s="313" t="s">
        <v>129</v>
      </c>
      <c r="B8" s="227" t="str">
        <f>IFERROR(__xludf.DUMMYFUNCTION("iferror(sum(filter(TIMESHEET!N:N,month(TIMESHEET!F:F)&gt;=10,TIMESHEET!$E:$E=A8)))"),"")</f>
        <v/>
      </c>
      <c r="D8" s="227"/>
      <c r="E8" s="227"/>
      <c r="F8" s="313" t="s">
        <v>146</v>
      </c>
      <c r="G8" s="314">
        <v>14080.19</v>
      </c>
      <c r="H8" s="227">
        <f>IFERROR(__xludf.DUMMYFUNCTION("sum(filter(TIMESHEET!$N:$N,month(TIMESHEET!$F:$F)&lt;=3,TIMESHEET!$E:$E=F8))"),14080.18000000001)</f>
        <v>14080.18</v>
      </c>
      <c r="I8" s="227">
        <f t="shared" si="1"/>
        <v>-0.009999999991</v>
      </c>
    </row>
    <row r="9">
      <c r="A9" s="313" t="s">
        <v>146</v>
      </c>
      <c r="B9" s="227">
        <f>IFERROR(__xludf.DUMMYFUNCTION("iferror(sum(filter(TIMESHEET!N:N,month(TIMESHEET!F:F)&gt;=10,TIMESHEET!$E:$E=A9)))"),4818.785770677083)</f>
        <v>4818.785771</v>
      </c>
      <c r="D9" s="227"/>
      <c r="E9" s="227"/>
      <c r="F9" s="313" t="s">
        <v>110</v>
      </c>
      <c r="G9" s="314">
        <v>15217.51</v>
      </c>
      <c r="H9" s="227">
        <f>IFERROR(__xludf.DUMMYFUNCTION("sum(filter(TIMESHEET!$N:$N,month(TIMESHEET!$F:$F)&lt;=3,TIMESHEET!$E:$E=F9))"),15217.590000000006)</f>
        <v>15217.59</v>
      </c>
      <c r="I9" s="227">
        <f t="shared" si="1"/>
        <v>0.08000000001</v>
      </c>
    </row>
    <row r="10">
      <c r="A10" s="313" t="s">
        <v>110</v>
      </c>
      <c r="B10" s="227">
        <f>IFERROR(__xludf.DUMMYFUNCTION("iferror(sum(filter(TIMESHEET!N:N,month(TIMESHEET!F:F)&gt;=10,TIMESHEET!$E:$E=A10)))"),12134.352909074401)</f>
        <v>12134.35291</v>
      </c>
      <c r="D10" s="227"/>
      <c r="F10" s="313" t="s">
        <v>116</v>
      </c>
      <c r="G10" s="314">
        <v>7482.17</v>
      </c>
      <c r="H10" s="227">
        <f>IFERROR(__xludf.DUMMYFUNCTION("sum(filter(TIMESHEET!$N:$N,month(TIMESHEET!$F:$F)&lt;=3,TIMESHEET!$E:$E=F10))"),7482.160000000003)</f>
        <v>7482.16</v>
      </c>
      <c r="I10" s="227">
        <f t="shared" si="1"/>
        <v>-0.009999999997</v>
      </c>
    </row>
    <row r="11">
      <c r="A11" s="313" t="s">
        <v>116</v>
      </c>
      <c r="B11" s="227">
        <f>IFERROR(__xludf.DUMMYFUNCTION("iferror(sum(filter(TIMESHEET!N:N,month(TIMESHEET!F:F)&gt;=10,TIMESHEET!$E:$E=A11)))"),1223.7587107341271)</f>
        <v>1223.758711</v>
      </c>
      <c r="D11" s="227"/>
      <c r="F11" s="313" t="s">
        <v>128</v>
      </c>
      <c r="G11" s="314">
        <v>2090.05</v>
      </c>
      <c r="H11" s="227">
        <f>IFERROR(__xludf.DUMMYFUNCTION("sum(filter(TIMESHEET!$N:$N,month(TIMESHEET!$F:$F)&lt;=3,TIMESHEET!$E:$E=F11))"),2090.04)</f>
        <v>2090.04</v>
      </c>
      <c r="I11" s="227">
        <f t="shared" si="1"/>
        <v>-0.01</v>
      </c>
    </row>
    <row r="12">
      <c r="A12" s="313" t="s">
        <v>128</v>
      </c>
      <c r="B12" s="227" t="str">
        <f>IFERROR(__xludf.DUMMYFUNCTION("iferror(sum(filter(TIMESHEET!N:N,month(TIMESHEET!F:F)&gt;=10,TIMESHEET!$E:$E=A12)))"),"")</f>
        <v/>
      </c>
      <c r="D12" s="227"/>
      <c r="E12" s="227"/>
      <c r="F12" s="313" t="s">
        <v>306</v>
      </c>
      <c r="G12" s="314">
        <v>2375.28</v>
      </c>
      <c r="H12" s="227">
        <f>IFERROR(__xludf.DUMMYFUNCTION("sum(filter(TIMESHEET!$N:$N,month(TIMESHEET!$F:$F)&lt;=3,TIMESHEET!$E:$E=F12))"),2375.310000000001)</f>
        <v>2375.31</v>
      </c>
      <c r="I12" s="227">
        <f t="shared" si="1"/>
        <v>0.03</v>
      </c>
    </row>
    <row r="13">
      <c r="A13" s="313" t="s">
        <v>306</v>
      </c>
      <c r="B13" s="227" t="str">
        <f>IFERROR(__xludf.DUMMYFUNCTION("iferror(sum(filter(TIMESHEET!N:N,month(TIMESHEET!F:F)&gt;=10,TIMESHEET!$E:$E=A13)))"),"")</f>
        <v/>
      </c>
      <c r="D13" s="227"/>
      <c r="G13" s="315">
        <f t="shared" ref="G13:I13" si="2">sum(G3:G12)</f>
        <v>55379.05</v>
      </c>
      <c r="H13" s="316">
        <f t="shared" si="2"/>
        <v>55379.13</v>
      </c>
      <c r="I13" s="316">
        <f t="shared" si="2"/>
        <v>0.08000000002</v>
      </c>
    </row>
    <row r="14">
      <c r="A14" s="313" t="s">
        <v>309</v>
      </c>
      <c r="B14" s="227">
        <f>IFERROR(__xludf.DUMMYFUNCTION("iferror(sum(filter(TIMESHEET!N:N,month(TIMESHEET!F:F)&gt;=10,TIMESHEET!$E:$E=A14)))"),3326.338138072917)</f>
        <v>3326.338138</v>
      </c>
      <c r="D14" s="227"/>
    </row>
    <row r="15">
      <c r="A15" s="313" t="s">
        <v>308</v>
      </c>
      <c r="B15" s="227">
        <f>IFERROR(__xludf.DUMMYFUNCTION("iferror(sum(filter(TIMESHEET!N:N,month(TIMESHEET!F:F)&gt;=10,TIMESHEET!$E:$E=A15)))"),4398.578814813162)</f>
        <v>4398.578815</v>
      </c>
      <c r="D15" s="227"/>
    </row>
    <row r="16">
      <c r="D16" s="227"/>
    </row>
    <row r="17">
      <c r="D17" s="227"/>
    </row>
    <row r="18">
      <c r="D18" s="227"/>
    </row>
    <row r="19">
      <c r="D19" s="227"/>
    </row>
    <row r="20">
      <c r="D20" s="227"/>
    </row>
    <row r="21">
      <c r="D21" s="227"/>
    </row>
    <row r="22">
      <c r="D22" s="227"/>
    </row>
    <row r="23">
      <c r="D23" s="227"/>
    </row>
    <row r="24">
      <c r="D24" s="227"/>
    </row>
    <row r="25">
      <c r="D25" s="227"/>
    </row>
    <row r="26">
      <c r="D26" s="227"/>
    </row>
    <row r="27">
      <c r="D27" s="227"/>
    </row>
    <row r="28">
      <c r="D28" s="227"/>
    </row>
    <row r="29">
      <c r="D29" s="227"/>
    </row>
    <row r="30">
      <c r="D30" s="227"/>
    </row>
    <row r="31">
      <c r="D31" s="227"/>
    </row>
    <row r="32">
      <c r="D32" s="227"/>
    </row>
    <row r="33">
      <c r="D33" s="227"/>
    </row>
    <row r="34">
      <c r="D34" s="227"/>
    </row>
    <row r="35">
      <c r="D35" s="227"/>
    </row>
    <row r="36">
      <c r="D36" s="227"/>
    </row>
    <row r="37">
      <c r="D37" s="227"/>
    </row>
    <row r="38">
      <c r="D38" s="227"/>
    </row>
    <row r="39">
      <c r="D39" s="227"/>
    </row>
    <row r="40">
      <c r="D40" s="227"/>
    </row>
    <row r="41">
      <c r="D41" s="227"/>
    </row>
    <row r="42">
      <c r="D42" s="227"/>
    </row>
    <row r="43">
      <c r="D43" s="227"/>
    </row>
    <row r="44">
      <c r="D44" s="227"/>
    </row>
    <row r="45">
      <c r="D45" s="227"/>
    </row>
    <row r="46">
      <c r="D46" s="227"/>
    </row>
    <row r="47">
      <c r="D47" s="227"/>
    </row>
    <row r="48">
      <c r="D48" s="227"/>
    </row>
    <row r="49">
      <c r="D49" s="227"/>
    </row>
    <row r="50">
      <c r="D50" s="227"/>
    </row>
    <row r="51">
      <c r="D51" s="227"/>
    </row>
    <row r="52">
      <c r="D52" s="227"/>
    </row>
    <row r="53">
      <c r="D53" s="227"/>
    </row>
    <row r="54">
      <c r="D54" s="227"/>
    </row>
    <row r="55">
      <c r="D55" s="227"/>
    </row>
    <row r="56">
      <c r="D56" s="227"/>
    </row>
    <row r="57">
      <c r="D57" s="227"/>
    </row>
    <row r="58">
      <c r="D58" s="227"/>
    </row>
    <row r="59">
      <c r="D59" s="227"/>
    </row>
    <row r="60">
      <c r="D60" s="227"/>
    </row>
    <row r="61">
      <c r="D61" s="227"/>
    </row>
    <row r="62">
      <c r="D62" s="227"/>
    </row>
    <row r="63">
      <c r="D63" s="227"/>
    </row>
    <row r="64">
      <c r="D64" s="227"/>
    </row>
    <row r="65">
      <c r="D65" s="227"/>
    </row>
    <row r="66">
      <c r="D66" s="227"/>
    </row>
    <row r="67">
      <c r="D67" s="227"/>
    </row>
    <row r="68">
      <c r="D68" s="227"/>
    </row>
    <row r="69">
      <c r="D69" s="227"/>
    </row>
    <row r="70">
      <c r="D70" s="227"/>
    </row>
    <row r="71">
      <c r="D71" s="227"/>
    </row>
    <row r="72">
      <c r="D72" s="227"/>
    </row>
    <row r="73">
      <c r="D73" s="227"/>
    </row>
    <row r="74">
      <c r="D74" s="227"/>
    </row>
    <row r="75">
      <c r="D75" s="227"/>
    </row>
    <row r="76">
      <c r="D76" s="227"/>
    </row>
    <row r="77">
      <c r="D77" s="227"/>
    </row>
    <row r="78">
      <c r="D78" s="227"/>
    </row>
    <row r="79">
      <c r="D79" s="227"/>
    </row>
    <row r="80">
      <c r="D80" s="227"/>
    </row>
    <row r="81">
      <c r="D81" s="227"/>
    </row>
    <row r="82">
      <c r="D82" s="227"/>
    </row>
    <row r="83">
      <c r="D83" s="227"/>
    </row>
    <row r="84">
      <c r="D84" s="227"/>
    </row>
    <row r="85">
      <c r="D85" s="227"/>
    </row>
    <row r="86">
      <c r="D86" s="227"/>
    </row>
    <row r="87">
      <c r="D87" s="227"/>
    </row>
    <row r="88">
      <c r="D88" s="227"/>
    </row>
    <row r="89">
      <c r="D89" s="227"/>
    </row>
    <row r="90">
      <c r="D90" s="227"/>
    </row>
    <row r="91">
      <c r="D91" s="227"/>
    </row>
    <row r="92">
      <c r="D92" s="227"/>
    </row>
    <row r="93">
      <c r="D93" s="227"/>
    </row>
    <row r="94">
      <c r="D94" s="227"/>
    </row>
    <row r="95">
      <c r="D95" s="227"/>
    </row>
    <row r="96">
      <c r="D96" s="227"/>
    </row>
    <row r="97">
      <c r="D97" s="227"/>
    </row>
    <row r="98">
      <c r="D98" s="227"/>
    </row>
    <row r="99">
      <c r="D99" s="227"/>
    </row>
    <row r="100">
      <c r="D100" s="227"/>
    </row>
    <row r="101">
      <c r="D101" s="227"/>
    </row>
    <row r="102">
      <c r="D102" s="227"/>
    </row>
    <row r="103">
      <c r="D103" s="227"/>
    </row>
    <row r="104">
      <c r="D104" s="227"/>
    </row>
    <row r="105">
      <c r="D105" s="227"/>
    </row>
    <row r="106">
      <c r="D106" s="227"/>
    </row>
    <row r="107">
      <c r="D107" s="227"/>
    </row>
    <row r="108">
      <c r="D108" s="227"/>
    </row>
    <row r="109">
      <c r="D109" s="227"/>
    </row>
    <row r="110">
      <c r="D110" s="227"/>
    </row>
    <row r="111">
      <c r="D111" s="227"/>
    </row>
  </sheetData>
  <drawing r:id="rId1"/>
</worksheet>
</file>