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sc2\Dropbox\Alternative feeds project\"/>
    </mc:Choice>
  </mc:AlternateContent>
  <xr:revisionPtr revIDLastSave="0" documentId="10_ncr:100000_{A216BFAF-DA34-4350-870E-0783368D9DFF}" xr6:coauthVersionLast="31" xr6:coauthVersionMax="31" xr10:uidLastSave="{00000000-0000-0000-0000-000000000000}"/>
  <bookViews>
    <workbookView xWindow="0" yWindow="0" windowWidth="19200" windowHeight="6960" activeTab="1" xr2:uid="{00000000-000D-0000-FFFF-FFFF00000000}"/>
  </bookViews>
  <sheets>
    <sheet name="Search returns" sheetId="9" r:id="rId1"/>
    <sheet name="Growth &amp; Nutrition" sheetId="7" r:id="rId2"/>
    <sheet name="LCA" sheetId="12" r:id="rId3"/>
    <sheet name="Dietary FMFO" sheetId="5" r:id="rId4"/>
    <sheet name="FCRs" sheetId="4" r:id="rId5"/>
    <sheet name="Footprints " sheetId="1" r:id="rId6"/>
    <sheet name="Codes " sheetId="2" r:id="rId7"/>
    <sheet name="Sheet1" sheetId="11" r:id="rId8"/>
  </sheets>
  <definedNames>
    <definedName name="_xlnm._FilterDatabase" localSheetId="1" hidden="1">'Growth &amp; Nutrition'!$A$1:$Y$1567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90" i="7" l="1"/>
  <c r="S1589" i="7"/>
  <c r="S1588" i="7"/>
  <c r="S1587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1" i="7"/>
  <c r="V1560" i="7"/>
  <c r="V1563" i="7"/>
  <c r="V1562" i="7"/>
  <c r="S1552" i="7"/>
  <c r="S1551" i="7"/>
  <c r="S1550" i="7"/>
  <c r="S1549" i="7"/>
  <c r="S1547" i="7"/>
  <c r="S1546" i="7"/>
  <c r="S1548" i="7"/>
  <c r="S1545" i="7"/>
  <c r="S1544" i="7"/>
  <c r="S1543" i="7"/>
  <c r="S1542" i="7"/>
  <c r="V1519" i="7" l="1"/>
  <c r="V1518" i="7"/>
  <c r="S1509" i="7"/>
  <c r="S1510" i="7"/>
  <c r="S1511" i="7"/>
  <c r="S1512" i="7"/>
  <c r="S1513" i="7"/>
  <c r="S1514" i="7"/>
  <c r="S1515" i="7"/>
  <c r="S1516" i="7"/>
  <c r="S1517" i="7"/>
  <c r="S1508" i="7"/>
  <c r="S1507" i="7"/>
  <c r="S1506" i="7"/>
  <c r="S1505" i="7"/>
  <c r="S1504" i="7"/>
  <c r="S1503" i="7"/>
  <c r="S1502" i="7"/>
  <c r="S1501" i="7"/>
  <c r="S1500" i="7"/>
  <c r="V1480" i="7"/>
  <c r="V1479" i="7"/>
  <c r="V1478" i="7"/>
  <c r="V1477" i="7"/>
  <c r="V1476" i="7"/>
  <c r="V1475" i="7"/>
  <c r="S1474" i="7" l="1"/>
  <c r="S1473" i="7"/>
  <c r="S1472" i="7"/>
  <c r="S1471" i="7"/>
  <c r="V1451" i="7"/>
  <c r="V1450" i="7"/>
  <c r="V1449" i="7"/>
  <c r="V1448" i="7"/>
  <c r="V1447" i="7"/>
  <c r="V1446" i="7"/>
  <c r="V1445" i="7"/>
  <c r="V1444" i="7"/>
  <c r="S1433" i="7"/>
  <c r="S1432" i="7"/>
  <c r="S1431" i="7"/>
  <c r="S1430" i="7"/>
  <c r="S1429" i="7"/>
  <c r="S1428" i="7"/>
  <c r="V1427" i="7"/>
  <c r="V1426" i="7"/>
  <c r="V1425" i="7"/>
  <c r="V1424" i="7"/>
  <c r="V1423" i="7"/>
  <c r="S1427" i="7"/>
  <c r="S1426" i="7"/>
  <c r="S1425" i="7"/>
  <c r="S1423" i="7"/>
  <c r="S1424" i="7"/>
  <c r="S1422" i="7"/>
  <c r="S1420" i="7"/>
  <c r="S1419" i="7"/>
  <c r="V1414" i="7"/>
  <c r="V1413" i="7"/>
  <c r="V1412" i="7"/>
  <c r="S1369" i="7" l="1"/>
  <c r="S1368" i="7"/>
  <c r="S1367" i="7"/>
  <c r="S1366" i="7" l="1"/>
  <c r="S1365" i="7"/>
  <c r="S1364" i="7"/>
  <c r="S1363" i="7"/>
  <c r="S1362" i="7"/>
  <c r="S1361" i="7"/>
  <c r="S1360" i="7"/>
  <c r="S1359" i="7"/>
  <c r="S1302" i="7"/>
  <c r="S1301" i="7"/>
  <c r="S1300" i="7"/>
  <c r="S1299" i="7"/>
  <c r="S1292" i="7" l="1"/>
  <c r="S1291" i="7"/>
  <c r="S1290" i="7"/>
  <c r="T1184" i="7" l="1"/>
  <c r="S1192" i="7"/>
  <c r="S1191" i="7"/>
  <c r="S1190" i="7"/>
  <c r="S1189" i="7"/>
  <c r="S1187" i="7"/>
  <c r="S1186" i="7"/>
  <c r="S1185" i="7"/>
  <c r="S1188" i="7"/>
  <c r="S1126" i="7"/>
  <c r="S1131" i="7"/>
  <c r="S1130" i="7"/>
  <c r="S1129" i="7"/>
  <c r="S1128" i="7"/>
  <c r="S1127" i="7"/>
  <c r="S1124" i="7"/>
  <c r="S1123" i="7"/>
  <c r="S1122" i="7"/>
  <c r="S1121" i="7"/>
  <c r="S1120" i="7"/>
  <c r="S1119" i="7"/>
  <c r="S1091" i="7"/>
  <c r="S1093" i="7"/>
  <c r="S1092" i="7"/>
  <c r="S1090" i="7"/>
  <c r="S1089" i="7"/>
  <c r="S1087" i="7"/>
  <c r="S1084" i="7"/>
  <c r="S1083" i="7"/>
  <c r="S1082" i="7"/>
  <c r="S1081" i="7"/>
  <c r="S1080" i="7"/>
  <c r="S1079" i="7"/>
  <c r="S1078" i="7"/>
  <c r="S1077" i="7"/>
  <c r="S1066" i="7" l="1"/>
  <c r="S1065" i="7"/>
  <c r="S1064" i="7"/>
  <c r="S1063" i="7"/>
  <c r="S1062" i="7"/>
  <c r="S1061" i="7"/>
  <c r="S1060" i="7"/>
  <c r="S1059" i="7"/>
  <c r="S1058" i="7"/>
  <c r="S1057" i="7"/>
  <c r="S1056" i="7"/>
  <c r="S1055" i="7"/>
  <c r="S1054" i="7"/>
  <c r="S1053" i="7"/>
  <c r="S1052" i="7"/>
  <c r="S1051" i="7"/>
  <c r="S1050" i="7"/>
  <c r="S1049" i="7"/>
  <c r="S1048" i="7"/>
  <c r="S1047" i="7"/>
  <c r="S1030" i="7"/>
  <c r="S1029" i="7"/>
  <c r="S1028" i="7"/>
  <c r="S1027" i="7"/>
  <c r="S1026" i="7"/>
  <c r="S1025" i="7"/>
  <c r="S1013" i="7"/>
  <c r="S1012" i="7"/>
  <c r="S1011" i="7"/>
  <c r="S1010" i="7"/>
  <c r="S1009" i="7"/>
  <c r="S1008" i="7"/>
  <c r="S1007" i="7"/>
  <c r="S1002" i="7" l="1"/>
  <c r="S1001" i="7"/>
  <c r="S1000" i="7"/>
  <c r="S984" i="7" l="1"/>
  <c r="S986" i="7"/>
  <c r="S985" i="7"/>
  <c r="S983" i="7"/>
  <c r="S982" i="7"/>
  <c r="S976" i="7"/>
  <c r="S975" i="7"/>
  <c r="S974" i="7"/>
  <c r="S973" i="7"/>
  <c r="S942" i="7" l="1"/>
  <c r="S941" i="7"/>
  <c r="S940" i="7"/>
  <c r="S939" i="7"/>
  <c r="S938" i="7"/>
  <c r="S937" i="7"/>
  <c r="S936" i="7"/>
  <c r="S935" i="7"/>
  <c r="S934" i="7"/>
  <c r="S933" i="7"/>
  <c r="S932" i="7"/>
  <c r="S931" i="7"/>
  <c r="S930" i="7"/>
  <c r="S929" i="7"/>
  <c r="S928" i="7"/>
  <c r="S927" i="7"/>
  <c r="S926" i="7"/>
  <c r="S925" i="7"/>
  <c r="S924" i="7"/>
  <c r="S923" i="7"/>
  <c r="S922" i="7"/>
  <c r="S921" i="7"/>
  <c r="S920" i="7"/>
  <c r="S919" i="7"/>
  <c r="S918" i="7"/>
  <c r="S917" i="7"/>
  <c r="S916" i="7"/>
  <c r="S915" i="7"/>
  <c r="S914" i="7"/>
  <c r="S913" i="7"/>
  <c r="S912" i="7"/>
  <c r="S911" i="7"/>
  <c r="S910" i="7"/>
  <c r="S909" i="7"/>
  <c r="S908" i="7"/>
  <c r="S907" i="7"/>
  <c r="S906" i="7"/>
  <c r="S905" i="7"/>
  <c r="S904" i="7"/>
  <c r="S903" i="7"/>
  <c r="S902" i="7"/>
  <c r="S901" i="7"/>
  <c r="S900" i="7"/>
  <c r="S899" i="7"/>
  <c r="S898" i="7"/>
  <c r="S897" i="7"/>
  <c r="S896" i="7"/>
  <c r="S895" i="7"/>
  <c r="S894" i="7"/>
  <c r="S884" i="7" l="1"/>
  <c r="S883" i="7"/>
  <c r="S882" i="7"/>
  <c r="S881" i="7"/>
  <c r="S880" i="7"/>
  <c r="S879" i="7"/>
  <c r="S878" i="7"/>
  <c r="S860" i="7" l="1"/>
  <c r="S859" i="7"/>
  <c r="S858" i="7"/>
  <c r="S857" i="7"/>
  <c r="S793" i="7"/>
  <c r="S792" i="7"/>
  <c r="S772" i="7" l="1"/>
  <c r="S771" i="7"/>
  <c r="S770" i="7"/>
  <c r="S769" i="7"/>
  <c r="S768" i="7"/>
  <c r="S767" i="7"/>
  <c r="S766" i="7"/>
  <c r="S715" i="7"/>
  <c r="S719" i="7"/>
  <c r="S718" i="7"/>
  <c r="S717" i="7"/>
  <c r="S716" i="7"/>
  <c r="S714" i="7"/>
  <c r="S713" i="7"/>
  <c r="S712" i="7"/>
  <c r="S711" i="7"/>
  <c r="S710" i="7"/>
  <c r="S709" i="7"/>
  <c r="S703" i="7"/>
  <c r="S702" i="7"/>
  <c r="S700" i="7"/>
  <c r="S701" i="7"/>
  <c r="S699" i="7"/>
  <c r="S685" i="7"/>
  <c r="S683" i="7"/>
  <c r="S684" i="7"/>
  <c r="S682" i="7"/>
  <c r="S681" i="7"/>
  <c r="S680" i="7"/>
  <c r="S679" i="7"/>
  <c r="S678" i="7"/>
  <c r="S677" i="7"/>
  <c r="S676" i="7"/>
  <c r="V637" i="7" l="1"/>
  <c r="V636" i="7"/>
  <c r="V635" i="7"/>
  <c r="V634" i="7"/>
  <c r="S571" i="7" l="1"/>
  <c r="S570" i="7"/>
  <c r="S569" i="7"/>
  <c r="S568" i="7"/>
  <c r="S567" i="7"/>
  <c r="S489" i="7" l="1"/>
  <c r="S488" i="7"/>
  <c r="S487" i="7"/>
  <c r="S457" i="7"/>
  <c r="S456" i="7"/>
  <c r="S390" i="7" l="1"/>
  <c r="S389" i="7"/>
  <c r="S388" i="7"/>
  <c r="S387" i="7"/>
  <c r="S386" i="7"/>
  <c r="S385" i="7"/>
  <c r="S384" i="7"/>
  <c r="S382" i="7"/>
  <c r="S383" i="7"/>
  <c r="S381" i="7"/>
  <c r="S363" i="7"/>
  <c r="S364" i="7"/>
  <c r="S362" i="7"/>
  <c r="T354" i="7" l="1"/>
  <c r="S213" i="7" l="1"/>
  <c r="S212" i="7"/>
  <c r="S211" i="7"/>
  <c r="S210" i="7"/>
  <c r="S206" i="7"/>
  <c r="S205" i="7"/>
  <c r="S204" i="7"/>
  <c r="S203" i="7"/>
  <c r="S202" i="7"/>
  <c r="S201" i="7"/>
  <c r="S200" i="7"/>
  <c r="S199" i="7"/>
  <c r="C2" i="9" l="1"/>
  <c r="H71" i="5" l="1"/>
  <c r="H58" i="5"/>
  <c r="J41" i="5" s="1"/>
  <c r="H34" i="5"/>
  <c r="H30" i="5"/>
  <c r="H25" i="5"/>
  <c r="H24" i="5"/>
  <c r="J8" i="5" s="1"/>
  <c r="H14" i="5"/>
  <c r="H12" i="5"/>
  <c r="H10" i="5"/>
  <c r="H8" i="5"/>
  <c r="H2" i="5" l="1"/>
  <c r="H160" i="5"/>
  <c r="K151" i="5" s="1"/>
  <c r="H146" i="5"/>
  <c r="H172" i="5"/>
  <c r="H158" i="5"/>
  <c r="H152" i="5"/>
  <c r="H149" i="5"/>
  <c r="H147" i="5"/>
  <c r="H145" i="5"/>
  <c r="K149" i="5" s="1"/>
  <c r="H100" i="5"/>
  <c r="H90" i="5"/>
  <c r="H95" i="5"/>
  <c r="H85" i="5"/>
  <c r="J89" i="5" s="1"/>
  <c r="H132" i="5"/>
  <c r="H128" i="5"/>
  <c r="H117" i="5"/>
  <c r="H136" i="5"/>
  <c r="H131" i="5"/>
  <c r="H127" i="5"/>
  <c r="K129" i="5" s="1"/>
  <c r="H116" i="5"/>
  <c r="H140" i="5"/>
  <c r="H80" i="5"/>
</calcChain>
</file>

<file path=xl/sharedStrings.xml><?xml version="1.0" encoding="utf-8"?>
<sst xmlns="http://schemas.openxmlformats.org/spreadsheetml/2006/main" count="23873" uniqueCount="1147">
  <si>
    <t xml:space="preserve">Taxon </t>
  </si>
  <si>
    <t>FCR</t>
  </si>
  <si>
    <t>Reference</t>
  </si>
  <si>
    <t>Comments</t>
  </si>
  <si>
    <t>Tenebrio molitor</t>
  </si>
  <si>
    <t>Sci_Name</t>
  </si>
  <si>
    <t>Comm_Name</t>
  </si>
  <si>
    <t>Unit</t>
  </si>
  <si>
    <t>Acheta domesticus</t>
  </si>
  <si>
    <t>House cricket nymph</t>
  </si>
  <si>
    <t xml:space="preserve">Insect </t>
  </si>
  <si>
    <t>Insect</t>
  </si>
  <si>
    <t>Locusta migratoria</t>
  </si>
  <si>
    <t>Glover and Sexton 2015</t>
  </si>
  <si>
    <t>Oonincx et al 2010</t>
  </si>
  <si>
    <t>Pachnoda marginata</t>
  </si>
  <si>
    <t xml:space="preserve">Sun beetles </t>
  </si>
  <si>
    <t xml:space="preserve">Meal worm larvae </t>
  </si>
  <si>
    <t>Migratory locust nymph</t>
  </si>
  <si>
    <t>Blaptica dubia</t>
  </si>
  <si>
    <t>Argentinian cockroach (all stages)</t>
  </si>
  <si>
    <t>CO2 g/kg BM/day</t>
  </si>
  <si>
    <t>CO2 g/kg mass gain</t>
  </si>
  <si>
    <t>CH4 g/kg BM/day</t>
  </si>
  <si>
    <t>N2O mg/kg BM/day</t>
  </si>
  <si>
    <t>General</t>
  </si>
  <si>
    <t>CO2 eq BM/day other</t>
  </si>
  <si>
    <t>Protein_content</t>
  </si>
  <si>
    <t>Confidence_ (+/-)</t>
  </si>
  <si>
    <t xml:space="preserve">Black solider fly </t>
  </si>
  <si>
    <t>Hermetia illucens</t>
  </si>
  <si>
    <t>Catfish</t>
  </si>
  <si>
    <t>African Catfish</t>
  </si>
  <si>
    <t>Shepphard et al 1994</t>
  </si>
  <si>
    <t>Ng et al 2001</t>
  </si>
  <si>
    <t>Footprint</t>
  </si>
  <si>
    <t>Footprint_type</t>
  </si>
  <si>
    <t>FCR of insects 1.7 relative to 2.5 for chickens, 5 for pork and 10 for beef \</t>
  </si>
  <si>
    <t>Oonincx et al 2012</t>
  </si>
  <si>
    <t>GHG</t>
  </si>
  <si>
    <t>Protein</t>
  </si>
  <si>
    <t>Zophobus morio</t>
  </si>
  <si>
    <t>Super worm</t>
  </si>
  <si>
    <t xml:space="preserve">GHG - production </t>
  </si>
  <si>
    <t>GHG - LCA</t>
  </si>
  <si>
    <t xml:space="preserve">Mealworms has an FCR of 2.2  fed on fresh ingredients </t>
  </si>
  <si>
    <t xml:space="preserve">CO2 eq kg/ kg BM </t>
  </si>
  <si>
    <t>Land use</t>
  </si>
  <si>
    <t>Energy use</t>
  </si>
  <si>
    <t>MJ/ kg BM</t>
  </si>
  <si>
    <t>Also includes Zophorus morio within these results</t>
  </si>
  <si>
    <t xml:space="preserve">GHG - LCA </t>
  </si>
  <si>
    <t>CO2 eq kg/ kg protein</t>
  </si>
  <si>
    <t>MJ/ kg protein</t>
  </si>
  <si>
    <t xml:space="preserve">m2 kg BM / year </t>
  </si>
  <si>
    <t>m2 / kg protein</t>
  </si>
  <si>
    <t>Water use</t>
  </si>
  <si>
    <t>Oonincx et al 2013</t>
  </si>
  <si>
    <t>Oonincx et al 2014</t>
  </si>
  <si>
    <t>Oonincx et al 2015</t>
  </si>
  <si>
    <t>Oonincx et al 2016</t>
  </si>
  <si>
    <t>m3 / T BM</t>
  </si>
  <si>
    <t>L/ g protein</t>
  </si>
  <si>
    <t>m3 / kg protein</t>
  </si>
  <si>
    <t xml:space="preserve">Miglietta et al 2015 </t>
  </si>
  <si>
    <t>Miglietta et al 2016</t>
  </si>
  <si>
    <t>Miglietta et al 2017</t>
  </si>
  <si>
    <t>m3 / kg BM</t>
  </si>
  <si>
    <t>Variegated Grasshopper</t>
  </si>
  <si>
    <t xml:space="preserve">Alegbeleye et al 2011 </t>
  </si>
  <si>
    <t>Zonocerus variegatus</t>
  </si>
  <si>
    <t>Mud Catfish</t>
  </si>
  <si>
    <t>Termite</t>
  </si>
  <si>
    <t>Macrotermes subhyalinus</t>
  </si>
  <si>
    <t>Sogbesan and Ugwumba 2009</t>
  </si>
  <si>
    <t xml:space="preserve">Roncarati et al 2015 </t>
  </si>
  <si>
    <t>Common Catfish</t>
  </si>
  <si>
    <t xml:space="preserve">Sparus aurata </t>
  </si>
  <si>
    <t>European sea bass</t>
  </si>
  <si>
    <t>Picollo et al 2018</t>
  </si>
  <si>
    <t xml:space="preserve">Gasco et al 2016 </t>
  </si>
  <si>
    <t xml:space="preserve">Rainbow trout </t>
  </si>
  <si>
    <t xml:space="preserve">Belforti et al 2015 </t>
  </si>
  <si>
    <t>Oryctes rhinoceros</t>
  </si>
  <si>
    <t xml:space="preserve">Palm grub </t>
  </si>
  <si>
    <t>Fakayode &amp; Ugwumba 2010</t>
  </si>
  <si>
    <t>Feed_Sci</t>
  </si>
  <si>
    <t>Feed_Comm</t>
  </si>
  <si>
    <t>Target_Comm</t>
  </si>
  <si>
    <t>Target_Sci</t>
  </si>
  <si>
    <t>Metric</t>
  </si>
  <si>
    <t>Clarius gariepinus</t>
  </si>
  <si>
    <t>Feed_Type</t>
  </si>
  <si>
    <t>Target_Type</t>
  </si>
  <si>
    <t>Ref</t>
  </si>
  <si>
    <t>Gilthead seabream</t>
  </si>
  <si>
    <t>Dicentrarchus labrax </t>
  </si>
  <si>
    <t xml:space="preserve">Salmon </t>
  </si>
  <si>
    <t xml:space="preserve">Catfish </t>
  </si>
  <si>
    <t>Zophobas morio</t>
  </si>
  <si>
    <t xml:space="preserve">Super worm </t>
  </si>
  <si>
    <t xml:space="preserve">Tilapia </t>
  </si>
  <si>
    <t>Oreochromis niloticus</t>
  </si>
  <si>
    <t xml:space="preserve">Nile Tilapia </t>
  </si>
  <si>
    <t>Jabir 2012</t>
  </si>
  <si>
    <t xml:space="preserve">Silkworm pupae &amp; clam </t>
  </si>
  <si>
    <t>Carp</t>
  </si>
  <si>
    <t>Indian Major Carp</t>
  </si>
  <si>
    <t xml:space="preserve">Bombyx mori </t>
  </si>
  <si>
    <t xml:space="preserve">Labeo rohita </t>
  </si>
  <si>
    <t xml:space="preserve">Begum et al 1994 </t>
  </si>
  <si>
    <t>Silkworm pupae</t>
  </si>
  <si>
    <t xml:space="preserve">Nandeesha et al 1990 </t>
  </si>
  <si>
    <t xml:space="preserve">Silkworm pupae </t>
  </si>
  <si>
    <t xml:space="preserve">Common Carp </t>
  </si>
  <si>
    <t>Cyprinus carpio</t>
  </si>
  <si>
    <t xml:space="preserve">Jian carp </t>
  </si>
  <si>
    <t>Ji et al 2013</t>
  </si>
  <si>
    <t xml:space="preserve">Rangcharyulu et al 2003 </t>
  </si>
  <si>
    <t xml:space="preserve">Hypophthalmychthys molitrix, Cirrhinus mrigala, Labeo rohita, and catla catla </t>
  </si>
  <si>
    <t>Silkworm pupae (Treated)</t>
  </si>
  <si>
    <t>Rangcharyulu et al 2004</t>
  </si>
  <si>
    <t>Silkworm pupae (Unreated)</t>
  </si>
  <si>
    <t>Lee et al 2012</t>
  </si>
  <si>
    <t>Paralichthys olivaceus</t>
  </si>
  <si>
    <t>Olive flounder</t>
  </si>
  <si>
    <t>Lee et al 2013</t>
  </si>
  <si>
    <t xml:space="preserve">Promate </t>
  </si>
  <si>
    <t>Combination</t>
  </si>
  <si>
    <t>Ostazewska</t>
  </si>
  <si>
    <t>Chrionmomid larvae</t>
  </si>
  <si>
    <t>Oncorhynchus mykiss</t>
  </si>
  <si>
    <t xml:space="preserve">Promate + silkworm </t>
  </si>
  <si>
    <t>Ictalurus punctatus</t>
  </si>
  <si>
    <t>Channel catfish</t>
  </si>
  <si>
    <t xml:space="preserve">Newton 2005 </t>
  </si>
  <si>
    <t>Black solider fly</t>
  </si>
  <si>
    <t>Hermetia illuscens</t>
  </si>
  <si>
    <t xml:space="preserve">Sealey et al 2011 </t>
  </si>
  <si>
    <t>Sealey et al 2012</t>
  </si>
  <si>
    <t>Black solider fly (enriched)</t>
  </si>
  <si>
    <t>St-Hilaire et al 2007</t>
  </si>
  <si>
    <t>St-Hilaire et al 2008</t>
  </si>
  <si>
    <t xml:space="preserve">Lock et al 2016 </t>
  </si>
  <si>
    <t>Atlantic salmon</t>
  </si>
  <si>
    <t>Salmo salar</t>
  </si>
  <si>
    <t>Lock et al 2017</t>
  </si>
  <si>
    <t>Lock et al 2018</t>
  </si>
  <si>
    <t>Psetta maxima</t>
  </si>
  <si>
    <t>Turbot</t>
  </si>
  <si>
    <t>OMarine</t>
  </si>
  <si>
    <t>Common housefly</t>
  </si>
  <si>
    <t>Musca domestica</t>
  </si>
  <si>
    <t xml:space="preserve">Ogunji et al 2008 </t>
  </si>
  <si>
    <t xml:space="preserve">Ogunji et al 2007 </t>
  </si>
  <si>
    <t>Kroeckel et al 2013</t>
  </si>
  <si>
    <t>Aniebo et al 2009</t>
  </si>
  <si>
    <t>Fasakin et al 2003</t>
  </si>
  <si>
    <t xml:space="preserve">Poultry feather meal, viscera and maggot meal </t>
  </si>
  <si>
    <t>Adewolu et al 2010</t>
  </si>
  <si>
    <t xml:space="preserve">Wang et al 2017 </t>
  </si>
  <si>
    <t>Ogunji et al 2009</t>
  </si>
  <si>
    <t>Fishmeal</t>
  </si>
  <si>
    <t>Algae</t>
  </si>
  <si>
    <t>Fish oil</t>
  </si>
  <si>
    <t>Schizochytrium limacinum</t>
  </si>
  <si>
    <t>Algal meal</t>
  </si>
  <si>
    <t xml:space="preserve">Garcia-Ortega et al 2016 </t>
  </si>
  <si>
    <t>Giant Grouper</t>
  </si>
  <si>
    <t>Epinephelus lanceolatus</t>
  </si>
  <si>
    <t>Bacteria</t>
  </si>
  <si>
    <t>Garcia-Ortega et al 2017</t>
  </si>
  <si>
    <t>Litopenaeus vannamei</t>
  </si>
  <si>
    <t>Shrimp</t>
  </si>
  <si>
    <t>Pacific white shrimp</t>
  </si>
  <si>
    <t>Ju et al 2012</t>
  </si>
  <si>
    <t>Haematococcus pluvialis</t>
  </si>
  <si>
    <t xml:space="preserve">Kissinger et al 2016 </t>
  </si>
  <si>
    <t>Soy protein, squid trimmings, Algal meal</t>
  </si>
  <si>
    <t xml:space="preserve">Longfin yellowtail </t>
  </si>
  <si>
    <t xml:space="preserve">Seriola rivoliana </t>
  </si>
  <si>
    <t>Atlantic cod </t>
  </si>
  <si>
    <t>Gadus morhua</t>
  </si>
  <si>
    <t>Isocrysis sp. Nannochloropsis</t>
  </si>
  <si>
    <t xml:space="preserve">Walker and Berlinksy 2011 </t>
  </si>
  <si>
    <t>Porphyra spp.</t>
  </si>
  <si>
    <t>Walker et al 2011</t>
  </si>
  <si>
    <t>OPelagic</t>
  </si>
  <si>
    <t xml:space="preserve">Nanofrustulum sp. </t>
  </si>
  <si>
    <t>Tetraselmis sp.</t>
  </si>
  <si>
    <t xml:space="preserve">Kiron et al 2012 </t>
  </si>
  <si>
    <t>Whiteleg shrimp</t>
  </si>
  <si>
    <t>Vizcaino et al 2014</t>
  </si>
  <si>
    <t>Scenedesmus almeriensis</t>
  </si>
  <si>
    <t xml:space="preserve">Fishmeal </t>
  </si>
  <si>
    <t>Parrot fish</t>
  </si>
  <si>
    <t>Oplegnathus fasciatus</t>
  </si>
  <si>
    <t xml:space="preserve">Spirulina pacifica </t>
  </si>
  <si>
    <t>Kim et al 2013</t>
  </si>
  <si>
    <t>Appler and Kelley 1983</t>
  </si>
  <si>
    <t xml:space="preserve">Cladophora glomerata </t>
  </si>
  <si>
    <t xml:space="preserve">Bawdy 2008 </t>
  </si>
  <si>
    <t xml:space="preserve">Algal meal </t>
  </si>
  <si>
    <t xml:space="preserve">Chlorella spp </t>
  </si>
  <si>
    <t>Catla</t>
  </si>
  <si>
    <t>Rohu</t>
  </si>
  <si>
    <t>Catla catla</t>
  </si>
  <si>
    <t xml:space="preserve">Mixed: Silver, mrigal, rohu, catla </t>
  </si>
  <si>
    <t>Nandeesha et al 2001</t>
  </si>
  <si>
    <t>Spirulina platensis</t>
  </si>
  <si>
    <t>Nandeesha et al 2002</t>
  </si>
  <si>
    <t xml:space="preserve">Ameiurus melas </t>
  </si>
  <si>
    <t>Spirulina maxima</t>
  </si>
  <si>
    <t xml:space="preserve">Olivera-Novoa </t>
  </si>
  <si>
    <t xml:space="preserve">Oreochromis mossambicus </t>
  </si>
  <si>
    <t xml:space="preserve">Poryphora dioica </t>
  </si>
  <si>
    <t>Solar-Vila 2009</t>
  </si>
  <si>
    <t>Tetraselmis suecica</t>
  </si>
  <si>
    <t xml:space="preserve">Tulli et al 2002 </t>
  </si>
  <si>
    <t xml:space="preserve">Fish trimmings </t>
  </si>
  <si>
    <t>Poryphora sp</t>
  </si>
  <si>
    <t xml:space="preserve">Walker et al 2009 </t>
  </si>
  <si>
    <t>Year</t>
  </si>
  <si>
    <t>Replacing</t>
  </si>
  <si>
    <t>replacement</t>
  </si>
  <si>
    <t>fcr</t>
  </si>
  <si>
    <t>repl_ratio</t>
  </si>
  <si>
    <t>Life_stage</t>
  </si>
  <si>
    <t>Supplement</t>
  </si>
  <si>
    <t>Fingerlings</t>
  </si>
  <si>
    <t>Juvenile</t>
  </si>
  <si>
    <t xml:space="preserve">Species </t>
  </si>
  <si>
    <t xml:space="preserve">Ingredient </t>
  </si>
  <si>
    <t>Diet_categ</t>
  </si>
  <si>
    <t>IMPACT_species</t>
  </si>
  <si>
    <t>Nile Tilapia</t>
  </si>
  <si>
    <t xml:space="preserve">Omnivorous </t>
  </si>
  <si>
    <t>Fry</t>
  </si>
  <si>
    <t xml:space="preserve">Fingerling </t>
  </si>
  <si>
    <t>Growout</t>
  </si>
  <si>
    <t>Percent</t>
  </si>
  <si>
    <t xml:space="preserve">Fish oil </t>
  </si>
  <si>
    <t>Herbivorous</t>
  </si>
  <si>
    <t xml:space="preserve">Ref </t>
  </si>
  <si>
    <t>Weimim and Mengquing 2007</t>
  </si>
  <si>
    <t>Grass carp</t>
  </si>
  <si>
    <t>OCarp</t>
  </si>
  <si>
    <t>OFresh</t>
  </si>
  <si>
    <t xml:space="preserve">Common carp </t>
  </si>
  <si>
    <t>Crucian carp</t>
  </si>
  <si>
    <t>Wuchang bream</t>
  </si>
  <si>
    <t xml:space="preserve">Carnivorous </t>
  </si>
  <si>
    <t>Flounder</t>
  </si>
  <si>
    <t>Red seabream</t>
  </si>
  <si>
    <t xml:space="preserve">FAO AFFRIS 2014 </t>
  </si>
  <si>
    <t>Planktivorous</t>
  </si>
  <si>
    <t xml:space="preserve">Black carp </t>
  </si>
  <si>
    <t>Biswas et al 2006</t>
  </si>
  <si>
    <t xml:space="preserve">Molluscivorous </t>
  </si>
  <si>
    <t xml:space="preserve">Hu et al 2014 </t>
  </si>
  <si>
    <t xml:space="preserve">Sun et al 2011  </t>
  </si>
  <si>
    <t>Pangasius catfish</t>
  </si>
  <si>
    <t>Snakehead</t>
  </si>
  <si>
    <t>Mandarin fish</t>
  </si>
  <si>
    <t xml:space="preserve">Asian swamp eel </t>
  </si>
  <si>
    <t xml:space="preserve">Carachidae </t>
  </si>
  <si>
    <t xml:space="preserve">Atlantic Cod </t>
  </si>
  <si>
    <t xml:space="preserve">Redclaw crayfish </t>
  </si>
  <si>
    <t xml:space="preserve">Giant tiger prawn </t>
  </si>
  <si>
    <t>Fleshy prawn</t>
  </si>
  <si>
    <t>Da et al 2012</t>
  </si>
  <si>
    <t>Indian Major Carps</t>
  </si>
  <si>
    <t>Li and Robinson 2013</t>
  </si>
  <si>
    <t>All</t>
  </si>
  <si>
    <t>African catfish</t>
  </si>
  <si>
    <t xml:space="preserve">Amur catfish </t>
  </si>
  <si>
    <t>Liu 2013</t>
  </si>
  <si>
    <t>Yellow catfish</t>
  </si>
  <si>
    <t xml:space="preserve">Dong 2012 </t>
  </si>
  <si>
    <t>Paripananont</t>
  </si>
  <si>
    <t xml:space="preserve">Yuan et al 2011 </t>
  </si>
  <si>
    <t>Fernandes 2004</t>
  </si>
  <si>
    <t xml:space="preserve">Lochmann 2009 </t>
  </si>
  <si>
    <t>EelStg</t>
  </si>
  <si>
    <t>River eel</t>
  </si>
  <si>
    <t>Atlantic Salmon</t>
  </si>
  <si>
    <t>Salmon</t>
  </si>
  <si>
    <t>Rainbow trout</t>
  </si>
  <si>
    <t>Barramundi</t>
  </si>
  <si>
    <t>Milkfish</t>
  </si>
  <si>
    <t>Hansen 2007</t>
  </si>
  <si>
    <t xml:space="preserve">MDemersal </t>
  </si>
  <si>
    <t>European Seabass</t>
  </si>
  <si>
    <t xml:space="preserve">Gitlhead seabream </t>
  </si>
  <si>
    <t>Grouper</t>
  </si>
  <si>
    <t xml:space="preserve">Wang 2008 </t>
  </si>
  <si>
    <t>Red drum</t>
  </si>
  <si>
    <t xml:space="preserve">Kureshy 2000 </t>
  </si>
  <si>
    <t>Shapawi 2007</t>
  </si>
  <si>
    <t>Shapawi 2008</t>
  </si>
  <si>
    <t xml:space="preserve">McCoogan 1997 </t>
  </si>
  <si>
    <t>Mullet</t>
  </si>
  <si>
    <t xml:space="preserve">Khoaian 2014 </t>
  </si>
  <si>
    <t>Amberjack</t>
  </si>
  <si>
    <t>Crustaceans</t>
  </si>
  <si>
    <t>Chinese mitten crab</t>
  </si>
  <si>
    <t>Saoud 2008</t>
  </si>
  <si>
    <t>Giant river prawn</t>
  </si>
  <si>
    <t>*Chinese FCR weighted by 61.5%</t>
  </si>
  <si>
    <t>Oriental river prawn</t>
  </si>
  <si>
    <t>Marine fish</t>
  </si>
  <si>
    <t>Group</t>
  </si>
  <si>
    <t>Fish-ingredient</t>
  </si>
  <si>
    <t xml:space="preserve">Soy </t>
  </si>
  <si>
    <t>Database</t>
  </si>
  <si>
    <t>Scopus</t>
  </si>
  <si>
    <t>Returns</t>
  </si>
  <si>
    <t>Yeast</t>
  </si>
  <si>
    <t>Insects</t>
  </si>
  <si>
    <t xml:space="preserve">Appler and Kelley </t>
  </si>
  <si>
    <t xml:space="preserve">To ask crhsi </t>
  </si>
  <si>
    <t>Replacement of dietary fish oil for Atlantic salmon parr (Salmo salar L.) with a stearidonic acid containing oil has no effect on omega-3 long-chain polyunsaturated fatty acid concentrations</t>
  </si>
  <si>
    <t xml:space="preserve">Miller </t>
  </si>
  <si>
    <t>Relevant</t>
  </si>
  <si>
    <t xml:space="preserve">Google Scholar </t>
  </si>
  <si>
    <t>Web of Science</t>
  </si>
  <si>
    <t xml:space="preserve">On page 9, number 81 </t>
  </si>
  <si>
    <t>NA</t>
  </si>
  <si>
    <t xml:space="preserve">Replacing </t>
  </si>
  <si>
    <t>Total no ID'd</t>
  </si>
  <si>
    <t>Minus duplicates</t>
  </si>
  <si>
    <t>Meet criteria</t>
  </si>
  <si>
    <t>Author</t>
  </si>
  <si>
    <t xml:space="preserve">Journal </t>
  </si>
  <si>
    <t>Country</t>
  </si>
  <si>
    <t>Replacement</t>
  </si>
  <si>
    <t>Fish_sp</t>
  </si>
  <si>
    <t>Fish_scientific</t>
  </si>
  <si>
    <t>FM_FO</t>
  </si>
  <si>
    <t>n3:n6</t>
  </si>
  <si>
    <t>Supplement_type</t>
  </si>
  <si>
    <t>Frontiers in Marine Science</t>
  </si>
  <si>
    <t>Norway</t>
  </si>
  <si>
    <t>Study_id</t>
  </si>
  <si>
    <t>Ingredient_type</t>
  </si>
  <si>
    <t xml:space="preserve">Single </t>
  </si>
  <si>
    <t xml:space="preserve">Algae </t>
  </si>
  <si>
    <t>Desmodesmus sp.</t>
  </si>
  <si>
    <t>FM</t>
  </si>
  <si>
    <t xml:space="preserve">Salmo salar </t>
  </si>
  <si>
    <t>Smolt</t>
  </si>
  <si>
    <t>Crop_change</t>
  </si>
  <si>
    <t>Nannochloropsis sp</t>
  </si>
  <si>
    <t>PLoS One</t>
  </si>
  <si>
    <t>Post-smolt</t>
  </si>
  <si>
    <t xml:space="preserve">Aquaculture </t>
  </si>
  <si>
    <t>Phaeodactylum sp.</t>
  </si>
  <si>
    <t xml:space="preserve">Kousalaki </t>
  </si>
  <si>
    <t>Journal of Nutritional Studies</t>
  </si>
  <si>
    <t>FO</t>
  </si>
  <si>
    <t xml:space="preserve">Schizochtrium sp. </t>
  </si>
  <si>
    <t>Parr</t>
  </si>
  <si>
    <t>Miller</t>
  </si>
  <si>
    <t>Comparative Biochemistry and Physiology</t>
  </si>
  <si>
    <t xml:space="preserve">Sprague </t>
  </si>
  <si>
    <t xml:space="preserve">Food Chemistry </t>
  </si>
  <si>
    <t>Italy</t>
  </si>
  <si>
    <t xml:space="preserve">Lutjanus stellatus </t>
  </si>
  <si>
    <t>Whitespot Snapper</t>
  </si>
  <si>
    <t xml:space="preserve">Ulva lactuca </t>
  </si>
  <si>
    <t>China</t>
  </si>
  <si>
    <t>Journal of Applied Phycology</t>
  </si>
  <si>
    <t xml:space="preserve">Both </t>
  </si>
  <si>
    <t>European seabass</t>
  </si>
  <si>
    <t>Dicentrarchus labrax</t>
  </si>
  <si>
    <t>Cardinaletti G</t>
  </si>
  <si>
    <t>Tisochrysis sp.</t>
  </si>
  <si>
    <t>Methionine</t>
  </si>
  <si>
    <t>Y</t>
  </si>
  <si>
    <t>Fish_group</t>
  </si>
  <si>
    <t>Salmonids</t>
  </si>
  <si>
    <t>Isochrysis sp.</t>
  </si>
  <si>
    <t>Nannochloropsis sp.</t>
  </si>
  <si>
    <t>Walker AB</t>
  </si>
  <si>
    <t xml:space="preserve">North American Journal of Aquaculture </t>
  </si>
  <si>
    <t>USA</t>
  </si>
  <si>
    <t xml:space="preserve">Atlantic cod </t>
  </si>
  <si>
    <t>de Cruz CR</t>
  </si>
  <si>
    <t>Amphora sp.</t>
  </si>
  <si>
    <t>Cylindro sp.</t>
  </si>
  <si>
    <t>Striped bass</t>
  </si>
  <si>
    <t>Morone sp.</t>
  </si>
  <si>
    <t xml:space="preserve">Chlorella sp. </t>
  </si>
  <si>
    <t>Taurine</t>
  </si>
  <si>
    <t>N</t>
  </si>
  <si>
    <t>Tulli F</t>
  </si>
  <si>
    <t>Journal of Aquatic Food Production Technology</t>
  </si>
  <si>
    <t xml:space="preserve">Eryalcin </t>
  </si>
  <si>
    <t>Aquaculture Research</t>
  </si>
  <si>
    <t>Spain</t>
  </si>
  <si>
    <t xml:space="preserve">Compound </t>
  </si>
  <si>
    <t>Sparus aurata</t>
  </si>
  <si>
    <t>Check</t>
  </si>
  <si>
    <t xml:space="preserve">Saudi Journal of Biological Science </t>
  </si>
  <si>
    <t xml:space="preserve">Saudi Arabia </t>
  </si>
  <si>
    <t>Clarias gariepimus</t>
  </si>
  <si>
    <t>Gracillaria arcuata</t>
  </si>
  <si>
    <t>Vietnam</t>
  </si>
  <si>
    <t>Cladophora sp.</t>
  </si>
  <si>
    <t xml:space="preserve">Shrimp </t>
  </si>
  <si>
    <t>Penaeus monodon</t>
  </si>
  <si>
    <t>Tiger Shrimp</t>
  </si>
  <si>
    <t>Marine_ingredient_change</t>
  </si>
  <si>
    <t xml:space="preserve">Rainbow Trout </t>
  </si>
  <si>
    <t>Gracilaria vermiculophylla</t>
  </si>
  <si>
    <t>Portugal</t>
  </si>
  <si>
    <t>Mixed</t>
  </si>
  <si>
    <t>Tilapia</t>
  </si>
  <si>
    <t xml:space="preserve">Oreochromis niloticus </t>
  </si>
  <si>
    <t>Scenedesmus sp.</t>
  </si>
  <si>
    <t xml:space="preserve">8th International Symposia on Tilapia in Aquaculture </t>
  </si>
  <si>
    <t xml:space="preserve">Egypt </t>
  </si>
  <si>
    <t xml:space="preserve">9th International Symposia on Tilapia in Aquaculture </t>
  </si>
  <si>
    <t xml:space="preserve">10th International Symposia on Tilapia in Aquaculture </t>
  </si>
  <si>
    <t xml:space="preserve">11th International Symposia on Tilapia in Aquaculture </t>
  </si>
  <si>
    <t xml:space="preserve">12th International Symposia on Tilapia in Aquaculture </t>
  </si>
  <si>
    <t xml:space="preserve">13th International Symposia on Tilapia in Aquaculture </t>
  </si>
  <si>
    <t xml:space="preserve">14th International Symposia on Tilapia in Aquaculture </t>
  </si>
  <si>
    <t xml:space="preserve">15th International Symposia on Tilapia in Aquaculture </t>
  </si>
  <si>
    <t xml:space="preserve">16th International Symposia on Tilapia in Aquaculture </t>
  </si>
  <si>
    <t xml:space="preserve">17th International Symposia on Tilapia in Aquaculture </t>
  </si>
  <si>
    <t>Zhu D</t>
  </si>
  <si>
    <t>Kiron V</t>
  </si>
  <si>
    <t>Sorensen M</t>
  </si>
  <si>
    <t>Abdel Warith A-WA</t>
  </si>
  <si>
    <t>Al-Asgah NA</t>
  </si>
  <si>
    <t>Anh NTN</t>
  </si>
  <si>
    <t>Araujo M</t>
  </si>
  <si>
    <t>Badwy TM</t>
  </si>
  <si>
    <t>Pacific White Shrimp</t>
  </si>
  <si>
    <t>Basri NA</t>
  </si>
  <si>
    <t>Malaysia</t>
  </si>
  <si>
    <t xml:space="preserve">Spirulina platensis </t>
  </si>
  <si>
    <t>Cao S-P</t>
  </si>
  <si>
    <t xml:space="preserve">Gibel Carp </t>
  </si>
  <si>
    <t>Carassius auratus gibelio</t>
  </si>
  <si>
    <t xml:space="preserve">Juvenile </t>
  </si>
  <si>
    <t>Lysine</t>
  </si>
  <si>
    <t>Dicalcium phosphate</t>
  </si>
  <si>
    <t>Oreochromis niloticus x Oreochromis mossambicus</t>
  </si>
  <si>
    <t>Hybrid Red Tilapia</t>
  </si>
  <si>
    <t xml:space="preserve">Arthrospira platensis </t>
  </si>
  <si>
    <t>El-Sheekh M</t>
  </si>
  <si>
    <t>Turkish Journal of Fisheries and Aquatic Sciences</t>
  </si>
  <si>
    <t xml:space="preserve">Soya </t>
  </si>
  <si>
    <t>The Israeli Journal of Aquaculture</t>
  </si>
  <si>
    <t>Mexico</t>
  </si>
  <si>
    <t>Ju ZY</t>
  </si>
  <si>
    <t>Koi carp</t>
  </si>
  <si>
    <t>Pyropia sp.</t>
  </si>
  <si>
    <t xml:space="preserve">Kalla A </t>
  </si>
  <si>
    <t>Aquaculture Science</t>
  </si>
  <si>
    <t>Fiji</t>
  </si>
  <si>
    <t>Nanofrustulatum sp.</t>
  </si>
  <si>
    <t xml:space="preserve">Grower </t>
  </si>
  <si>
    <t>Common carp</t>
  </si>
  <si>
    <t>White leg Shrimp</t>
  </si>
  <si>
    <t>Post-larval</t>
  </si>
  <si>
    <t>Aquaculture Nutrition</t>
  </si>
  <si>
    <t>Chlorella sp.</t>
  </si>
  <si>
    <t>Shi X</t>
  </si>
  <si>
    <t>Crucian Carp</t>
  </si>
  <si>
    <t xml:space="preserve">Carassius auratus </t>
  </si>
  <si>
    <t xml:space="preserve">Journal of the World Aquaculture Society </t>
  </si>
  <si>
    <t>Giant Freshwater Prawn</t>
  </si>
  <si>
    <t>Machrobrachium rosenbergii</t>
  </si>
  <si>
    <t xml:space="preserve">Maliwat GC </t>
  </si>
  <si>
    <t xml:space="preserve">Philippines </t>
  </si>
  <si>
    <t xml:space="preserve">Y </t>
  </si>
  <si>
    <t>Premix</t>
  </si>
  <si>
    <t>Marinho G</t>
  </si>
  <si>
    <t xml:space="preserve">Diadromous fish </t>
  </si>
  <si>
    <t>Lates calcifer</t>
  </si>
  <si>
    <t>Gracilaria pulvinata</t>
  </si>
  <si>
    <t>Morshedi V</t>
  </si>
  <si>
    <t xml:space="preserve">Iran </t>
  </si>
  <si>
    <t>Radhakrishnan S</t>
  </si>
  <si>
    <t>International Journal of Fisheries and Aquaculture</t>
  </si>
  <si>
    <t xml:space="preserve">India </t>
  </si>
  <si>
    <t>Macrobrachium rosenbergii</t>
  </si>
  <si>
    <t>Raji AA</t>
  </si>
  <si>
    <t>Research in Veterinary Science</t>
  </si>
  <si>
    <t>Nannochloropsis oculata</t>
  </si>
  <si>
    <t>Sarker PK</t>
  </si>
  <si>
    <t>Sains Malaysia</t>
  </si>
  <si>
    <t>Shapawi R</t>
  </si>
  <si>
    <t>Labeo rohita</t>
  </si>
  <si>
    <t>Sheeno TP</t>
  </si>
  <si>
    <t>Journal of Fisheries and Aquatic Science</t>
  </si>
  <si>
    <t xml:space="preserve">Aquatic plant </t>
  </si>
  <si>
    <t>Azolla</t>
  </si>
  <si>
    <t>Amino_supp</t>
  </si>
  <si>
    <t>Spirogyra sp.</t>
  </si>
  <si>
    <t xml:space="preserve">Aquaculture Research </t>
  </si>
  <si>
    <t>Crop</t>
  </si>
  <si>
    <t>Rapeseed meal</t>
  </si>
  <si>
    <t xml:space="preserve">Cellulase </t>
  </si>
  <si>
    <t>Siddik MAB</t>
  </si>
  <si>
    <t>Journal of Applied Aquaculture</t>
  </si>
  <si>
    <t>Bangladesh</t>
  </si>
  <si>
    <t xml:space="preserve">Fry </t>
  </si>
  <si>
    <t xml:space="preserve">Enteromorpha intestinalis </t>
  </si>
  <si>
    <t>Porphyra dioica</t>
  </si>
  <si>
    <t>Soler-Vila A</t>
  </si>
  <si>
    <t>Ireland</t>
  </si>
  <si>
    <t>Porphyra yezoensis</t>
  </si>
  <si>
    <t>Stadtlander T</t>
  </si>
  <si>
    <t>Germany</t>
  </si>
  <si>
    <t>Porphyra sp.</t>
  </si>
  <si>
    <t>Younis E-SM</t>
  </si>
  <si>
    <t xml:space="preserve">None </t>
  </si>
  <si>
    <t xml:space="preserve">Aas TS </t>
  </si>
  <si>
    <t>Aquaculture</t>
  </si>
  <si>
    <t>Methylococcus capsulatus</t>
  </si>
  <si>
    <t>Hippoglossus hippoglossus</t>
  </si>
  <si>
    <t>Atlantic Halibut</t>
  </si>
  <si>
    <t>Berge GM</t>
  </si>
  <si>
    <t>Arthrospira platensis</t>
  </si>
  <si>
    <t>Fish and Shellfish Immunology</t>
  </si>
  <si>
    <t>Pseudotropheus acei</t>
  </si>
  <si>
    <t>Yellow-tail cichlid</t>
  </si>
  <si>
    <t>Guroy B</t>
  </si>
  <si>
    <t xml:space="preserve">Aquaculture International </t>
  </si>
  <si>
    <t xml:space="preserve">Turkey </t>
  </si>
  <si>
    <t>Spirulina sp.</t>
  </si>
  <si>
    <t>Multiple</t>
  </si>
  <si>
    <t>Hernandez-Flores G</t>
  </si>
  <si>
    <t>Freshwater fishes</t>
  </si>
  <si>
    <t>Marine fishes</t>
  </si>
  <si>
    <t>Three-spot gourami</t>
  </si>
  <si>
    <t>Trichopodus trichopterus</t>
  </si>
  <si>
    <t>Glycine max</t>
  </si>
  <si>
    <t>Khanzadeh M</t>
  </si>
  <si>
    <t>Parrotfish</t>
  </si>
  <si>
    <t>Kim S-S</t>
  </si>
  <si>
    <t>South Korea</t>
  </si>
  <si>
    <t>Macias-Sancho J</t>
  </si>
  <si>
    <t xml:space="preserve">Brazil </t>
  </si>
  <si>
    <t>UK</t>
  </si>
  <si>
    <t xml:space="preserve">Australia </t>
  </si>
  <si>
    <t>Nandeesha MC</t>
  </si>
  <si>
    <t xml:space="preserve">Bioresource Technology </t>
  </si>
  <si>
    <t>Arthrospira fusiformis</t>
  </si>
  <si>
    <t>Oyoo-Okoth E</t>
  </si>
  <si>
    <t>Internation Journal of Science and Research</t>
  </si>
  <si>
    <t>Kenya</t>
  </si>
  <si>
    <t>Larvae</t>
  </si>
  <si>
    <t>Acipenser baeri</t>
  </si>
  <si>
    <t>Sturgeon</t>
  </si>
  <si>
    <t>Palmegiano GB</t>
  </si>
  <si>
    <t xml:space="preserve">Italy </t>
  </si>
  <si>
    <t>Acipenser transmontanus</t>
  </si>
  <si>
    <t>White Sturgeon</t>
  </si>
  <si>
    <t xml:space="preserve">Corn oil </t>
  </si>
  <si>
    <t>Soyabean oil</t>
  </si>
  <si>
    <t xml:space="preserve">Aquaculture Reports </t>
  </si>
  <si>
    <t xml:space="preserve">Arthropsira platensis </t>
  </si>
  <si>
    <t>Macrobrachium rosenbergiiS</t>
  </si>
  <si>
    <t>Sander lucioperca</t>
  </si>
  <si>
    <t>Pike-perch</t>
  </si>
  <si>
    <t>Schafberg M</t>
  </si>
  <si>
    <t>European Food Research and Technology</t>
  </si>
  <si>
    <t>Alegbeleye WO</t>
  </si>
  <si>
    <t>Nigeria</t>
  </si>
  <si>
    <t>Lysine + Methionine</t>
  </si>
  <si>
    <t xml:space="preserve">Aniebo AO </t>
  </si>
  <si>
    <t>Revista UDO Agricola</t>
  </si>
  <si>
    <t xml:space="preserve">Maggot meal </t>
  </si>
  <si>
    <t>Cirina butyrospermi</t>
  </si>
  <si>
    <t>Anvo MPM</t>
  </si>
  <si>
    <t>Ivory Coast</t>
  </si>
  <si>
    <t>Belforti M</t>
  </si>
  <si>
    <t>Italian Journal of Animal Science</t>
  </si>
  <si>
    <t>Choi IH</t>
  </si>
  <si>
    <t>Acta Scientiarum Animal Sciences</t>
  </si>
  <si>
    <t>Cummins Jr VC</t>
  </si>
  <si>
    <t>Dedeke GA</t>
  </si>
  <si>
    <t>Internation Journal of Fisheries and Aquaculture</t>
  </si>
  <si>
    <t>Libyodrilus violaceus</t>
  </si>
  <si>
    <t>Djissou</t>
  </si>
  <si>
    <t>International Aquatic Research</t>
  </si>
  <si>
    <t>Benin</t>
  </si>
  <si>
    <t xml:space="preserve">Mixed Maggot Earthworm meal </t>
  </si>
  <si>
    <t>Saccharomyces cerevisiae</t>
  </si>
  <si>
    <t>Fakayode OS</t>
  </si>
  <si>
    <t>Fisheries Society of Nigeria</t>
  </si>
  <si>
    <t>Musa domestica</t>
  </si>
  <si>
    <t>Fasakin EA</t>
  </si>
  <si>
    <t>Gangbe L</t>
  </si>
  <si>
    <t>Internation Journal of Fisheries and Aquatic Studies</t>
  </si>
  <si>
    <t>Single</t>
  </si>
  <si>
    <t>Earthworm</t>
  </si>
  <si>
    <t>Shrimps</t>
  </si>
  <si>
    <t>African River Prawn</t>
  </si>
  <si>
    <t>Macrobrachium vollenhovenii</t>
  </si>
  <si>
    <t>Ganuza E</t>
  </si>
  <si>
    <t>Schizochytrium sp.</t>
  </si>
  <si>
    <t>Crypthecodinium sp.</t>
  </si>
  <si>
    <t xml:space="preserve">Gasco L </t>
  </si>
  <si>
    <t>Animal Feed Science and Technology</t>
  </si>
  <si>
    <t>Hu J</t>
  </si>
  <si>
    <t>Yellow Catfish</t>
  </si>
  <si>
    <t>Pelteobagrus fulvidraco</t>
  </si>
  <si>
    <t>Jabir MDAR</t>
  </si>
  <si>
    <t>African Journal of Biotechnology</t>
  </si>
  <si>
    <t>Ji H</t>
  </si>
  <si>
    <t>Jian Carp</t>
  </si>
  <si>
    <t>Cyprinus carpio var.  Jian</t>
  </si>
  <si>
    <t>Katya K</t>
  </si>
  <si>
    <t>Kroeckel S</t>
  </si>
  <si>
    <t>Langer S</t>
  </si>
  <si>
    <t>African Journal of Agricultural Research</t>
  </si>
  <si>
    <t>Kaira River Prawn</t>
  </si>
  <si>
    <t>Macrobrachium dayanum</t>
  </si>
  <si>
    <t>Lee J</t>
  </si>
  <si>
    <t>Fish Physiology and Biochemistry</t>
  </si>
  <si>
    <t>Olive Flounder</t>
  </si>
  <si>
    <t>Li S</t>
  </si>
  <si>
    <t>Lin Y-H</t>
  </si>
  <si>
    <t>Lock ER</t>
  </si>
  <si>
    <t>*Interesting study uses different types of insect meal - some grown of human food waste</t>
  </si>
  <si>
    <t>Magalhaes R</t>
  </si>
  <si>
    <t>Juveniles</t>
  </si>
  <si>
    <t>Ng W-K</t>
  </si>
  <si>
    <t>Grasshopper meal</t>
  </si>
  <si>
    <t>Nnaji C</t>
  </si>
  <si>
    <t>Ogunji JO</t>
  </si>
  <si>
    <t>Asian Fisheries Science</t>
  </si>
  <si>
    <t>Journal of Animal Physiology and Animal Nutrition</t>
  </si>
  <si>
    <t>Journal of Agricultural Science and Technology</t>
  </si>
  <si>
    <t>Olele NF</t>
  </si>
  <si>
    <t>Catfishes nei</t>
  </si>
  <si>
    <t>Heteroclarias sp.</t>
  </si>
  <si>
    <t>Oso JA</t>
  </si>
  <si>
    <t>British Journal of Applied Science and Technology</t>
  </si>
  <si>
    <t>Bombyx mori</t>
  </si>
  <si>
    <t>Panini RL</t>
  </si>
  <si>
    <t>Brazil</t>
  </si>
  <si>
    <t>Piccolo G</t>
  </si>
  <si>
    <t>Rangacharyulu PV</t>
  </si>
  <si>
    <t>Imbrasia belina</t>
  </si>
  <si>
    <t>Rapatsa MM</t>
  </si>
  <si>
    <t>South Africa</t>
  </si>
  <si>
    <t>Oreochromis mossambicus</t>
  </si>
  <si>
    <t>Mozambique Tilapia</t>
  </si>
  <si>
    <t>Rawling MD</t>
  </si>
  <si>
    <t>Perionyx escavatus</t>
  </si>
  <si>
    <t>Mirror Carp</t>
  </si>
  <si>
    <t>Renna M</t>
  </si>
  <si>
    <t>Journal of Animal Science and Biotechnology</t>
  </si>
  <si>
    <t>Roncarati A</t>
  </si>
  <si>
    <t>Journal of Insects as Feed and Food</t>
  </si>
  <si>
    <t>Ameiurus melas</t>
  </si>
  <si>
    <t>Common catfish</t>
  </si>
  <si>
    <t>Sanchez-Muros</t>
  </si>
  <si>
    <t>Soymeal</t>
  </si>
  <si>
    <t>Sealey WM</t>
  </si>
  <si>
    <t>Serrano Jr AE</t>
  </si>
  <si>
    <t>ELBA Bioflux</t>
  </si>
  <si>
    <t>Artemia nauplii</t>
  </si>
  <si>
    <t>Sogbesan OA</t>
  </si>
  <si>
    <t>Research Journal of Environmental Sciences</t>
  </si>
  <si>
    <t>Vundu</t>
  </si>
  <si>
    <t>Heterobranchus longifilis</t>
  </si>
  <si>
    <t>Limicolaria aurora</t>
  </si>
  <si>
    <t>St-Hilaire S</t>
  </si>
  <si>
    <t>Journal of World Aquaculture Society</t>
  </si>
  <si>
    <t>Su J</t>
  </si>
  <si>
    <t>Taufek NM</t>
  </si>
  <si>
    <t>Journal of Applied Animal Research</t>
  </si>
  <si>
    <t>Gryllus bimaculatus</t>
  </si>
  <si>
    <t>Wang L</t>
  </si>
  <si>
    <t>Xiao X</t>
  </si>
  <si>
    <t>Zhou JS</t>
  </si>
  <si>
    <t>Rapseed+Wheat</t>
  </si>
  <si>
    <t>Cyprinus carpio var. Specularis</t>
  </si>
  <si>
    <t>Cyprinus carpio var. Jian</t>
  </si>
  <si>
    <t>Al-Hafedh YS</t>
  </si>
  <si>
    <t>Candida utilis</t>
  </si>
  <si>
    <t>Grain distillers</t>
  </si>
  <si>
    <t>Betiku OC</t>
  </si>
  <si>
    <t>Ebrahim MSM</t>
  </si>
  <si>
    <t>Egypt</t>
  </si>
  <si>
    <t>Gause B</t>
  </si>
  <si>
    <t>Ye</t>
  </si>
  <si>
    <t>Sunshine Bass</t>
  </si>
  <si>
    <t>Morone chrysops x Morone saxatilis</t>
  </si>
  <si>
    <t>Guroy D</t>
  </si>
  <si>
    <t xml:space="preserve">NuPro© </t>
  </si>
  <si>
    <t>Hauptman BS</t>
  </si>
  <si>
    <t>Lysine + Methionine +Taurine + Threonine</t>
  </si>
  <si>
    <t>Hunt AO</t>
  </si>
  <si>
    <t>Korkmaz AS</t>
  </si>
  <si>
    <t>Journal of Animal and Veterinary Advances</t>
  </si>
  <si>
    <t>Lunger AN</t>
  </si>
  <si>
    <t>Cobia</t>
  </si>
  <si>
    <t>Rachycentron canadum</t>
  </si>
  <si>
    <t>Methionine+Taurine</t>
  </si>
  <si>
    <t>Nhi NHY</t>
  </si>
  <si>
    <t>Oliva-Teles A</t>
  </si>
  <si>
    <t>Olvera-Novoa MA</t>
  </si>
  <si>
    <t>Meat/bone meal</t>
  </si>
  <si>
    <t>Omar SS</t>
  </si>
  <si>
    <t>Yeast protein concentrate</t>
  </si>
  <si>
    <t>Ozorio ROA</t>
  </si>
  <si>
    <t>Animals</t>
  </si>
  <si>
    <t>Oreochromis niolticus</t>
  </si>
  <si>
    <t>Channel Catfish</t>
  </si>
  <si>
    <t>Peterson BC</t>
  </si>
  <si>
    <t>Pongpet J</t>
  </si>
  <si>
    <t>Thailand</t>
  </si>
  <si>
    <t>Thai Panga</t>
  </si>
  <si>
    <t>Pangasianodon hypophthalmus xPangasius bocourti</t>
  </si>
  <si>
    <t>Sharawy Z</t>
  </si>
  <si>
    <t>Fenneropenaeus indicus</t>
  </si>
  <si>
    <t>Indian Prawn Shrimp</t>
  </si>
  <si>
    <t>Trosvik K</t>
  </si>
  <si>
    <t>Yeast extract</t>
  </si>
  <si>
    <t>Soybean meal</t>
  </si>
  <si>
    <t>Salvelinus alpinus</t>
  </si>
  <si>
    <t>Arctic Charr</t>
  </si>
  <si>
    <t>Vidakovic A</t>
  </si>
  <si>
    <t>Sweden</t>
  </si>
  <si>
    <t>Yuan X-Y</t>
  </si>
  <si>
    <t>Yeast hydrosylate</t>
  </si>
  <si>
    <t>Zhao L</t>
  </si>
  <si>
    <t>Hatlen B</t>
  </si>
  <si>
    <t>Yarrowia lipolytica</t>
  </si>
  <si>
    <t>Abdelghany AE</t>
  </si>
  <si>
    <t>Oreochromis niloticus x O. mossambicus</t>
  </si>
  <si>
    <t>Red Tilapia</t>
  </si>
  <si>
    <t>Diplodus vulgaris</t>
  </si>
  <si>
    <t>Acar U</t>
  </si>
  <si>
    <t>Iranian Journal of Fisheries Science</t>
  </si>
  <si>
    <t>Two-banded Seabream</t>
  </si>
  <si>
    <t>Silurus meridionalis</t>
  </si>
  <si>
    <t>Southern Catfish</t>
  </si>
  <si>
    <t>Ai Q</t>
  </si>
  <si>
    <t>Paralichthys lethostigma</t>
  </si>
  <si>
    <t>Southern Flounder</t>
  </si>
  <si>
    <t>Alam MS</t>
  </si>
  <si>
    <t>Albrektsen</t>
  </si>
  <si>
    <t>Altan O</t>
  </si>
  <si>
    <t>Alavarez JS</t>
  </si>
  <si>
    <t>Cuba</t>
  </si>
  <si>
    <t>Amaya EA</t>
  </si>
  <si>
    <t>*</t>
  </si>
  <si>
    <t>Antolovic N</t>
  </si>
  <si>
    <t>Croatia</t>
  </si>
  <si>
    <t>Saddled Bream</t>
  </si>
  <si>
    <t>Oblada melanura</t>
  </si>
  <si>
    <t>Acanthopagrus schlegeli</t>
  </si>
  <si>
    <t>Black Seabream</t>
  </si>
  <si>
    <t>Lysine + Methione + Taurine</t>
  </si>
  <si>
    <t>Azarm HM</t>
  </si>
  <si>
    <t>Bauer W</t>
  </si>
  <si>
    <t>Microbial floc</t>
  </si>
  <si>
    <t>Pagrus major</t>
  </si>
  <si>
    <t>Red Seabream</t>
  </si>
  <si>
    <t>Biswas</t>
  </si>
  <si>
    <t>Japan</t>
  </si>
  <si>
    <t>Thunnus orientalis</t>
  </si>
  <si>
    <t>Pacific Bluefin Tuna</t>
  </si>
  <si>
    <t>Tunas</t>
  </si>
  <si>
    <t>Fish Science</t>
  </si>
  <si>
    <t>Solea aegyptiaca</t>
  </si>
  <si>
    <t>Egyptian Sole</t>
  </si>
  <si>
    <t>Bonaldo A</t>
  </si>
  <si>
    <t>Booth MA</t>
  </si>
  <si>
    <t>Australian Snapper</t>
  </si>
  <si>
    <t>Pagrus auratus</t>
  </si>
  <si>
    <t>Brinker A</t>
  </si>
  <si>
    <t>Wheat</t>
  </si>
  <si>
    <t>Triticum aestivum</t>
  </si>
  <si>
    <t>Buentella</t>
  </si>
  <si>
    <t>Lysine + Methionine + Taurine</t>
  </si>
  <si>
    <t>California Yellowtail</t>
  </si>
  <si>
    <t>Seriola lalandi</t>
  </si>
  <si>
    <t>*GM grown soy</t>
  </si>
  <si>
    <t>Bulbul M</t>
  </si>
  <si>
    <t>Canola</t>
  </si>
  <si>
    <t>Brassica napus</t>
  </si>
  <si>
    <t>Marsupenaeus japonicus</t>
  </si>
  <si>
    <t>Kuruma Shrimp</t>
  </si>
  <si>
    <t>Common Dentex</t>
  </si>
  <si>
    <t>Dentex dentex</t>
  </si>
  <si>
    <t>Chatzifotis S</t>
  </si>
  <si>
    <t>Greece</t>
  </si>
  <si>
    <t>Colburn HR</t>
  </si>
  <si>
    <t>Seriola dumerili</t>
  </si>
  <si>
    <t>Dawood MAO</t>
  </si>
  <si>
    <t>BioMed Research International</t>
  </si>
  <si>
    <t>Macrobrachium nipponense</t>
  </si>
  <si>
    <t>Japanese River Prawn</t>
  </si>
  <si>
    <t>Ding Z</t>
  </si>
  <si>
    <t>Enterria A</t>
  </si>
  <si>
    <t>Summer Flounder</t>
  </si>
  <si>
    <t>Paralichthys dentatus</t>
  </si>
  <si>
    <t>Lysine + Methionine + Threonine + Arginine</t>
  </si>
  <si>
    <t>Ergun S</t>
  </si>
  <si>
    <t>Black Sea Turbot</t>
  </si>
  <si>
    <t>Psetta maeotica</t>
  </si>
  <si>
    <t>Faudzi NM</t>
  </si>
  <si>
    <t>Epinephelus sp.</t>
  </si>
  <si>
    <t>Hybrid Grouper</t>
  </si>
  <si>
    <t>Lutjanus argentimaculatus</t>
  </si>
  <si>
    <t>Mangrove Red Snapper</t>
  </si>
  <si>
    <t>Gao Y</t>
  </si>
  <si>
    <t>Tench</t>
  </si>
  <si>
    <t>Tinca tinca</t>
  </si>
  <si>
    <t>Garcia V</t>
  </si>
  <si>
    <t>Macrobrachium tenellum</t>
  </si>
  <si>
    <t>Freshwater prawn</t>
  </si>
  <si>
    <t>Gomez MGU</t>
  </si>
  <si>
    <t>Brazilian Archives of Biology and Technology</t>
  </si>
  <si>
    <t>Gonzalez-Rodriguez A</t>
  </si>
  <si>
    <t>Harlioglu AG</t>
  </si>
  <si>
    <t>Pakistan Journal of Zoology</t>
  </si>
  <si>
    <t>**</t>
  </si>
  <si>
    <t>Soy</t>
  </si>
  <si>
    <t>Feed_general</t>
  </si>
  <si>
    <t>Feed_specific</t>
  </si>
  <si>
    <t>SBM</t>
  </si>
  <si>
    <t>SBM with phytase</t>
  </si>
  <si>
    <t>Hasan S</t>
  </si>
  <si>
    <t>Chanos chanos</t>
  </si>
  <si>
    <t>Silurus glanis</t>
  </si>
  <si>
    <t>European catfish</t>
  </si>
  <si>
    <t>Havasi M</t>
  </si>
  <si>
    <t>Hungary</t>
  </si>
  <si>
    <t>Lutjanus colorado</t>
  </si>
  <si>
    <t>Methionine + Taurine</t>
  </si>
  <si>
    <t>Snapper sp.</t>
  </si>
  <si>
    <t>Hernandez C</t>
  </si>
  <si>
    <t>Hien TTT</t>
  </si>
  <si>
    <t>Lysine + Methionine + Threonine</t>
  </si>
  <si>
    <t>Lysine + Methionine + Threonine + Taurine</t>
  </si>
  <si>
    <t>Channa striata</t>
  </si>
  <si>
    <t>Channa micropeltes</t>
  </si>
  <si>
    <t>Lysine + Methionine + FAA + Guanosine</t>
  </si>
  <si>
    <t>Hossain MS</t>
  </si>
  <si>
    <t>SPC</t>
  </si>
  <si>
    <t>Lysine + Methionine + FAA + Inosine</t>
  </si>
  <si>
    <t>Huynh HPY</t>
  </si>
  <si>
    <t>Lsyine + Methionine</t>
  </si>
  <si>
    <t>Australian Catifsh</t>
  </si>
  <si>
    <t>Tandanus tandanus</t>
  </si>
  <si>
    <t>Imanpoor MR</t>
  </si>
  <si>
    <t>Persian Sturgeon</t>
  </si>
  <si>
    <t>Acipenser persicus</t>
  </si>
  <si>
    <t>Eriocheir sinensis</t>
  </si>
  <si>
    <t>Chinese Mittern Crab</t>
  </si>
  <si>
    <t>Jiang HB</t>
  </si>
  <si>
    <t>Mixture</t>
  </si>
  <si>
    <t>Cottonseed meal</t>
  </si>
  <si>
    <t>Atractoscion nobilis</t>
  </si>
  <si>
    <t>White Seabass</t>
  </si>
  <si>
    <t>Jirsa D</t>
  </si>
  <si>
    <t>Fermented SBM</t>
  </si>
  <si>
    <t>Scallop by-product</t>
  </si>
  <si>
    <t>Feed_general_2</t>
  </si>
  <si>
    <t>Mollusc</t>
  </si>
  <si>
    <t>Kader MA</t>
  </si>
  <si>
    <t>Dehulled SBM</t>
  </si>
  <si>
    <t>Squid + Krill</t>
  </si>
  <si>
    <t>Blue Mussel</t>
  </si>
  <si>
    <t>Kikuchi K</t>
  </si>
  <si>
    <t>Defatted SBM</t>
  </si>
  <si>
    <t>Takifugu rubripes</t>
  </si>
  <si>
    <t>Tiger Puffer</t>
  </si>
  <si>
    <t>Kokou F</t>
  </si>
  <si>
    <t>Bioprocessed soy</t>
  </si>
  <si>
    <t>Platichthys stellatus</t>
  </si>
  <si>
    <t>Li P-Y</t>
  </si>
  <si>
    <t>Starry Flounder</t>
  </si>
  <si>
    <t>Li Y</t>
  </si>
  <si>
    <t>Dehulled HVS</t>
  </si>
  <si>
    <t>Japanese Seabass</t>
  </si>
  <si>
    <t>Lateolabrax japonicus</t>
  </si>
  <si>
    <t>SBM with phytase + Fe</t>
  </si>
  <si>
    <t>Lim S-J</t>
  </si>
  <si>
    <t>Grower</t>
  </si>
  <si>
    <t>SBM with P + Fe</t>
  </si>
  <si>
    <t>Lutjanus analis</t>
  </si>
  <si>
    <t>Mutton Snapper</t>
  </si>
  <si>
    <t>Freitas LEL</t>
  </si>
  <si>
    <t>Lysine + Methione</t>
  </si>
  <si>
    <t>Lin S</t>
  </si>
  <si>
    <t>Blue Tilapia</t>
  </si>
  <si>
    <t>Oreochromis niloticus x O. aureus</t>
  </si>
  <si>
    <t>SBM + butyrate + lactate</t>
  </si>
  <si>
    <t>Lin H</t>
  </si>
  <si>
    <t>Trachinotus ovatus</t>
  </si>
  <si>
    <t>Pompano</t>
  </si>
  <si>
    <t>Betaine</t>
  </si>
  <si>
    <t>Lopez LM</t>
  </si>
  <si>
    <t>Totoaba macdonaldi</t>
  </si>
  <si>
    <t>Totoaba</t>
  </si>
  <si>
    <t>Luo Z</t>
  </si>
  <si>
    <t>Rapeseed</t>
  </si>
  <si>
    <t>Feed_specific_2</t>
  </si>
  <si>
    <t>Double o RM</t>
  </si>
  <si>
    <t>Golden Pompano</t>
  </si>
  <si>
    <t>Ma X</t>
  </si>
  <si>
    <t>Ma Z</t>
  </si>
  <si>
    <t>EZM</t>
  </si>
  <si>
    <t>Mahmoud MMA</t>
  </si>
  <si>
    <t>Life Science Journal</t>
  </si>
  <si>
    <t>Markovic Z</t>
  </si>
  <si>
    <t>Heterotis niloticus</t>
  </si>
  <si>
    <t>African Bonytongue</t>
  </si>
  <si>
    <t>Monentcham SE</t>
  </si>
  <si>
    <t>Belgium</t>
  </si>
  <si>
    <t>Sciaenops ocellatus:</t>
  </si>
  <si>
    <t>Red Drum</t>
  </si>
  <si>
    <t>Moxley JD</t>
  </si>
  <si>
    <t>Lysine + Methionine + Glycine</t>
  </si>
  <si>
    <t>Ngandzali BO</t>
  </si>
  <si>
    <t>SPC with phytase</t>
  </si>
  <si>
    <t>Nguyen ND</t>
  </si>
  <si>
    <t>Tilapia sp.</t>
  </si>
  <si>
    <t>Oreochromis sp.</t>
  </si>
  <si>
    <t>Expeller-pressed SBM</t>
  </si>
  <si>
    <t>Dehulled SE SBM</t>
  </si>
  <si>
    <t>Peng M</t>
  </si>
  <si>
    <t>Scophthalmus maximus</t>
  </si>
  <si>
    <t>SBM  with nucleotides</t>
  </si>
  <si>
    <t xml:space="preserve">Pangasianodon hypophthalmus </t>
  </si>
  <si>
    <t>Pangasius sp.</t>
  </si>
  <si>
    <t>Phumee P</t>
  </si>
  <si>
    <t>Diplodus puntazzo</t>
  </si>
  <si>
    <t>Sharpsnout Seabream</t>
  </si>
  <si>
    <t>Metapenaeus monoceros</t>
  </si>
  <si>
    <t>Speckled Shrimp</t>
  </si>
  <si>
    <t>Abdel Rahman SH</t>
  </si>
  <si>
    <t>SBM with yeast</t>
  </si>
  <si>
    <t>Refstie S</t>
  </si>
  <si>
    <t>Argyrosomus regius</t>
  </si>
  <si>
    <t>Meagre</t>
  </si>
  <si>
    <t>Ribeiro L</t>
  </si>
  <si>
    <t>Riche M</t>
  </si>
  <si>
    <t>Trachinotus carolinus</t>
  </si>
  <si>
    <t>Florida Pompano</t>
  </si>
  <si>
    <t>Rachycentron canadum,</t>
  </si>
  <si>
    <t>Romarheim OH</t>
  </si>
  <si>
    <t>SBM WF</t>
  </si>
  <si>
    <t>Morone chrysops x M. saxatilis</t>
  </si>
  <si>
    <t>Hybrid Striped Bass</t>
  </si>
  <si>
    <t>SBM with SoyPepGen</t>
  </si>
  <si>
    <t xml:space="preserve">Rombenso A </t>
  </si>
  <si>
    <t>Lysine + Methionine + Taurine + Glycine</t>
  </si>
  <si>
    <t>Rossi Jr W</t>
  </si>
  <si>
    <t xml:space="preserve">SBM </t>
  </si>
  <si>
    <t>SBM with probiotic</t>
  </si>
  <si>
    <t>SBM + SPC</t>
  </si>
  <si>
    <t>SBM + SPC with probiotic</t>
  </si>
  <si>
    <t xml:space="preserve">Sa MVC </t>
  </si>
  <si>
    <t>Glencross B</t>
  </si>
  <si>
    <t>* THIS STUDY WILL BE A GOOD EXAMPLE TO USE BUT HARD TO USE IT FOR STUDY - COME BACK TO THIS</t>
  </si>
  <si>
    <t>Salze G</t>
  </si>
  <si>
    <t>Both</t>
  </si>
  <si>
    <t>Soy oil + algal meal</t>
  </si>
  <si>
    <t>Seriola quinqueradiata</t>
  </si>
  <si>
    <t>Yellowtail</t>
  </si>
  <si>
    <t>Corn meal</t>
  </si>
  <si>
    <t>Sarker MSA</t>
  </si>
  <si>
    <t>Shah Alam M</t>
  </si>
  <si>
    <t>SE SBM</t>
  </si>
  <si>
    <t>Centropristis striata</t>
  </si>
  <si>
    <t>Epinephelus fuscoguttatus</t>
  </si>
  <si>
    <t>Tiger Grouper</t>
  </si>
  <si>
    <t>Agricultural Sciences</t>
  </si>
  <si>
    <t>Epinephelus coioides</t>
  </si>
  <si>
    <t>Orange-spotted Grouper</t>
  </si>
  <si>
    <t>Shiu Y-L</t>
  </si>
  <si>
    <t>Silva-Carrillo Y</t>
  </si>
  <si>
    <t>Rose Snapper</t>
  </si>
  <si>
    <t>Lutjanus guttatus</t>
  </si>
  <si>
    <t>Snyder GS</t>
  </si>
  <si>
    <t xml:space="preserve">USA </t>
  </si>
  <si>
    <t>Lysine + Mthionine + Threonine + Glycine + Carnosine</t>
  </si>
  <si>
    <t>Lysine + Mthionine + Threonine + Glycine</t>
  </si>
  <si>
    <t>Song Z</t>
  </si>
  <si>
    <t>SPH</t>
  </si>
  <si>
    <t>Suarez JA</t>
  </si>
  <si>
    <t>Lysine + Mthionine + Taurine + Glycine</t>
  </si>
  <si>
    <t>Takagi S</t>
  </si>
  <si>
    <t>Tomas-Vidal A</t>
  </si>
  <si>
    <t>Applied Icthyology</t>
  </si>
  <si>
    <t>Yeast Extract</t>
  </si>
  <si>
    <t>Trosvik KA</t>
  </si>
  <si>
    <t>Yellow Jack</t>
  </si>
  <si>
    <t>Trushenski JT</t>
  </si>
  <si>
    <t>PepSoyGen</t>
  </si>
  <si>
    <t>Scophthalmus maeoticus</t>
  </si>
  <si>
    <t>SPC + SPI</t>
  </si>
  <si>
    <t>Pseudobagrus ussuriensis</t>
  </si>
  <si>
    <t>Naked catfish</t>
  </si>
  <si>
    <t>Wang Y</t>
  </si>
  <si>
    <t>Watson AM</t>
  </si>
  <si>
    <t xml:space="preserve">Lysine + Methionine + Taurine </t>
  </si>
  <si>
    <t>Wu Y</t>
  </si>
  <si>
    <t>Xie S</t>
  </si>
  <si>
    <t>Lysine + Methionine + Valine + Taurine + Threonine + Glycine + Alanine</t>
  </si>
  <si>
    <t>Acipenser schrenckii</t>
  </si>
  <si>
    <t>Amur Sturgeon</t>
  </si>
  <si>
    <t>Xu QY</t>
  </si>
  <si>
    <t>Asian-Australian Journal of Animal Science</t>
  </si>
  <si>
    <t>SPI</t>
  </si>
  <si>
    <t>Xu D</t>
  </si>
  <si>
    <t>Brtish Journal of Nutrition</t>
  </si>
  <si>
    <t>Yaghoubi M</t>
  </si>
  <si>
    <t>SBM + SPI</t>
  </si>
  <si>
    <t>Sparidentex hasta</t>
  </si>
  <si>
    <t>Silvery-black Porgy</t>
  </si>
  <si>
    <t>Yamamoto T</t>
  </si>
  <si>
    <t>Arginine + Trytophan + Lysine + Methionine + Threonine + Valine + Histidine</t>
  </si>
  <si>
    <t>Pelteobagrus vachelli</t>
  </si>
  <si>
    <t>Dark-barbel Catfish</t>
  </si>
  <si>
    <t>Yang Y</t>
  </si>
  <si>
    <t>Yang Q</t>
  </si>
  <si>
    <t>Journal of Ocean University China</t>
  </si>
  <si>
    <t>Extruded SBM</t>
  </si>
  <si>
    <t>Yang Y-H</t>
  </si>
  <si>
    <t>Ye J</t>
  </si>
  <si>
    <t>Yigit M</t>
  </si>
  <si>
    <t>Journal of Marine Science and Technology</t>
  </si>
  <si>
    <t>Myxocyprinus asiaticus</t>
  </si>
  <si>
    <t>Chinese Suckerfish</t>
  </si>
  <si>
    <t>Yu DH</t>
  </si>
  <si>
    <t>Yuan DC</t>
  </si>
  <si>
    <t>Yue Y-R</t>
  </si>
  <si>
    <t>Peanut meal</t>
  </si>
  <si>
    <t>Zhang YQ</t>
  </si>
  <si>
    <t>Gamma IR SBM</t>
  </si>
  <si>
    <t>Zhang B</t>
  </si>
  <si>
    <t>Fermented SBM with phytase</t>
  </si>
  <si>
    <t>Zhang C</t>
  </si>
  <si>
    <t>Zhang Y</t>
  </si>
  <si>
    <t>Zhao H</t>
  </si>
  <si>
    <t>Zhao Z-x</t>
  </si>
  <si>
    <t>Soybean peptide</t>
  </si>
  <si>
    <t>Acanthopagrus schlegelii</t>
  </si>
  <si>
    <t>Black Sea Bream</t>
  </si>
  <si>
    <t>Zhou F</t>
  </si>
  <si>
    <t>Garcia-Ortega A</t>
  </si>
  <si>
    <t>SBM+SPC</t>
  </si>
  <si>
    <t xml:space="preserve">*replacement was fishmeal </t>
  </si>
  <si>
    <t>Haas S</t>
  </si>
  <si>
    <t>Pavlova viridis</t>
  </si>
  <si>
    <t>Kangpanich C</t>
  </si>
  <si>
    <t>Agriculture and Natural Resources</t>
  </si>
  <si>
    <t>Soy oil</t>
  </si>
  <si>
    <t>Giant River Prawn</t>
  </si>
  <si>
    <t>Kissinger KR</t>
  </si>
  <si>
    <t>Algae + Squid</t>
  </si>
  <si>
    <t>Haeomatococcus pluvialis</t>
  </si>
  <si>
    <t>Longfin Yellowtail</t>
  </si>
  <si>
    <t>Seriola rivoliana</t>
  </si>
  <si>
    <t>Kousalaki K</t>
  </si>
  <si>
    <t xml:space="preserve">Mixture </t>
  </si>
  <si>
    <t>Lysine + Methionine + Astaxanthanine</t>
  </si>
  <si>
    <t>Smolts</t>
  </si>
  <si>
    <t>Crops</t>
  </si>
  <si>
    <t>Soy + Linseed oil</t>
  </si>
  <si>
    <t>Kumar V</t>
  </si>
  <si>
    <t>Lee M-C</t>
  </si>
  <si>
    <t>Aurantiochytrium spp. meal</t>
  </si>
  <si>
    <t>Aurantiochytrium spp. oil</t>
  </si>
  <si>
    <t>Li MH</t>
  </si>
  <si>
    <t>Arthrospira sp.</t>
  </si>
  <si>
    <t>Perez-Velasquez M</t>
  </si>
  <si>
    <t>Sciaenops ocellatus</t>
  </si>
  <si>
    <t>Qiao H</t>
  </si>
  <si>
    <t>Samocha TM</t>
  </si>
  <si>
    <t>Mortierella sp.</t>
  </si>
  <si>
    <t>Tibaldi E</t>
  </si>
  <si>
    <t>*FO replacement</t>
  </si>
  <si>
    <t>*FM replacement</t>
  </si>
  <si>
    <t>Scortum barcoo</t>
  </si>
  <si>
    <t>Jade Perch</t>
  </si>
  <si>
    <t>Van Hoestenberghe S</t>
  </si>
  <si>
    <t>Linseed oil</t>
  </si>
  <si>
    <t>Vizcaino AJ</t>
  </si>
  <si>
    <t>Keramat Amirkolaie A</t>
  </si>
  <si>
    <t>Salmo trutta</t>
  </si>
  <si>
    <t>Brown Trout</t>
  </si>
  <si>
    <t>Dias J</t>
  </si>
  <si>
    <t>Rapeseed oil</t>
  </si>
  <si>
    <t>Lysine + Methionine + Arginine</t>
  </si>
  <si>
    <t>Emre Y</t>
  </si>
  <si>
    <t>Forster IP</t>
  </si>
  <si>
    <t>Fountoulaki E</t>
  </si>
  <si>
    <t>High linoleic soy oil</t>
  </si>
  <si>
    <t>Low linoleic soy oil</t>
  </si>
  <si>
    <t>Cynoscion parvipinnis</t>
  </si>
  <si>
    <t>Shortfin Corvina</t>
  </si>
  <si>
    <t>Gonzalez-Felix MI</t>
  </si>
  <si>
    <t>Mexio</t>
  </si>
  <si>
    <t>Tissue</t>
  </si>
  <si>
    <t>Muscle</t>
  </si>
  <si>
    <t>Whole body</t>
  </si>
  <si>
    <t>*Choose tissue</t>
  </si>
  <si>
    <t>Han C-Y</t>
  </si>
  <si>
    <t>Hybrid Tilapia</t>
  </si>
  <si>
    <t>Salmo trutta caspius</t>
  </si>
  <si>
    <t>Caspian Brown Trout</t>
  </si>
  <si>
    <t>Kenari AA</t>
  </si>
  <si>
    <t>Total lipids</t>
  </si>
  <si>
    <t>Kutluyer F</t>
  </si>
  <si>
    <t>Annals of Animal Science</t>
  </si>
  <si>
    <t>Liland NS</t>
  </si>
  <si>
    <t>Mjoun K</t>
  </si>
  <si>
    <t>Lysine + Methionine + Glycine + Taurine</t>
  </si>
  <si>
    <t>Yellow Perch</t>
  </si>
  <si>
    <t>Perca flavescens</t>
  </si>
  <si>
    <t>Flaxseed oil</t>
  </si>
  <si>
    <t>Nogales-Mérida S</t>
  </si>
  <si>
    <t>Peng S</t>
  </si>
  <si>
    <t>Liver</t>
  </si>
  <si>
    <t>Reyes MLE</t>
  </si>
  <si>
    <t xml:space="preserve">Soy oil </t>
  </si>
  <si>
    <t>Hydrogenated soy oil</t>
  </si>
  <si>
    <t>Hydrogenated soy oil + DHA</t>
  </si>
  <si>
    <t>Soy oil + DHA</t>
  </si>
  <si>
    <t>Cromileptes altivelis</t>
  </si>
  <si>
    <t>Humpback Grouper</t>
  </si>
  <si>
    <t>Soller F</t>
  </si>
  <si>
    <t>Hyrdogenated soy oil</t>
  </si>
  <si>
    <t>Unnikrishnan U</t>
  </si>
  <si>
    <t>India</t>
  </si>
  <si>
    <t>Scylla serrata</t>
  </si>
  <si>
    <t>Mangrove crab</t>
  </si>
  <si>
    <t>Wassef EA</t>
  </si>
  <si>
    <t>Sunflower + Cotton oils</t>
  </si>
  <si>
    <t>Xu Z</t>
  </si>
  <si>
    <t>Xu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</si>
</sst>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0" fontId="0" fillId="0" borderId="0" xfId="0" applyAlignment="1"/>
    <xf numFmtId="0" fontId="1" fillId="2" borderId="0" xfId="0" applyFont="1" applyFill="1"/>
    <xf numFmtId="2" fontId="1" fillId="2" borderId="0" xfId="0" applyNumberFormat="1" applyFont="1" applyFill="1"/>
    <xf numFmtId="0" fontId="0" fillId="2" borderId="0" xfId="0" applyFill="1"/>
    <xf numFmtId="2" fontId="0" fillId="2" borderId="0" xfId="0" applyNumberFormat="1" applyFill="1"/>
    <xf numFmtId="0" fontId="0" fillId="2" borderId="0" xfId="0" applyFill="1" applyAlignment="1"/>
    <xf numFmtId="0" fontId="0" fillId="2" borderId="0" xfId="0" applyFill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6"/>
  <sheetViews>
    <sheetView zoomScale="85" zoomScaleNormal="85" workbookViewId="0">
      <selection activeCell="E48" sqref="E48"/>
    </sheetView>
  </sheetViews>
  <sheetFormatPr defaultRowHeight="14.5" x14ac:dyDescent="0.35"/>
  <cols>
    <col min="1" max="1" width="15.54296875" bestFit="1" customWidth="1"/>
    <col min="2" max="2" width="10.81640625" customWidth="1"/>
    <col min="3" max="3" width="14.7265625" bestFit="1" customWidth="1"/>
    <col min="4" max="4" width="15.54296875" bestFit="1" customWidth="1"/>
    <col min="5" max="5" width="15" bestFit="1" customWidth="1"/>
    <col min="8" max="8" width="10.26953125" bestFit="1" customWidth="1"/>
    <col min="9" max="9" width="9.54296875" bestFit="1" customWidth="1"/>
    <col min="10" max="10" width="14.7265625" bestFit="1" customWidth="1"/>
    <col min="11" max="11" width="15.54296875" bestFit="1" customWidth="1"/>
    <col min="12" max="12" width="15.7265625" bestFit="1" customWidth="1"/>
    <col min="16" max="16" width="9.1796875" bestFit="1" customWidth="1"/>
    <col min="17" max="17" width="8.1796875" bestFit="1" customWidth="1"/>
    <col min="18" max="18" width="14.7265625" bestFit="1" customWidth="1"/>
    <col min="19" max="19" width="14" bestFit="1" customWidth="1"/>
  </cols>
  <sheetData>
    <row r="1" spans="1:5" s="1" customFormat="1" x14ac:dyDescent="0.35">
      <c r="A1" s="1" t="s">
        <v>232</v>
      </c>
      <c r="B1" s="1" t="s">
        <v>328</v>
      </c>
      <c r="C1" s="1" t="s">
        <v>329</v>
      </c>
      <c r="D1" s="1" t="s">
        <v>330</v>
      </c>
      <c r="E1" s="1" t="s">
        <v>331</v>
      </c>
    </row>
    <row r="2" spans="1:5" x14ac:dyDescent="0.35">
      <c r="A2" t="s">
        <v>313</v>
      </c>
      <c r="B2" t="s">
        <v>162</v>
      </c>
      <c r="C2">
        <f>135+194</f>
        <v>329</v>
      </c>
    </row>
    <row r="3" spans="1:5" x14ac:dyDescent="0.35">
      <c r="A3" t="s">
        <v>313</v>
      </c>
      <c r="B3" t="s">
        <v>164</v>
      </c>
    </row>
    <row r="4" spans="1:5" x14ac:dyDescent="0.35">
      <c r="A4" t="s">
        <v>163</v>
      </c>
      <c r="B4" t="s">
        <v>162</v>
      </c>
    </row>
    <row r="5" spans="1:5" x14ac:dyDescent="0.35">
      <c r="A5" t="s">
        <v>163</v>
      </c>
      <c r="B5" t="s">
        <v>164</v>
      </c>
    </row>
    <row r="6" spans="1:5" x14ac:dyDescent="0.35">
      <c r="A6" t="s">
        <v>170</v>
      </c>
      <c r="B6" t="s">
        <v>162</v>
      </c>
    </row>
    <row r="7" spans="1:5" x14ac:dyDescent="0.35">
      <c r="A7" t="s">
        <v>170</v>
      </c>
      <c r="B7" t="s">
        <v>164</v>
      </c>
    </row>
    <row r="8" spans="1:5" x14ac:dyDescent="0.35">
      <c r="A8" t="s">
        <v>318</v>
      </c>
      <c r="B8" t="s">
        <v>162</v>
      </c>
    </row>
    <row r="9" spans="1:5" x14ac:dyDescent="0.35">
      <c r="A9" t="s">
        <v>318</v>
      </c>
      <c r="B9" t="s">
        <v>164</v>
      </c>
    </row>
    <row r="10" spans="1:5" x14ac:dyDescent="0.35">
      <c r="A10" t="s">
        <v>317</v>
      </c>
      <c r="B10" t="s">
        <v>162</v>
      </c>
    </row>
    <row r="11" spans="1:5" x14ac:dyDescent="0.35">
      <c r="A11" t="s">
        <v>317</v>
      </c>
      <c r="B11" t="s">
        <v>164</v>
      </c>
    </row>
    <row r="36" spans="1:6" x14ac:dyDescent="0.35">
      <c r="A36" s="1" t="s">
        <v>314</v>
      </c>
      <c r="B36" s="1" t="s">
        <v>311</v>
      </c>
      <c r="C36" s="1" t="s">
        <v>312</v>
      </c>
      <c r="D36" s="1" t="s">
        <v>316</v>
      </c>
      <c r="E36" s="1" t="s">
        <v>323</v>
      </c>
    </row>
    <row r="37" spans="1:6" x14ac:dyDescent="0.35">
      <c r="A37" t="s">
        <v>315</v>
      </c>
      <c r="B37" t="s">
        <v>313</v>
      </c>
      <c r="C37" t="s">
        <v>162</v>
      </c>
      <c r="D37" s="2">
        <v>35</v>
      </c>
      <c r="E37" s="2">
        <v>20</v>
      </c>
    </row>
    <row r="38" spans="1:6" x14ac:dyDescent="0.35">
      <c r="A38" t="s">
        <v>315</v>
      </c>
      <c r="B38" t="s">
        <v>313</v>
      </c>
      <c r="C38" t="s">
        <v>164</v>
      </c>
      <c r="D38" s="2">
        <v>87</v>
      </c>
      <c r="E38" s="2">
        <v>30</v>
      </c>
    </row>
    <row r="39" spans="1:6" x14ac:dyDescent="0.35">
      <c r="A39" t="s">
        <v>315</v>
      </c>
      <c r="B39" t="s">
        <v>163</v>
      </c>
      <c r="C39" t="s">
        <v>162</v>
      </c>
      <c r="D39">
        <v>24</v>
      </c>
      <c r="E39">
        <v>16</v>
      </c>
    </row>
    <row r="40" spans="1:6" x14ac:dyDescent="0.35">
      <c r="A40" t="s">
        <v>315</v>
      </c>
      <c r="B40" t="s">
        <v>163</v>
      </c>
      <c r="C40" t="s">
        <v>164</v>
      </c>
      <c r="D40">
        <v>18</v>
      </c>
      <c r="E40">
        <v>8</v>
      </c>
    </row>
    <row r="41" spans="1:6" x14ac:dyDescent="0.35">
      <c r="A41" t="s">
        <v>315</v>
      </c>
      <c r="B41" t="s">
        <v>170</v>
      </c>
      <c r="C41" t="s">
        <v>162</v>
      </c>
      <c r="D41">
        <v>8</v>
      </c>
      <c r="E41">
        <v>4</v>
      </c>
    </row>
    <row r="42" spans="1:6" x14ac:dyDescent="0.35">
      <c r="A42" t="s">
        <v>315</v>
      </c>
      <c r="B42" t="s">
        <v>170</v>
      </c>
      <c r="C42" t="s">
        <v>164</v>
      </c>
      <c r="D42">
        <v>0</v>
      </c>
      <c r="E42">
        <v>0</v>
      </c>
    </row>
    <row r="43" spans="1:6" x14ac:dyDescent="0.35">
      <c r="A43" t="s">
        <v>315</v>
      </c>
      <c r="B43" t="s">
        <v>318</v>
      </c>
      <c r="C43" t="s">
        <v>162</v>
      </c>
      <c r="D43">
        <v>55</v>
      </c>
      <c r="E43">
        <v>22</v>
      </c>
    </row>
    <row r="44" spans="1:6" x14ac:dyDescent="0.35">
      <c r="A44" t="s">
        <v>315</v>
      </c>
      <c r="B44" t="s">
        <v>318</v>
      </c>
      <c r="C44" t="s">
        <v>164</v>
      </c>
      <c r="D44">
        <v>8</v>
      </c>
      <c r="E44">
        <v>3</v>
      </c>
    </row>
    <row r="45" spans="1:6" x14ac:dyDescent="0.35">
      <c r="A45" t="s">
        <v>315</v>
      </c>
      <c r="B45" t="s">
        <v>317</v>
      </c>
      <c r="C45" t="s">
        <v>162</v>
      </c>
      <c r="D45">
        <v>60</v>
      </c>
      <c r="E45">
        <v>23</v>
      </c>
    </row>
    <row r="46" spans="1:6" x14ac:dyDescent="0.35">
      <c r="A46" t="s">
        <v>315</v>
      </c>
      <c r="B46" t="s">
        <v>317</v>
      </c>
      <c r="C46" t="s">
        <v>164</v>
      </c>
      <c r="D46">
        <v>2</v>
      </c>
      <c r="E46">
        <v>0</v>
      </c>
    </row>
    <row r="47" spans="1:6" x14ac:dyDescent="0.35">
      <c r="A47" t="s">
        <v>325</v>
      </c>
      <c r="B47" t="s">
        <v>313</v>
      </c>
      <c r="C47" t="s">
        <v>162</v>
      </c>
      <c r="D47" s="2">
        <v>876</v>
      </c>
      <c r="E47" s="2">
        <v>134</v>
      </c>
    </row>
    <row r="48" spans="1:6" x14ac:dyDescent="0.35">
      <c r="A48" t="s">
        <v>325</v>
      </c>
      <c r="B48" t="s">
        <v>313</v>
      </c>
      <c r="C48" t="s">
        <v>164</v>
      </c>
      <c r="D48" s="2">
        <v>229</v>
      </c>
      <c r="E48" s="2"/>
      <c r="F48" s="2" t="s">
        <v>326</v>
      </c>
    </row>
    <row r="49" spans="1:5" x14ac:dyDescent="0.35">
      <c r="A49" t="s">
        <v>325</v>
      </c>
      <c r="B49" t="s">
        <v>163</v>
      </c>
      <c r="C49" t="s">
        <v>162</v>
      </c>
      <c r="E49" s="2"/>
    </row>
    <row r="50" spans="1:5" x14ac:dyDescent="0.35">
      <c r="A50" t="s">
        <v>325</v>
      </c>
      <c r="B50" t="s">
        <v>163</v>
      </c>
      <c r="C50" t="s">
        <v>164</v>
      </c>
    </row>
    <row r="51" spans="1:5" x14ac:dyDescent="0.35">
      <c r="A51" t="s">
        <v>325</v>
      </c>
      <c r="B51" t="s">
        <v>170</v>
      </c>
      <c r="C51" t="s">
        <v>162</v>
      </c>
    </row>
    <row r="52" spans="1:5" x14ac:dyDescent="0.35">
      <c r="A52" t="s">
        <v>325</v>
      </c>
      <c r="B52" t="s">
        <v>170</v>
      </c>
      <c r="C52" t="s">
        <v>164</v>
      </c>
    </row>
    <row r="53" spans="1:5" x14ac:dyDescent="0.35">
      <c r="A53" t="s">
        <v>325</v>
      </c>
      <c r="B53" t="s">
        <v>318</v>
      </c>
      <c r="C53" t="s">
        <v>162</v>
      </c>
    </row>
    <row r="54" spans="1:5" x14ac:dyDescent="0.35">
      <c r="A54" t="s">
        <v>325</v>
      </c>
      <c r="B54" t="s">
        <v>318</v>
      </c>
      <c r="C54" t="s">
        <v>164</v>
      </c>
    </row>
    <row r="55" spans="1:5" x14ac:dyDescent="0.35">
      <c r="A55" t="s">
        <v>325</v>
      </c>
      <c r="B55" t="s">
        <v>317</v>
      </c>
      <c r="C55" t="s">
        <v>162</v>
      </c>
    </row>
    <row r="56" spans="1:5" x14ac:dyDescent="0.35">
      <c r="A56" t="s">
        <v>325</v>
      </c>
      <c r="B56" t="s">
        <v>317</v>
      </c>
      <c r="C56" t="s">
        <v>164</v>
      </c>
    </row>
    <row r="57" spans="1:5" x14ac:dyDescent="0.35">
      <c r="A57" t="s">
        <v>324</v>
      </c>
      <c r="B57" t="s">
        <v>313</v>
      </c>
      <c r="C57" t="s">
        <v>162</v>
      </c>
      <c r="D57" t="s">
        <v>327</v>
      </c>
      <c r="E57">
        <v>173</v>
      </c>
    </row>
    <row r="58" spans="1:5" x14ac:dyDescent="0.35">
      <c r="A58" t="s">
        <v>324</v>
      </c>
      <c r="B58" t="s">
        <v>313</v>
      </c>
      <c r="C58" t="s">
        <v>164</v>
      </c>
      <c r="D58" t="s">
        <v>327</v>
      </c>
      <c r="E58">
        <v>5</v>
      </c>
    </row>
    <row r="59" spans="1:5" x14ac:dyDescent="0.35">
      <c r="A59" t="s">
        <v>324</v>
      </c>
      <c r="B59" t="s">
        <v>163</v>
      </c>
      <c r="C59" t="s">
        <v>162</v>
      </c>
      <c r="D59" t="s">
        <v>327</v>
      </c>
    </row>
    <row r="60" spans="1:5" x14ac:dyDescent="0.35">
      <c r="A60" t="s">
        <v>324</v>
      </c>
      <c r="B60" t="s">
        <v>163</v>
      </c>
      <c r="C60" t="s">
        <v>164</v>
      </c>
      <c r="D60" t="s">
        <v>327</v>
      </c>
    </row>
    <row r="61" spans="1:5" x14ac:dyDescent="0.35">
      <c r="A61" t="s">
        <v>324</v>
      </c>
      <c r="B61" t="s">
        <v>170</v>
      </c>
      <c r="C61" t="s">
        <v>162</v>
      </c>
      <c r="D61" t="s">
        <v>327</v>
      </c>
    </row>
    <row r="62" spans="1:5" x14ac:dyDescent="0.35">
      <c r="A62" t="s">
        <v>324</v>
      </c>
      <c r="B62" t="s">
        <v>170</v>
      </c>
      <c r="C62" t="s">
        <v>164</v>
      </c>
      <c r="D62" t="s">
        <v>327</v>
      </c>
    </row>
    <row r="63" spans="1:5" x14ac:dyDescent="0.35">
      <c r="A63" t="s">
        <v>324</v>
      </c>
      <c r="B63" t="s">
        <v>318</v>
      </c>
      <c r="C63" t="s">
        <v>162</v>
      </c>
      <c r="D63" t="s">
        <v>327</v>
      </c>
    </row>
    <row r="64" spans="1:5" x14ac:dyDescent="0.35">
      <c r="A64" t="s">
        <v>324</v>
      </c>
      <c r="B64" t="s">
        <v>318</v>
      </c>
      <c r="C64" t="s">
        <v>164</v>
      </c>
      <c r="D64" t="s">
        <v>327</v>
      </c>
    </row>
    <row r="65" spans="1:4" x14ac:dyDescent="0.35">
      <c r="A65" t="s">
        <v>324</v>
      </c>
      <c r="B65" t="s">
        <v>317</v>
      </c>
      <c r="C65" t="s">
        <v>162</v>
      </c>
      <c r="D65" t="s">
        <v>327</v>
      </c>
    </row>
    <row r="66" spans="1:4" x14ac:dyDescent="0.35">
      <c r="A66" t="s">
        <v>324</v>
      </c>
      <c r="B66" t="s">
        <v>317</v>
      </c>
      <c r="C66" t="s">
        <v>164</v>
      </c>
      <c r="D66" t="s">
        <v>327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590"/>
  <sheetViews>
    <sheetView tabSelected="1" zoomScale="70" zoomScaleNormal="70" workbookViewId="0">
      <pane xSplit="5" ySplit="1" topLeftCell="N1567" activePane="bottomRight" state="frozen"/>
      <selection pane="topRight" activeCell="F1" sqref="F1"/>
      <selection pane="bottomLeft" activeCell="A2" sqref="A2"/>
      <selection pane="bottomRight" activeCell="P1587" sqref="P1587"/>
    </sheetView>
  </sheetViews>
  <sheetFormatPr defaultRowHeight="14.5" x14ac:dyDescent="0.35"/>
  <cols>
    <col min="1" max="1" width="17.26953125" bestFit="1" customWidth="1"/>
    <col min="2" max="2" width="47.81640625" bestFit="1" customWidth="1"/>
    <col min="3" max="3" width="11.7265625" bestFit="1" customWidth="1"/>
    <col min="6" max="6" width="15.54296875" bestFit="1" customWidth="1"/>
    <col min="7" max="7" width="12.453125" bestFit="1" customWidth="1"/>
    <col min="8" max="8" width="22.54296875" bestFit="1" customWidth="1"/>
    <col min="9" max="9" width="15.7265625" bestFit="1" customWidth="1"/>
    <col min="10" max="10" width="16.54296875" bestFit="1" customWidth="1"/>
    <col min="11" max="11" width="11.81640625" bestFit="1" customWidth="1"/>
    <col min="12" max="12" width="17" bestFit="1" customWidth="1"/>
    <col min="13" max="13" width="7.26953125" bestFit="1" customWidth="1"/>
    <col min="14" max="14" width="10.453125" bestFit="1" customWidth="1"/>
    <col min="15" max="15" width="15" bestFit="1" customWidth="1"/>
    <col min="16" max="16" width="18.26953125" bestFit="1" customWidth="1"/>
    <col min="17" max="17" width="10" bestFit="1" customWidth="1"/>
    <col min="18" max="18" width="12.7265625" bestFit="1" customWidth="1"/>
    <col min="19" max="19" width="6.453125" style="3" bestFit="1" customWidth="1"/>
    <col min="20" max="20" width="14.7265625" style="3" bestFit="1" customWidth="1"/>
    <col min="21" max="21" width="13" bestFit="1" customWidth="1"/>
    <col min="22" max="22" width="9.1796875" style="3"/>
    <col min="23" max="23" width="8.7265625" style="3"/>
  </cols>
  <sheetData>
    <row r="1" spans="1:24" s="7" customFormat="1" x14ac:dyDescent="0.35">
      <c r="A1" s="5" t="s">
        <v>332</v>
      </c>
      <c r="B1" s="5" t="s">
        <v>333</v>
      </c>
      <c r="C1" s="5" t="s">
        <v>334</v>
      </c>
      <c r="D1" s="5" t="s">
        <v>222</v>
      </c>
      <c r="E1" s="5" t="s">
        <v>343</v>
      </c>
      <c r="F1" s="5" t="s">
        <v>344</v>
      </c>
      <c r="G1" s="5" t="s">
        <v>830</v>
      </c>
      <c r="H1" s="5" t="s">
        <v>831</v>
      </c>
      <c r="I1" s="5" t="s">
        <v>870</v>
      </c>
      <c r="J1" s="5" t="s">
        <v>910</v>
      </c>
      <c r="K1" s="5" t="s">
        <v>501</v>
      </c>
      <c r="L1" s="5" t="s">
        <v>340</v>
      </c>
      <c r="M1" s="5" t="s">
        <v>338</v>
      </c>
      <c r="N1" s="5" t="s">
        <v>379</v>
      </c>
      <c r="O1" s="5" t="s">
        <v>336</v>
      </c>
      <c r="P1" s="5" t="s">
        <v>337</v>
      </c>
      <c r="Q1" s="5" t="s">
        <v>227</v>
      </c>
      <c r="R1" s="5" t="s">
        <v>335</v>
      </c>
      <c r="S1" s="6" t="s">
        <v>1</v>
      </c>
      <c r="T1" s="6" t="s">
        <v>412</v>
      </c>
      <c r="U1" s="6" t="s">
        <v>351</v>
      </c>
      <c r="V1" s="6" t="s">
        <v>339</v>
      </c>
      <c r="W1" s="6" t="s">
        <v>1109</v>
      </c>
      <c r="X1" s="6"/>
    </row>
    <row r="2" spans="1:24" s="7" customFormat="1" x14ac:dyDescent="0.35">
      <c r="A2" s="7" t="s">
        <v>375</v>
      </c>
      <c r="B2" s="7" t="s">
        <v>355</v>
      </c>
      <c r="C2" s="7" t="s">
        <v>366</v>
      </c>
      <c r="D2" s="7">
        <v>2018</v>
      </c>
      <c r="E2" s="7">
        <v>8</v>
      </c>
      <c r="F2" s="7" t="s">
        <v>416</v>
      </c>
      <c r="G2" s="7" t="s">
        <v>346</v>
      </c>
      <c r="H2" s="7" t="s">
        <v>376</v>
      </c>
      <c r="I2" s="7" t="s">
        <v>163</v>
      </c>
      <c r="J2" s="7" t="s">
        <v>189</v>
      </c>
      <c r="K2" s="7" t="s">
        <v>378</v>
      </c>
      <c r="L2" s="7" t="s">
        <v>377</v>
      </c>
      <c r="M2" s="7" t="s">
        <v>372</v>
      </c>
      <c r="N2" s="7" t="s">
        <v>538</v>
      </c>
      <c r="O2" s="7" t="s">
        <v>373</v>
      </c>
      <c r="P2" s="7" t="s">
        <v>374</v>
      </c>
      <c r="Q2" s="7" t="s">
        <v>230</v>
      </c>
      <c r="R2" s="7">
        <v>0</v>
      </c>
      <c r="S2" s="8">
        <v>1.75</v>
      </c>
      <c r="T2" s="8"/>
      <c r="U2" s="8">
        <v>0</v>
      </c>
      <c r="V2" s="8">
        <v>1.2</v>
      </c>
      <c r="W2" s="8"/>
    </row>
    <row r="3" spans="1:24" s="7" customFormat="1" x14ac:dyDescent="0.35">
      <c r="A3" s="7" t="s">
        <v>375</v>
      </c>
      <c r="B3" s="7" t="s">
        <v>355</v>
      </c>
      <c r="C3" s="7" t="s">
        <v>366</v>
      </c>
      <c r="D3" s="7">
        <v>2018</v>
      </c>
      <c r="E3" s="7">
        <v>8</v>
      </c>
      <c r="F3" s="7" t="s">
        <v>416</v>
      </c>
      <c r="G3" s="7" t="s">
        <v>346</v>
      </c>
      <c r="H3" s="7" t="s">
        <v>376</v>
      </c>
      <c r="I3" s="7" t="s">
        <v>163</v>
      </c>
      <c r="J3" s="7" t="s">
        <v>189</v>
      </c>
      <c r="K3" s="7" t="s">
        <v>378</v>
      </c>
      <c r="L3" s="7" t="s">
        <v>377</v>
      </c>
      <c r="M3" s="7" t="s">
        <v>372</v>
      </c>
      <c r="N3" s="7" t="s">
        <v>538</v>
      </c>
      <c r="O3" s="7" t="s">
        <v>373</v>
      </c>
      <c r="P3" s="7" t="s">
        <v>374</v>
      </c>
      <c r="Q3" s="7" t="s">
        <v>230</v>
      </c>
      <c r="R3" s="7">
        <v>10</v>
      </c>
      <c r="S3" s="8">
        <v>1.66</v>
      </c>
      <c r="T3" s="8"/>
      <c r="U3" s="8">
        <v>-7</v>
      </c>
      <c r="V3" s="8">
        <v>1.3</v>
      </c>
      <c r="W3" s="8"/>
    </row>
    <row r="4" spans="1:24" s="7" customFormat="1" x14ac:dyDescent="0.35">
      <c r="A4" s="7" t="s">
        <v>375</v>
      </c>
      <c r="B4" s="7" t="s">
        <v>355</v>
      </c>
      <c r="C4" s="7" t="s">
        <v>366</v>
      </c>
      <c r="D4" s="7">
        <v>2018</v>
      </c>
      <c r="E4" s="7">
        <v>8</v>
      </c>
      <c r="F4" s="7" t="s">
        <v>416</v>
      </c>
      <c r="G4" s="7" t="s">
        <v>346</v>
      </c>
      <c r="H4" s="7" t="s">
        <v>376</v>
      </c>
      <c r="I4" s="7" t="s">
        <v>163</v>
      </c>
      <c r="J4" s="7" t="s">
        <v>189</v>
      </c>
      <c r="K4" s="7" t="s">
        <v>378</v>
      </c>
      <c r="L4" s="7" t="s">
        <v>377</v>
      </c>
      <c r="M4" s="7" t="s">
        <v>372</v>
      </c>
      <c r="N4" s="7" t="s">
        <v>538</v>
      </c>
      <c r="O4" s="7" t="s">
        <v>373</v>
      </c>
      <c r="P4" s="7" t="s">
        <v>374</v>
      </c>
      <c r="Q4" s="7" t="s">
        <v>230</v>
      </c>
      <c r="R4" s="7">
        <v>20</v>
      </c>
      <c r="S4" s="8">
        <v>1.67</v>
      </c>
      <c r="T4" s="8"/>
      <c r="U4" s="8">
        <v>-15</v>
      </c>
      <c r="V4" s="8">
        <v>1.4</v>
      </c>
      <c r="W4" s="8"/>
    </row>
    <row r="5" spans="1:24" s="7" customFormat="1" x14ac:dyDescent="0.35">
      <c r="A5" s="7" t="s">
        <v>375</v>
      </c>
      <c r="B5" s="7" t="s">
        <v>355</v>
      </c>
      <c r="C5" s="7" t="s">
        <v>366</v>
      </c>
      <c r="D5" s="7">
        <v>2018</v>
      </c>
      <c r="E5" s="7">
        <v>8</v>
      </c>
      <c r="F5" s="7" t="s">
        <v>416</v>
      </c>
      <c r="G5" s="7" t="s">
        <v>346</v>
      </c>
      <c r="H5" s="7" t="s">
        <v>376</v>
      </c>
      <c r="I5" s="7" t="s">
        <v>163</v>
      </c>
      <c r="J5" s="7" t="s">
        <v>189</v>
      </c>
      <c r="K5" s="7" t="s">
        <v>378</v>
      </c>
      <c r="L5" s="7" t="s">
        <v>377</v>
      </c>
      <c r="M5" s="7" t="s">
        <v>372</v>
      </c>
      <c r="N5" s="7" t="s">
        <v>538</v>
      </c>
      <c r="O5" s="7" t="s">
        <v>373</v>
      </c>
      <c r="P5" s="7" t="s">
        <v>374</v>
      </c>
      <c r="Q5" s="7" t="s">
        <v>230</v>
      </c>
      <c r="R5" s="7">
        <v>30</v>
      </c>
      <c r="S5" s="8">
        <v>1.69</v>
      </c>
      <c r="T5" s="8"/>
      <c r="U5" s="8">
        <v>-22</v>
      </c>
      <c r="V5" s="8">
        <v>1.2</v>
      </c>
      <c r="W5" s="8"/>
    </row>
    <row r="6" spans="1:24" s="7" customFormat="1" x14ac:dyDescent="0.35">
      <c r="A6" s="7" t="s">
        <v>431</v>
      </c>
      <c r="B6" s="7" t="s">
        <v>371</v>
      </c>
      <c r="C6" s="7" t="s">
        <v>370</v>
      </c>
      <c r="D6" s="7">
        <v>2016</v>
      </c>
      <c r="E6" s="7">
        <v>7</v>
      </c>
      <c r="F6" s="7" t="s">
        <v>345</v>
      </c>
      <c r="G6" s="7" t="s">
        <v>346</v>
      </c>
      <c r="H6" s="7" t="s">
        <v>369</v>
      </c>
      <c r="K6" s="7" t="s">
        <v>402</v>
      </c>
      <c r="M6" s="7" t="s">
        <v>348</v>
      </c>
      <c r="N6" s="7" t="s">
        <v>538</v>
      </c>
      <c r="O6" s="7" t="s">
        <v>368</v>
      </c>
      <c r="P6" s="7" t="s">
        <v>367</v>
      </c>
      <c r="Q6" s="7" t="s">
        <v>230</v>
      </c>
      <c r="R6" s="7">
        <v>0</v>
      </c>
      <c r="S6" s="8">
        <v>2.25</v>
      </c>
      <c r="T6" s="8">
        <v>0</v>
      </c>
      <c r="U6" s="8">
        <v>0</v>
      </c>
      <c r="V6" s="8"/>
      <c r="W6" s="8"/>
    </row>
    <row r="7" spans="1:24" s="7" customFormat="1" x14ac:dyDescent="0.35">
      <c r="A7" s="7" t="s">
        <v>431</v>
      </c>
      <c r="B7" s="7" t="s">
        <v>371</v>
      </c>
      <c r="C7" s="7" t="s">
        <v>370</v>
      </c>
      <c r="D7" s="7">
        <v>2016</v>
      </c>
      <c r="E7" s="7">
        <v>7</v>
      </c>
      <c r="F7" s="7" t="s">
        <v>345</v>
      </c>
      <c r="G7" s="7" t="s">
        <v>346</v>
      </c>
      <c r="H7" s="7" t="s">
        <v>369</v>
      </c>
      <c r="K7" s="7" t="s">
        <v>402</v>
      </c>
      <c r="M7" s="7" t="s">
        <v>348</v>
      </c>
      <c r="N7" s="7" t="s">
        <v>538</v>
      </c>
      <c r="O7" s="7" t="s">
        <v>368</v>
      </c>
      <c r="P7" s="7" t="s">
        <v>367</v>
      </c>
      <c r="Q7" s="7" t="s">
        <v>230</v>
      </c>
      <c r="R7" s="7">
        <v>5</v>
      </c>
      <c r="S7" s="8">
        <v>2.11</v>
      </c>
      <c r="T7" s="8">
        <v>0</v>
      </c>
      <c r="U7" s="8">
        <v>0</v>
      </c>
      <c r="V7" s="8"/>
      <c r="W7" s="8"/>
    </row>
    <row r="8" spans="1:24" s="7" customFormat="1" x14ac:dyDescent="0.35">
      <c r="A8" s="7" t="s">
        <v>431</v>
      </c>
      <c r="B8" s="7" t="s">
        <v>371</v>
      </c>
      <c r="C8" s="7" t="s">
        <v>370</v>
      </c>
      <c r="D8" s="7">
        <v>2016</v>
      </c>
      <c r="E8" s="7">
        <v>7</v>
      </c>
      <c r="F8" s="7" t="s">
        <v>345</v>
      </c>
      <c r="G8" s="7" t="s">
        <v>346</v>
      </c>
      <c r="H8" s="7" t="s">
        <v>369</v>
      </c>
      <c r="K8" s="7" t="s">
        <v>402</v>
      </c>
      <c r="M8" s="7" t="s">
        <v>348</v>
      </c>
      <c r="N8" s="7" t="s">
        <v>538</v>
      </c>
      <c r="O8" s="7" t="s">
        <v>368</v>
      </c>
      <c r="P8" s="7" t="s">
        <v>367</v>
      </c>
      <c r="Q8" s="7" t="s">
        <v>230</v>
      </c>
      <c r="R8" s="7">
        <v>10</v>
      </c>
      <c r="S8" s="8">
        <v>2.31</v>
      </c>
      <c r="T8" s="8">
        <v>0</v>
      </c>
      <c r="U8" s="8">
        <v>0</v>
      </c>
      <c r="V8" s="8"/>
      <c r="W8" s="8"/>
    </row>
    <row r="9" spans="1:24" s="7" customFormat="1" x14ac:dyDescent="0.35">
      <c r="A9" s="7" t="s">
        <v>431</v>
      </c>
      <c r="B9" s="7" t="s">
        <v>371</v>
      </c>
      <c r="C9" s="7" t="s">
        <v>370</v>
      </c>
      <c r="D9" s="7">
        <v>2016</v>
      </c>
      <c r="E9" s="7">
        <v>7</v>
      </c>
      <c r="F9" s="7" t="s">
        <v>345</v>
      </c>
      <c r="G9" s="7" t="s">
        <v>346</v>
      </c>
      <c r="H9" s="7" t="s">
        <v>369</v>
      </c>
      <c r="K9" s="7" t="s">
        <v>402</v>
      </c>
      <c r="M9" s="7" t="s">
        <v>348</v>
      </c>
      <c r="N9" s="7" t="s">
        <v>538</v>
      </c>
      <c r="O9" s="7" t="s">
        <v>368</v>
      </c>
      <c r="P9" s="7" t="s">
        <v>367</v>
      </c>
      <c r="Q9" s="7" t="s">
        <v>230</v>
      </c>
      <c r="R9" s="7">
        <v>15</v>
      </c>
      <c r="S9" s="8">
        <v>2.23</v>
      </c>
      <c r="T9" s="8">
        <v>0</v>
      </c>
      <c r="U9" s="8">
        <v>0</v>
      </c>
      <c r="V9" s="8"/>
      <c r="W9" s="8"/>
    </row>
    <row r="10" spans="1:24" s="7" customFormat="1" x14ac:dyDescent="0.35">
      <c r="A10" s="7" t="s">
        <v>431</v>
      </c>
      <c r="B10" s="7" t="s">
        <v>371</v>
      </c>
      <c r="C10" s="7" t="s">
        <v>370</v>
      </c>
      <c r="D10" s="7">
        <v>2016</v>
      </c>
      <c r="E10" s="7">
        <v>7</v>
      </c>
      <c r="F10" s="7" t="s">
        <v>345</v>
      </c>
      <c r="G10" s="7" t="s">
        <v>346</v>
      </c>
      <c r="H10" s="7" t="s">
        <v>369</v>
      </c>
      <c r="K10" s="7" t="s">
        <v>402</v>
      </c>
      <c r="M10" s="7" t="s">
        <v>348</v>
      </c>
      <c r="N10" s="7" t="s">
        <v>538</v>
      </c>
      <c r="O10" s="7" t="s">
        <v>368</v>
      </c>
      <c r="P10" s="7" t="s">
        <v>367</v>
      </c>
      <c r="Q10" s="7" t="s">
        <v>230</v>
      </c>
      <c r="R10" s="7">
        <v>20</v>
      </c>
      <c r="S10" s="8">
        <v>2.39</v>
      </c>
      <c r="T10" s="8">
        <v>0</v>
      </c>
      <c r="U10" s="8">
        <v>0</v>
      </c>
      <c r="V10" s="8"/>
      <c r="W10" s="8"/>
    </row>
    <row r="11" spans="1:24" s="7" customFormat="1" x14ac:dyDescent="0.35">
      <c r="A11" s="7" t="s">
        <v>383</v>
      </c>
      <c r="B11" s="7" t="s">
        <v>384</v>
      </c>
      <c r="C11" s="7" t="s">
        <v>385</v>
      </c>
      <c r="D11" s="7">
        <v>2011</v>
      </c>
      <c r="E11" s="7">
        <v>9</v>
      </c>
      <c r="F11" s="7" t="s">
        <v>416</v>
      </c>
      <c r="G11" s="7" t="s">
        <v>346</v>
      </c>
      <c r="H11" s="7" t="s">
        <v>352</v>
      </c>
      <c r="I11" s="7" t="s">
        <v>163</v>
      </c>
      <c r="J11" s="7" t="s">
        <v>381</v>
      </c>
      <c r="K11" s="7" t="s">
        <v>402</v>
      </c>
      <c r="M11" s="7" t="s">
        <v>348</v>
      </c>
      <c r="N11" s="7" t="s">
        <v>538</v>
      </c>
      <c r="O11" s="7" t="s">
        <v>386</v>
      </c>
      <c r="P11" s="7" t="s">
        <v>182</v>
      </c>
      <c r="Q11" s="7" t="s">
        <v>230</v>
      </c>
      <c r="R11" s="7">
        <v>0</v>
      </c>
      <c r="S11" s="8">
        <v>1.07</v>
      </c>
      <c r="T11" s="8">
        <v>0</v>
      </c>
      <c r="U11" s="8">
        <v>0</v>
      </c>
      <c r="V11" s="8">
        <v>5.45</v>
      </c>
      <c r="W11" s="8"/>
    </row>
    <row r="12" spans="1:24" s="7" customFormat="1" x14ac:dyDescent="0.35">
      <c r="A12" s="7" t="s">
        <v>383</v>
      </c>
      <c r="B12" s="7" t="s">
        <v>384</v>
      </c>
      <c r="C12" s="7" t="s">
        <v>385</v>
      </c>
      <c r="D12" s="7">
        <v>2011</v>
      </c>
      <c r="E12" s="7">
        <v>9</v>
      </c>
      <c r="F12" s="7" t="s">
        <v>416</v>
      </c>
      <c r="G12" s="7" t="s">
        <v>346</v>
      </c>
      <c r="H12" s="7" t="s">
        <v>352</v>
      </c>
      <c r="I12" s="7" t="s">
        <v>163</v>
      </c>
      <c r="J12" s="7" t="s">
        <v>381</v>
      </c>
      <c r="K12" s="7" t="s">
        <v>402</v>
      </c>
      <c r="M12" s="7" t="s">
        <v>348</v>
      </c>
      <c r="N12" s="7" t="s">
        <v>538</v>
      </c>
      <c r="O12" s="7" t="s">
        <v>386</v>
      </c>
      <c r="P12" s="7" t="s">
        <v>182</v>
      </c>
      <c r="Q12" s="7" t="s">
        <v>230</v>
      </c>
      <c r="R12" s="7">
        <v>15</v>
      </c>
      <c r="S12" s="8">
        <v>1.3</v>
      </c>
      <c r="T12" s="8">
        <v>-20</v>
      </c>
      <c r="U12" s="8">
        <v>0</v>
      </c>
      <c r="V12" s="8">
        <v>5.61</v>
      </c>
      <c r="W12" s="8"/>
    </row>
    <row r="13" spans="1:24" s="7" customFormat="1" x14ac:dyDescent="0.35">
      <c r="A13" s="7" t="s">
        <v>383</v>
      </c>
      <c r="B13" s="7" t="s">
        <v>384</v>
      </c>
      <c r="C13" s="7" t="s">
        <v>385</v>
      </c>
      <c r="D13" s="7">
        <v>2011</v>
      </c>
      <c r="E13" s="7">
        <v>9</v>
      </c>
      <c r="F13" s="7" t="s">
        <v>416</v>
      </c>
      <c r="G13" s="7" t="s">
        <v>346</v>
      </c>
      <c r="H13" s="7" t="s">
        <v>352</v>
      </c>
      <c r="I13" s="7" t="s">
        <v>163</v>
      </c>
      <c r="J13" s="7" t="s">
        <v>381</v>
      </c>
      <c r="K13" s="7" t="s">
        <v>402</v>
      </c>
      <c r="M13" s="7" t="s">
        <v>348</v>
      </c>
      <c r="N13" s="7" t="s">
        <v>538</v>
      </c>
      <c r="O13" s="7" t="s">
        <v>386</v>
      </c>
      <c r="P13" s="7" t="s">
        <v>182</v>
      </c>
      <c r="Q13" s="7" t="s">
        <v>230</v>
      </c>
      <c r="R13" s="7">
        <v>30</v>
      </c>
      <c r="S13" s="8">
        <v>0.3</v>
      </c>
      <c r="T13" s="8">
        <v>-50</v>
      </c>
      <c r="U13" s="8">
        <v>0</v>
      </c>
      <c r="V13" s="8">
        <v>5.7</v>
      </c>
      <c r="W13" s="8"/>
    </row>
    <row r="14" spans="1:24" s="7" customFormat="1" x14ac:dyDescent="0.35">
      <c r="A14" s="7" t="s">
        <v>387</v>
      </c>
      <c r="B14" s="7" t="s">
        <v>355</v>
      </c>
      <c r="C14" s="7" t="s">
        <v>385</v>
      </c>
      <c r="D14" s="7">
        <v>2018</v>
      </c>
      <c r="E14" s="7">
        <v>10</v>
      </c>
      <c r="F14" s="7" t="s">
        <v>345</v>
      </c>
      <c r="G14" s="7" t="s">
        <v>346</v>
      </c>
      <c r="H14" s="7" t="s">
        <v>392</v>
      </c>
      <c r="K14" s="7" t="s">
        <v>378</v>
      </c>
      <c r="L14" s="7" t="s">
        <v>393</v>
      </c>
      <c r="M14" s="7" t="s">
        <v>348</v>
      </c>
      <c r="N14" s="7" t="s">
        <v>538</v>
      </c>
      <c r="O14" s="7" t="s">
        <v>390</v>
      </c>
      <c r="P14" s="7" t="s">
        <v>391</v>
      </c>
      <c r="Q14" s="7" t="s">
        <v>230</v>
      </c>
      <c r="R14" s="7">
        <v>0</v>
      </c>
      <c r="S14" s="8">
        <v>1.1627906976744187</v>
      </c>
      <c r="T14" s="8">
        <v>0</v>
      </c>
      <c r="U14" s="8">
        <v>0</v>
      </c>
      <c r="V14" s="8"/>
      <c r="W14" s="8"/>
    </row>
    <row r="15" spans="1:24" s="7" customFormat="1" x14ac:dyDescent="0.35">
      <c r="A15" s="7" t="s">
        <v>387</v>
      </c>
      <c r="B15" s="7" t="s">
        <v>355</v>
      </c>
      <c r="C15" s="7" t="s">
        <v>385</v>
      </c>
      <c r="D15" s="7">
        <v>2018</v>
      </c>
      <c r="E15" s="7">
        <v>10</v>
      </c>
      <c r="F15" s="7" t="s">
        <v>345</v>
      </c>
      <c r="G15" s="7" t="s">
        <v>346</v>
      </c>
      <c r="H15" s="7" t="s">
        <v>392</v>
      </c>
      <c r="K15" s="7" t="s">
        <v>378</v>
      </c>
      <c r="L15" s="7" t="s">
        <v>393</v>
      </c>
      <c r="M15" s="7" t="s">
        <v>348</v>
      </c>
      <c r="N15" s="7" t="s">
        <v>538</v>
      </c>
      <c r="O15" s="7" t="s">
        <v>390</v>
      </c>
      <c r="P15" s="7" t="s">
        <v>391</v>
      </c>
      <c r="Q15" s="7" t="s">
        <v>230</v>
      </c>
      <c r="R15" s="7">
        <v>10</v>
      </c>
      <c r="S15" s="8">
        <v>1.2345679012345678</v>
      </c>
      <c r="T15" s="8">
        <v>-10</v>
      </c>
      <c r="U15" s="8">
        <v>-10</v>
      </c>
      <c r="V15" s="8"/>
      <c r="W15" s="8"/>
    </row>
    <row r="16" spans="1:24" s="7" customFormat="1" x14ac:dyDescent="0.35">
      <c r="A16" s="7" t="s">
        <v>387</v>
      </c>
      <c r="B16" s="7" t="s">
        <v>355</v>
      </c>
      <c r="C16" s="7" t="s">
        <v>385</v>
      </c>
      <c r="D16" s="7">
        <v>2018</v>
      </c>
      <c r="E16" s="7">
        <v>10</v>
      </c>
      <c r="F16" s="7" t="s">
        <v>345</v>
      </c>
      <c r="G16" s="7" t="s">
        <v>346</v>
      </c>
      <c r="H16" s="7" t="s">
        <v>392</v>
      </c>
      <c r="K16" s="7" t="s">
        <v>378</v>
      </c>
      <c r="L16" s="7" t="s">
        <v>393</v>
      </c>
      <c r="M16" s="7" t="s">
        <v>348</v>
      </c>
      <c r="N16" s="7" t="s">
        <v>538</v>
      </c>
      <c r="O16" s="7" t="s">
        <v>390</v>
      </c>
      <c r="P16" s="7" t="s">
        <v>391</v>
      </c>
      <c r="Q16" s="7" t="s">
        <v>230</v>
      </c>
      <c r="R16" s="7">
        <v>20</v>
      </c>
      <c r="S16" s="8">
        <v>1.2658227848101264</v>
      </c>
      <c r="T16" s="8">
        <v>-22</v>
      </c>
      <c r="U16" s="8">
        <v>-20</v>
      </c>
      <c r="V16" s="8"/>
      <c r="W16" s="8"/>
    </row>
    <row r="17" spans="1:23" s="7" customFormat="1" x14ac:dyDescent="0.35">
      <c r="A17" s="7" t="s">
        <v>387</v>
      </c>
      <c r="B17" s="7" t="s">
        <v>355</v>
      </c>
      <c r="C17" s="7" t="s">
        <v>385</v>
      </c>
      <c r="D17" s="7">
        <v>2018</v>
      </c>
      <c r="E17" s="7">
        <v>10</v>
      </c>
      <c r="F17" s="7" t="s">
        <v>345</v>
      </c>
      <c r="G17" s="7" t="s">
        <v>346</v>
      </c>
      <c r="H17" s="7" t="s">
        <v>392</v>
      </c>
      <c r="K17" s="7" t="s">
        <v>378</v>
      </c>
      <c r="L17" s="7" t="s">
        <v>393</v>
      </c>
      <c r="M17" s="7" t="s">
        <v>348</v>
      </c>
      <c r="N17" s="7" t="s">
        <v>538</v>
      </c>
      <c r="O17" s="7" t="s">
        <v>390</v>
      </c>
      <c r="P17" s="7" t="s">
        <v>391</v>
      </c>
      <c r="Q17" s="7" t="s">
        <v>230</v>
      </c>
      <c r="R17" s="7">
        <v>10</v>
      </c>
      <c r="S17" s="8">
        <v>1.2195121951219512</v>
      </c>
      <c r="T17" s="8">
        <v>-10</v>
      </c>
      <c r="U17" s="8">
        <v>-10</v>
      </c>
      <c r="V17" s="8"/>
      <c r="W17" s="8"/>
    </row>
    <row r="18" spans="1:23" s="7" customFormat="1" x14ac:dyDescent="0.35">
      <c r="A18" s="7" t="s">
        <v>387</v>
      </c>
      <c r="B18" s="7" t="s">
        <v>355</v>
      </c>
      <c r="C18" s="7" t="s">
        <v>385</v>
      </c>
      <c r="D18" s="7">
        <v>2018</v>
      </c>
      <c r="E18" s="7">
        <v>11</v>
      </c>
      <c r="F18" s="7" t="s">
        <v>416</v>
      </c>
      <c r="G18" s="7" t="s">
        <v>346</v>
      </c>
      <c r="H18" s="7" t="s">
        <v>356</v>
      </c>
      <c r="I18" s="7" t="s">
        <v>163</v>
      </c>
      <c r="J18" s="7" t="s">
        <v>352</v>
      </c>
      <c r="K18" s="7" t="s">
        <v>378</v>
      </c>
      <c r="L18" s="7" t="s">
        <v>393</v>
      </c>
      <c r="M18" s="7" t="s">
        <v>348</v>
      </c>
      <c r="N18" s="7" t="s">
        <v>538</v>
      </c>
      <c r="O18" s="7" t="s">
        <v>390</v>
      </c>
      <c r="P18" s="7" t="s">
        <v>391</v>
      </c>
      <c r="Q18" s="7" t="s">
        <v>230</v>
      </c>
      <c r="R18" s="7">
        <v>0</v>
      </c>
      <c r="S18" s="8">
        <v>1.1627906976744187</v>
      </c>
      <c r="T18" s="8">
        <v>0</v>
      </c>
      <c r="U18" s="8">
        <v>0</v>
      </c>
      <c r="V18" s="8"/>
      <c r="W18" s="8"/>
    </row>
    <row r="19" spans="1:23" s="7" customFormat="1" x14ac:dyDescent="0.35">
      <c r="A19" s="7" t="s">
        <v>387</v>
      </c>
      <c r="B19" s="7" t="s">
        <v>355</v>
      </c>
      <c r="C19" s="7" t="s">
        <v>385</v>
      </c>
      <c r="D19" s="7">
        <v>2018</v>
      </c>
      <c r="E19" s="7">
        <v>11</v>
      </c>
      <c r="F19" s="7" t="s">
        <v>416</v>
      </c>
      <c r="G19" s="7" t="s">
        <v>346</v>
      </c>
      <c r="H19" s="7" t="s">
        <v>356</v>
      </c>
      <c r="I19" s="7" t="s">
        <v>163</v>
      </c>
      <c r="J19" s="7" t="s">
        <v>352</v>
      </c>
      <c r="K19" s="7" t="s">
        <v>378</v>
      </c>
      <c r="L19" s="7" t="s">
        <v>393</v>
      </c>
      <c r="M19" s="7" t="s">
        <v>348</v>
      </c>
      <c r="N19" s="7" t="s">
        <v>538</v>
      </c>
      <c r="O19" s="7" t="s">
        <v>390</v>
      </c>
      <c r="P19" s="7" t="s">
        <v>391</v>
      </c>
      <c r="Q19" s="7" t="s">
        <v>230</v>
      </c>
      <c r="R19" s="7">
        <v>10</v>
      </c>
      <c r="S19" s="8">
        <v>1.2658227848101264</v>
      </c>
      <c r="T19" s="8">
        <v>-8</v>
      </c>
      <c r="U19" s="8">
        <v>-10</v>
      </c>
      <c r="V19" s="8"/>
      <c r="W19" s="8"/>
    </row>
    <row r="20" spans="1:23" s="7" customFormat="1" x14ac:dyDescent="0.35">
      <c r="A20" s="7" t="s">
        <v>387</v>
      </c>
      <c r="B20" s="7" t="s">
        <v>355</v>
      </c>
      <c r="C20" s="7" t="s">
        <v>385</v>
      </c>
      <c r="D20" s="7">
        <v>2018</v>
      </c>
      <c r="E20" s="7">
        <v>11</v>
      </c>
      <c r="F20" s="7" t="s">
        <v>416</v>
      </c>
      <c r="G20" s="7" t="s">
        <v>346</v>
      </c>
      <c r="H20" s="7" t="s">
        <v>356</v>
      </c>
      <c r="I20" s="7" t="s">
        <v>163</v>
      </c>
      <c r="J20" s="7" t="s">
        <v>352</v>
      </c>
      <c r="K20" s="7" t="s">
        <v>378</v>
      </c>
      <c r="L20" s="7" t="s">
        <v>393</v>
      </c>
      <c r="M20" s="7" t="s">
        <v>348</v>
      </c>
      <c r="N20" s="7" t="s">
        <v>538</v>
      </c>
      <c r="O20" s="7" t="s">
        <v>390</v>
      </c>
      <c r="P20" s="7" t="s">
        <v>391</v>
      </c>
      <c r="Q20" s="7" t="s">
        <v>230</v>
      </c>
      <c r="R20" s="7">
        <v>20</v>
      </c>
      <c r="S20" s="8">
        <v>1.25</v>
      </c>
      <c r="T20" s="8">
        <v>-15</v>
      </c>
      <c r="U20" s="8">
        <v>-20</v>
      </c>
      <c r="V20" s="8"/>
      <c r="W20" s="8"/>
    </row>
    <row r="21" spans="1:23" s="7" customFormat="1" x14ac:dyDescent="0.35">
      <c r="A21" s="7" t="s">
        <v>387</v>
      </c>
      <c r="B21" s="7" t="s">
        <v>355</v>
      </c>
      <c r="C21" s="7" t="s">
        <v>385</v>
      </c>
      <c r="D21" s="7">
        <v>2018</v>
      </c>
      <c r="E21" s="7">
        <v>11</v>
      </c>
      <c r="F21" s="7" t="s">
        <v>345</v>
      </c>
      <c r="G21" s="7" t="s">
        <v>346</v>
      </c>
      <c r="H21" s="7" t="s">
        <v>356</v>
      </c>
      <c r="K21" s="7" t="s">
        <v>378</v>
      </c>
      <c r="L21" s="7" t="s">
        <v>393</v>
      </c>
      <c r="M21" s="7" t="s">
        <v>348</v>
      </c>
      <c r="N21" s="7" t="s">
        <v>538</v>
      </c>
      <c r="O21" s="7" t="s">
        <v>390</v>
      </c>
      <c r="P21" s="7" t="s">
        <v>391</v>
      </c>
      <c r="Q21" s="7" t="s">
        <v>230</v>
      </c>
      <c r="R21" s="7">
        <v>10</v>
      </c>
      <c r="S21" s="8">
        <v>1.2345679012345678</v>
      </c>
      <c r="T21" s="8">
        <v>-24</v>
      </c>
      <c r="U21" s="8">
        <v>-10</v>
      </c>
      <c r="V21" s="8"/>
      <c r="W21" s="8"/>
    </row>
    <row r="22" spans="1:23" s="7" customFormat="1" x14ac:dyDescent="0.35">
      <c r="A22" s="7" t="s">
        <v>387</v>
      </c>
      <c r="B22" s="7" t="s">
        <v>355</v>
      </c>
      <c r="C22" s="7" t="s">
        <v>385</v>
      </c>
      <c r="D22" s="7">
        <v>2018</v>
      </c>
      <c r="E22" s="7">
        <v>12</v>
      </c>
      <c r="F22" s="7" t="s">
        <v>345</v>
      </c>
      <c r="G22" s="7" t="s">
        <v>346</v>
      </c>
      <c r="H22" s="7" t="s">
        <v>382</v>
      </c>
      <c r="K22" s="7" t="s">
        <v>378</v>
      </c>
      <c r="L22" s="7" t="s">
        <v>393</v>
      </c>
      <c r="M22" s="7" t="s">
        <v>348</v>
      </c>
      <c r="N22" s="7" t="s">
        <v>538</v>
      </c>
      <c r="O22" s="7" t="s">
        <v>390</v>
      </c>
      <c r="P22" s="7" t="s">
        <v>391</v>
      </c>
      <c r="Q22" s="7" t="s">
        <v>230</v>
      </c>
      <c r="R22" s="7">
        <v>10</v>
      </c>
      <c r="S22" s="8">
        <v>1.2048192771084338</v>
      </c>
      <c r="T22" s="8">
        <v>-17</v>
      </c>
      <c r="U22" s="8">
        <v>-10</v>
      </c>
      <c r="V22" s="8"/>
      <c r="W22" s="8"/>
    </row>
    <row r="23" spans="1:23" s="7" customFormat="1" x14ac:dyDescent="0.35">
      <c r="A23" s="7" t="s">
        <v>387</v>
      </c>
      <c r="B23" s="7" t="s">
        <v>355</v>
      </c>
      <c r="C23" s="7" t="s">
        <v>385</v>
      </c>
      <c r="D23" s="7">
        <v>2018</v>
      </c>
      <c r="E23" s="7">
        <v>13</v>
      </c>
      <c r="F23" s="7" t="s">
        <v>345</v>
      </c>
      <c r="G23" s="7" t="s">
        <v>170</v>
      </c>
      <c r="K23" s="7" t="s">
        <v>378</v>
      </c>
      <c r="L23" s="7" t="s">
        <v>393</v>
      </c>
      <c r="M23" s="7" t="s">
        <v>348</v>
      </c>
      <c r="N23" s="7" t="s">
        <v>538</v>
      </c>
      <c r="O23" s="7" t="s">
        <v>390</v>
      </c>
      <c r="P23" s="7" t="s">
        <v>391</v>
      </c>
      <c r="Q23" s="7" t="s">
        <v>230</v>
      </c>
      <c r="R23" s="7">
        <v>10</v>
      </c>
      <c r="S23" s="8">
        <v>1.1764705882352942</v>
      </c>
      <c r="T23" s="8">
        <v>-4</v>
      </c>
      <c r="U23" s="8">
        <v>-10</v>
      </c>
      <c r="V23" s="8"/>
      <c r="W23" s="8"/>
    </row>
    <row r="24" spans="1:23" s="7" customFormat="1" x14ac:dyDescent="0.35">
      <c r="A24" s="7" t="s">
        <v>387</v>
      </c>
      <c r="B24" s="7" t="s">
        <v>355</v>
      </c>
      <c r="C24" s="7" t="s">
        <v>385</v>
      </c>
      <c r="D24" s="7">
        <v>2018</v>
      </c>
      <c r="E24" s="7">
        <v>14</v>
      </c>
      <c r="F24" s="7" t="s">
        <v>416</v>
      </c>
      <c r="G24" s="7" t="s">
        <v>346</v>
      </c>
      <c r="H24" s="7" t="s">
        <v>352</v>
      </c>
      <c r="I24" s="7" t="s">
        <v>163</v>
      </c>
      <c r="J24" s="7" t="s">
        <v>388</v>
      </c>
      <c r="K24" s="7" t="s">
        <v>378</v>
      </c>
      <c r="L24" s="7" t="s">
        <v>377</v>
      </c>
      <c r="M24" s="7" t="s">
        <v>348</v>
      </c>
      <c r="N24" s="7" t="s">
        <v>538</v>
      </c>
      <c r="O24" s="7" t="s">
        <v>390</v>
      </c>
      <c r="P24" s="7" t="s">
        <v>391</v>
      </c>
      <c r="Q24" s="7" t="s">
        <v>230</v>
      </c>
      <c r="R24" s="7">
        <v>15</v>
      </c>
      <c r="S24" s="8">
        <v>1.5625</v>
      </c>
      <c r="T24" s="8">
        <v>-19</v>
      </c>
      <c r="U24" s="8">
        <v>-15</v>
      </c>
      <c r="V24" s="8"/>
      <c r="W24" s="8"/>
    </row>
    <row r="25" spans="1:23" s="7" customFormat="1" x14ac:dyDescent="0.35">
      <c r="A25" s="7" t="s">
        <v>387</v>
      </c>
      <c r="B25" s="7" t="s">
        <v>355</v>
      </c>
      <c r="C25" s="7" t="s">
        <v>385</v>
      </c>
      <c r="D25" s="7">
        <v>2018</v>
      </c>
      <c r="E25" s="7">
        <v>15</v>
      </c>
      <c r="F25" s="7" t="s">
        <v>416</v>
      </c>
      <c r="G25" s="7" t="s">
        <v>346</v>
      </c>
      <c r="H25" s="7" t="s">
        <v>352</v>
      </c>
      <c r="I25" s="7" t="s">
        <v>163</v>
      </c>
      <c r="J25" s="7" t="s">
        <v>389</v>
      </c>
      <c r="K25" s="7" t="s">
        <v>378</v>
      </c>
      <c r="L25" s="7" t="s">
        <v>377</v>
      </c>
      <c r="M25" s="7" t="s">
        <v>348</v>
      </c>
      <c r="N25" s="7" t="s">
        <v>538</v>
      </c>
      <c r="O25" s="7" t="s">
        <v>390</v>
      </c>
      <c r="P25" s="7" t="s">
        <v>391</v>
      </c>
      <c r="Q25" s="7" t="s">
        <v>230</v>
      </c>
      <c r="R25" s="7">
        <v>15</v>
      </c>
      <c r="S25" s="8">
        <v>1.5873015873015872</v>
      </c>
      <c r="T25" s="8">
        <v>-12</v>
      </c>
      <c r="U25" s="8">
        <v>-15</v>
      </c>
      <c r="V25" s="8"/>
      <c r="W25" s="8"/>
    </row>
    <row r="26" spans="1:23" s="7" customFormat="1" x14ac:dyDescent="0.35">
      <c r="A26" s="7" t="s">
        <v>387</v>
      </c>
      <c r="B26" s="7" t="s">
        <v>355</v>
      </c>
      <c r="C26" s="7" t="s">
        <v>385</v>
      </c>
      <c r="D26" s="7">
        <v>2018</v>
      </c>
      <c r="E26" s="7">
        <v>16</v>
      </c>
      <c r="F26" s="7" t="s">
        <v>416</v>
      </c>
      <c r="G26" s="7" t="s">
        <v>346</v>
      </c>
      <c r="H26" s="7" t="s">
        <v>356</v>
      </c>
      <c r="I26" s="7" t="s">
        <v>163</v>
      </c>
      <c r="J26" s="7" t="s">
        <v>352</v>
      </c>
      <c r="K26" s="7" t="s">
        <v>378</v>
      </c>
      <c r="L26" s="7" t="s">
        <v>377</v>
      </c>
      <c r="M26" s="7" t="s">
        <v>348</v>
      </c>
      <c r="N26" s="7" t="s">
        <v>538</v>
      </c>
      <c r="O26" s="7" t="s">
        <v>390</v>
      </c>
      <c r="P26" s="7" t="s">
        <v>391</v>
      </c>
      <c r="Q26" s="7" t="s">
        <v>230</v>
      </c>
      <c r="R26" s="7">
        <v>15</v>
      </c>
      <c r="S26" s="8">
        <v>1.4705882352941175</v>
      </c>
      <c r="T26" s="8">
        <v>-11</v>
      </c>
      <c r="U26" s="8">
        <v>-15</v>
      </c>
      <c r="V26" s="8"/>
      <c r="W26" s="8"/>
    </row>
    <row r="27" spans="1:23" s="7" customFormat="1" x14ac:dyDescent="0.35">
      <c r="A27" s="7" t="s">
        <v>387</v>
      </c>
      <c r="B27" s="7" t="s">
        <v>355</v>
      </c>
      <c r="C27" s="7" t="s">
        <v>385</v>
      </c>
      <c r="D27" s="7">
        <v>2018</v>
      </c>
      <c r="E27" s="7">
        <v>17</v>
      </c>
      <c r="F27" s="7" t="s">
        <v>345</v>
      </c>
      <c r="G27" s="7" t="s">
        <v>170</v>
      </c>
      <c r="K27" s="7" t="s">
        <v>394</v>
      </c>
      <c r="M27" s="7" t="s">
        <v>348</v>
      </c>
      <c r="N27" s="7" t="s">
        <v>538</v>
      </c>
      <c r="O27" s="7" t="s">
        <v>390</v>
      </c>
      <c r="P27" s="7" t="s">
        <v>391</v>
      </c>
      <c r="Q27" s="7" t="s">
        <v>230</v>
      </c>
      <c r="R27" s="7">
        <v>10</v>
      </c>
      <c r="S27" s="8">
        <v>1.4705882352941175</v>
      </c>
      <c r="T27" s="8">
        <v>-4</v>
      </c>
      <c r="U27" s="8">
        <v>10</v>
      </c>
      <c r="V27" s="8"/>
      <c r="W27" s="8"/>
    </row>
    <row r="28" spans="1:23" s="7" customFormat="1" x14ac:dyDescent="0.35">
      <c r="A28" s="7" t="s">
        <v>387</v>
      </c>
      <c r="B28" s="7" t="s">
        <v>355</v>
      </c>
      <c r="C28" s="7" t="s">
        <v>385</v>
      </c>
      <c r="D28" s="7">
        <v>2018</v>
      </c>
      <c r="E28" s="7">
        <v>17</v>
      </c>
      <c r="F28" s="7" t="s">
        <v>345</v>
      </c>
      <c r="G28" s="7" t="s">
        <v>170</v>
      </c>
      <c r="K28" s="7" t="s">
        <v>378</v>
      </c>
      <c r="L28" s="7" t="s">
        <v>377</v>
      </c>
      <c r="M28" s="7" t="s">
        <v>348</v>
      </c>
      <c r="N28" s="7" t="s">
        <v>538</v>
      </c>
      <c r="O28" s="7" t="s">
        <v>390</v>
      </c>
      <c r="P28" s="7" t="s">
        <v>391</v>
      </c>
      <c r="Q28" s="7" t="s">
        <v>230</v>
      </c>
      <c r="R28" s="7">
        <v>15</v>
      </c>
      <c r="S28" s="8">
        <v>1.5873015873015872</v>
      </c>
      <c r="T28" s="8">
        <v>-5</v>
      </c>
      <c r="U28" s="8">
        <v>-15</v>
      </c>
      <c r="V28" s="8"/>
      <c r="W28" s="8"/>
    </row>
    <row r="29" spans="1:23" s="7" customFormat="1" x14ac:dyDescent="0.35">
      <c r="A29" s="7" t="s">
        <v>395</v>
      </c>
      <c r="B29" s="7" t="s">
        <v>396</v>
      </c>
      <c r="C29" s="7" t="s">
        <v>366</v>
      </c>
      <c r="D29" s="7">
        <v>2012</v>
      </c>
      <c r="E29" s="7">
        <v>18</v>
      </c>
      <c r="F29" s="7" t="s">
        <v>345</v>
      </c>
      <c r="G29" s="7" t="s">
        <v>346</v>
      </c>
      <c r="H29" s="7" t="s">
        <v>189</v>
      </c>
      <c r="K29" s="7" t="s">
        <v>402</v>
      </c>
      <c r="M29" s="7" t="s">
        <v>348</v>
      </c>
      <c r="N29" s="7" t="s">
        <v>538</v>
      </c>
      <c r="O29" s="7" t="s">
        <v>373</v>
      </c>
      <c r="P29" s="7" t="s">
        <v>374</v>
      </c>
      <c r="Q29" s="7" t="s">
        <v>230</v>
      </c>
      <c r="R29" s="7">
        <v>0</v>
      </c>
      <c r="S29" s="8">
        <v>1.35</v>
      </c>
      <c r="T29" s="8">
        <v>0</v>
      </c>
      <c r="U29" s="8">
        <v>0</v>
      </c>
      <c r="V29" s="8"/>
      <c r="W29" s="8"/>
    </row>
    <row r="30" spans="1:23" s="7" customFormat="1" x14ac:dyDescent="0.35">
      <c r="A30" s="7" t="s">
        <v>395</v>
      </c>
      <c r="B30" s="7" t="s">
        <v>396</v>
      </c>
      <c r="C30" s="7" t="s">
        <v>366</v>
      </c>
      <c r="D30" s="7">
        <v>2012</v>
      </c>
      <c r="E30" s="7">
        <v>18</v>
      </c>
      <c r="F30" s="7" t="s">
        <v>345</v>
      </c>
      <c r="G30" s="7" t="s">
        <v>346</v>
      </c>
      <c r="H30" s="7" t="s">
        <v>189</v>
      </c>
      <c r="K30" s="7" t="s">
        <v>402</v>
      </c>
      <c r="M30" s="7" t="s">
        <v>348</v>
      </c>
      <c r="N30" s="7" t="s">
        <v>538</v>
      </c>
      <c r="O30" s="7" t="s">
        <v>373</v>
      </c>
      <c r="P30" s="7" t="s">
        <v>374</v>
      </c>
      <c r="Q30" s="7" t="s">
        <v>230</v>
      </c>
      <c r="R30" s="7">
        <v>10</v>
      </c>
      <c r="S30" s="8">
        <v>1.41</v>
      </c>
      <c r="T30" s="8">
        <v>2</v>
      </c>
      <c r="U30" s="8">
        <v>-22</v>
      </c>
      <c r="V30" s="8"/>
      <c r="W30" s="8"/>
    </row>
    <row r="31" spans="1:23" s="7" customFormat="1" x14ac:dyDescent="0.35">
      <c r="A31" s="7" t="s">
        <v>395</v>
      </c>
      <c r="B31" s="7" t="s">
        <v>396</v>
      </c>
      <c r="C31" s="7" t="s">
        <v>366</v>
      </c>
      <c r="D31" s="7">
        <v>2012</v>
      </c>
      <c r="E31" s="7">
        <v>18</v>
      </c>
      <c r="F31" s="7" t="s">
        <v>345</v>
      </c>
      <c r="G31" s="7" t="s">
        <v>346</v>
      </c>
      <c r="H31" s="7" t="s">
        <v>189</v>
      </c>
      <c r="K31" s="7" t="s">
        <v>402</v>
      </c>
      <c r="M31" s="7" t="s">
        <v>348</v>
      </c>
      <c r="N31" s="7" t="s">
        <v>538</v>
      </c>
      <c r="O31" s="7" t="s">
        <v>373</v>
      </c>
      <c r="P31" s="7" t="s">
        <v>374</v>
      </c>
      <c r="Q31" s="7" t="s">
        <v>230</v>
      </c>
      <c r="R31" s="7">
        <v>20</v>
      </c>
      <c r="S31" s="8">
        <v>1.43</v>
      </c>
      <c r="T31" s="8">
        <v>3</v>
      </c>
      <c r="U31" s="8">
        <v>-45</v>
      </c>
      <c r="V31" s="8"/>
      <c r="W31" s="8"/>
    </row>
    <row r="32" spans="1:23" s="7" customFormat="1" x14ac:dyDescent="0.35">
      <c r="A32" s="7" t="s">
        <v>432</v>
      </c>
      <c r="B32" s="7" t="s">
        <v>341</v>
      </c>
      <c r="C32" s="7" t="s">
        <v>342</v>
      </c>
      <c r="D32" s="7">
        <v>2016</v>
      </c>
      <c r="E32" s="7">
        <v>1</v>
      </c>
      <c r="F32" s="7" t="s">
        <v>345</v>
      </c>
      <c r="G32" s="7" t="s">
        <v>346</v>
      </c>
      <c r="H32" s="7" t="s">
        <v>347</v>
      </c>
      <c r="K32" s="7" t="s">
        <v>402</v>
      </c>
      <c r="M32" s="7" t="s">
        <v>348</v>
      </c>
      <c r="N32" s="7" t="s">
        <v>380</v>
      </c>
      <c r="O32" s="7" t="s">
        <v>285</v>
      </c>
      <c r="P32" s="7" t="s">
        <v>349</v>
      </c>
      <c r="Q32" s="7" t="s">
        <v>350</v>
      </c>
      <c r="R32" s="7">
        <v>0</v>
      </c>
      <c r="S32" s="8">
        <v>0.81</v>
      </c>
      <c r="T32" s="8">
        <v>0</v>
      </c>
      <c r="U32" s="7">
        <v>0</v>
      </c>
      <c r="V32" s="8"/>
      <c r="W32" s="8"/>
    </row>
    <row r="33" spans="1:23" s="7" customFormat="1" x14ac:dyDescent="0.35">
      <c r="A33" s="7" t="s">
        <v>432</v>
      </c>
      <c r="B33" s="7" t="s">
        <v>341</v>
      </c>
      <c r="C33" s="7" t="s">
        <v>342</v>
      </c>
      <c r="D33" s="7">
        <v>2016</v>
      </c>
      <c r="E33" s="7">
        <v>1</v>
      </c>
      <c r="F33" s="7" t="s">
        <v>345</v>
      </c>
      <c r="G33" s="7" t="s">
        <v>346</v>
      </c>
      <c r="H33" s="7" t="s">
        <v>347</v>
      </c>
      <c r="K33" s="7" t="s">
        <v>402</v>
      </c>
      <c r="M33" s="7" t="s">
        <v>348</v>
      </c>
      <c r="N33" s="7" t="s">
        <v>380</v>
      </c>
      <c r="O33" s="7" t="s">
        <v>285</v>
      </c>
      <c r="P33" s="7" t="s">
        <v>349</v>
      </c>
      <c r="Q33" s="7" t="s">
        <v>350</v>
      </c>
      <c r="R33" s="7">
        <v>15</v>
      </c>
      <c r="S33" s="8">
        <v>0.86</v>
      </c>
      <c r="T33" s="8">
        <v>-5</v>
      </c>
      <c r="U33" s="8">
        <v>0</v>
      </c>
      <c r="V33" s="8"/>
      <c r="W33" s="8"/>
    </row>
    <row r="34" spans="1:23" s="7" customFormat="1" x14ac:dyDescent="0.35">
      <c r="A34" s="7" t="s">
        <v>432</v>
      </c>
      <c r="B34" s="7" t="s">
        <v>341</v>
      </c>
      <c r="C34" s="7" t="s">
        <v>342</v>
      </c>
      <c r="D34" s="7">
        <v>2016</v>
      </c>
      <c r="E34" s="7">
        <v>1</v>
      </c>
      <c r="F34" s="7" t="s">
        <v>345</v>
      </c>
      <c r="G34" s="7" t="s">
        <v>346</v>
      </c>
      <c r="H34" s="7" t="s">
        <v>347</v>
      </c>
      <c r="K34" s="7" t="s">
        <v>402</v>
      </c>
      <c r="M34" s="7" t="s">
        <v>348</v>
      </c>
      <c r="N34" s="7" t="s">
        <v>380</v>
      </c>
      <c r="O34" s="7" t="s">
        <v>285</v>
      </c>
      <c r="P34" s="7" t="s">
        <v>349</v>
      </c>
      <c r="Q34" s="7" t="s">
        <v>350</v>
      </c>
      <c r="R34" s="7">
        <v>25</v>
      </c>
      <c r="S34" s="8">
        <v>0.91</v>
      </c>
      <c r="T34" s="8">
        <v>-15</v>
      </c>
      <c r="U34" s="8">
        <v>0</v>
      </c>
      <c r="V34" s="8"/>
      <c r="W34" s="8"/>
    </row>
    <row r="35" spans="1:23" s="7" customFormat="1" x14ac:dyDescent="0.35">
      <c r="A35" s="7" t="s">
        <v>433</v>
      </c>
      <c r="B35" s="7" t="s">
        <v>353</v>
      </c>
      <c r="C35" s="7" t="s">
        <v>342</v>
      </c>
      <c r="D35" s="7">
        <v>2017</v>
      </c>
      <c r="E35" s="7">
        <v>2</v>
      </c>
      <c r="F35" s="7" t="s">
        <v>345</v>
      </c>
      <c r="G35" s="7" t="s">
        <v>346</v>
      </c>
      <c r="H35" s="7" t="s">
        <v>382</v>
      </c>
      <c r="K35" s="7" t="s">
        <v>402</v>
      </c>
      <c r="M35" s="7" t="s">
        <v>348</v>
      </c>
      <c r="N35" s="7" t="s">
        <v>380</v>
      </c>
      <c r="O35" s="7" t="s">
        <v>285</v>
      </c>
      <c r="P35" s="7" t="s">
        <v>349</v>
      </c>
      <c r="Q35" s="7" t="s">
        <v>354</v>
      </c>
      <c r="R35" s="7">
        <v>0</v>
      </c>
      <c r="S35" s="8">
        <v>0.81</v>
      </c>
      <c r="T35" s="8">
        <v>0</v>
      </c>
      <c r="U35" s="8">
        <v>0</v>
      </c>
      <c r="V35" s="8"/>
      <c r="W35" s="8"/>
    </row>
    <row r="36" spans="1:23" s="7" customFormat="1" x14ac:dyDescent="0.35">
      <c r="A36" s="7" t="s">
        <v>433</v>
      </c>
      <c r="B36" s="7" t="s">
        <v>353</v>
      </c>
      <c r="C36" s="7" t="s">
        <v>342</v>
      </c>
      <c r="D36" s="7">
        <v>2017</v>
      </c>
      <c r="E36" s="7">
        <v>2</v>
      </c>
      <c r="F36" s="7" t="s">
        <v>345</v>
      </c>
      <c r="G36" s="7" t="s">
        <v>346</v>
      </c>
      <c r="H36" s="7" t="s">
        <v>382</v>
      </c>
      <c r="K36" s="7" t="s">
        <v>402</v>
      </c>
      <c r="M36" s="7" t="s">
        <v>348</v>
      </c>
      <c r="N36" s="7" t="s">
        <v>380</v>
      </c>
      <c r="O36" s="7" t="s">
        <v>285</v>
      </c>
      <c r="P36" s="7" t="s">
        <v>349</v>
      </c>
      <c r="Q36" s="7" t="s">
        <v>354</v>
      </c>
      <c r="R36" s="7">
        <v>15</v>
      </c>
      <c r="S36" s="8">
        <v>0.86</v>
      </c>
      <c r="T36" s="8">
        <v>0</v>
      </c>
      <c r="U36" s="8">
        <v>0</v>
      </c>
      <c r="V36" s="8"/>
      <c r="W36" s="8"/>
    </row>
    <row r="37" spans="1:23" s="7" customFormat="1" x14ac:dyDescent="0.35">
      <c r="A37" s="7" t="s">
        <v>433</v>
      </c>
      <c r="B37" s="7" t="s">
        <v>353</v>
      </c>
      <c r="C37" s="7" t="s">
        <v>342</v>
      </c>
      <c r="D37" s="7">
        <v>2017</v>
      </c>
      <c r="E37" s="7">
        <v>2</v>
      </c>
      <c r="F37" s="7" t="s">
        <v>345</v>
      </c>
      <c r="G37" s="7" t="s">
        <v>346</v>
      </c>
      <c r="H37" s="7" t="s">
        <v>382</v>
      </c>
      <c r="K37" s="7" t="s">
        <v>402</v>
      </c>
      <c r="M37" s="7" t="s">
        <v>348</v>
      </c>
      <c r="N37" s="7" t="s">
        <v>380</v>
      </c>
      <c r="O37" s="7" t="s">
        <v>285</v>
      </c>
      <c r="P37" s="7" t="s">
        <v>349</v>
      </c>
      <c r="Q37" s="7" t="s">
        <v>354</v>
      </c>
      <c r="R37" s="7">
        <v>30</v>
      </c>
      <c r="S37" s="8">
        <v>1</v>
      </c>
      <c r="T37" s="8">
        <v>-4</v>
      </c>
      <c r="U37" s="8">
        <v>0</v>
      </c>
      <c r="V37" s="8"/>
      <c r="W37" s="8"/>
    </row>
    <row r="38" spans="1:23" s="7" customFormat="1" x14ac:dyDescent="0.35">
      <c r="A38" s="7" t="s">
        <v>433</v>
      </c>
      <c r="B38" s="7" t="s">
        <v>355</v>
      </c>
      <c r="C38" s="7" t="s">
        <v>342</v>
      </c>
      <c r="D38" s="7">
        <v>2016</v>
      </c>
      <c r="E38" s="7">
        <v>3</v>
      </c>
      <c r="F38" s="7" t="s">
        <v>345</v>
      </c>
      <c r="G38" s="7" t="s">
        <v>346</v>
      </c>
      <c r="H38" s="7" t="s">
        <v>356</v>
      </c>
      <c r="K38" s="7" t="s">
        <v>402</v>
      </c>
      <c r="M38" s="7" t="s">
        <v>348</v>
      </c>
      <c r="N38" s="7" t="s">
        <v>380</v>
      </c>
      <c r="O38" s="7" t="s">
        <v>285</v>
      </c>
      <c r="P38" s="7" t="s">
        <v>349</v>
      </c>
      <c r="Q38" s="7" t="s">
        <v>354</v>
      </c>
      <c r="R38" s="7">
        <v>0</v>
      </c>
      <c r="S38" s="8">
        <v>0.83</v>
      </c>
      <c r="T38" s="8">
        <v>0</v>
      </c>
      <c r="U38" s="8">
        <v>0</v>
      </c>
      <c r="V38" s="8"/>
      <c r="W38" s="8"/>
    </row>
    <row r="39" spans="1:23" s="7" customFormat="1" x14ac:dyDescent="0.35">
      <c r="A39" s="7" t="s">
        <v>433</v>
      </c>
      <c r="B39" s="7" t="s">
        <v>355</v>
      </c>
      <c r="C39" s="7" t="s">
        <v>342</v>
      </c>
      <c r="D39" s="7">
        <v>2016</v>
      </c>
      <c r="E39" s="7">
        <v>3</v>
      </c>
      <c r="F39" s="7" t="s">
        <v>345</v>
      </c>
      <c r="G39" s="7" t="s">
        <v>346</v>
      </c>
      <c r="H39" s="7" t="s">
        <v>356</v>
      </c>
      <c r="K39" s="7" t="s">
        <v>402</v>
      </c>
      <c r="M39" s="7" t="s">
        <v>348</v>
      </c>
      <c r="N39" s="7" t="s">
        <v>380</v>
      </c>
      <c r="O39" s="7" t="s">
        <v>285</v>
      </c>
      <c r="P39" s="7" t="s">
        <v>349</v>
      </c>
      <c r="Q39" s="7" t="s">
        <v>354</v>
      </c>
      <c r="R39" s="7">
        <v>5</v>
      </c>
      <c r="S39" s="8">
        <v>0.81</v>
      </c>
      <c r="T39" s="8">
        <v>0</v>
      </c>
      <c r="U39" s="8">
        <v>0</v>
      </c>
      <c r="V39" s="8"/>
      <c r="W39" s="8"/>
    </row>
    <row r="40" spans="1:23" s="7" customFormat="1" x14ac:dyDescent="0.35">
      <c r="A40" s="7" t="s">
        <v>433</v>
      </c>
      <c r="B40" s="7" t="s">
        <v>355</v>
      </c>
      <c r="C40" s="7" t="s">
        <v>342</v>
      </c>
      <c r="D40" s="7">
        <v>2016</v>
      </c>
      <c r="E40" s="7">
        <v>3</v>
      </c>
      <c r="F40" s="7" t="s">
        <v>345</v>
      </c>
      <c r="G40" s="7" t="s">
        <v>346</v>
      </c>
      <c r="H40" s="7" t="s">
        <v>356</v>
      </c>
      <c r="K40" s="7" t="s">
        <v>402</v>
      </c>
      <c r="M40" s="7" t="s">
        <v>348</v>
      </c>
      <c r="N40" s="7" t="s">
        <v>380</v>
      </c>
      <c r="O40" s="7" t="s">
        <v>285</v>
      </c>
      <c r="P40" s="7" t="s">
        <v>349</v>
      </c>
      <c r="Q40" s="7" t="s">
        <v>354</v>
      </c>
      <c r="R40" s="7">
        <v>10</v>
      </c>
      <c r="S40" s="8">
        <v>0.82</v>
      </c>
      <c r="T40" s="8">
        <v>0</v>
      </c>
      <c r="U40" s="8">
        <v>0</v>
      </c>
      <c r="V40" s="8"/>
      <c r="W40" s="8"/>
    </row>
    <row r="41" spans="1:23" s="7" customFormat="1" x14ac:dyDescent="0.35">
      <c r="A41" s="7" t="s">
        <v>357</v>
      </c>
      <c r="B41" s="7" t="s">
        <v>358</v>
      </c>
      <c r="C41" s="7" t="s">
        <v>342</v>
      </c>
      <c r="D41" s="7">
        <v>2015</v>
      </c>
      <c r="E41" s="7">
        <v>4</v>
      </c>
      <c r="F41" s="7" t="s">
        <v>345</v>
      </c>
      <c r="G41" s="7" t="s">
        <v>346</v>
      </c>
      <c r="H41" s="7" t="s">
        <v>360</v>
      </c>
      <c r="K41" s="7" t="s">
        <v>402</v>
      </c>
      <c r="M41" s="7" t="s">
        <v>359</v>
      </c>
      <c r="N41" s="7" t="s">
        <v>380</v>
      </c>
      <c r="O41" s="7" t="s">
        <v>285</v>
      </c>
      <c r="P41" s="7" t="s">
        <v>349</v>
      </c>
      <c r="Q41" s="7" t="s">
        <v>350</v>
      </c>
      <c r="R41" s="7">
        <v>0</v>
      </c>
      <c r="S41" s="8">
        <v>0.78</v>
      </c>
      <c r="T41" s="8">
        <v>0</v>
      </c>
      <c r="U41" s="8">
        <v>0</v>
      </c>
      <c r="V41" s="8">
        <v>1.8351648351648351</v>
      </c>
      <c r="W41" s="8"/>
    </row>
    <row r="42" spans="1:23" s="7" customFormat="1" x14ac:dyDescent="0.35">
      <c r="A42" s="7" t="s">
        <v>357</v>
      </c>
      <c r="B42" s="7" t="s">
        <v>358</v>
      </c>
      <c r="C42" s="7" t="s">
        <v>342</v>
      </c>
      <c r="D42" s="7">
        <v>2015</v>
      </c>
      <c r="E42" s="7">
        <v>4</v>
      </c>
      <c r="F42" s="7" t="s">
        <v>345</v>
      </c>
      <c r="G42" s="7" t="s">
        <v>346</v>
      </c>
      <c r="H42" s="7" t="s">
        <v>360</v>
      </c>
      <c r="K42" s="7" t="s">
        <v>402</v>
      </c>
      <c r="M42" s="7" t="s">
        <v>359</v>
      </c>
      <c r="N42" s="7" t="s">
        <v>380</v>
      </c>
      <c r="O42" s="7" t="s">
        <v>285</v>
      </c>
      <c r="P42" s="7" t="s">
        <v>349</v>
      </c>
      <c r="Q42" s="7" t="s">
        <v>350</v>
      </c>
      <c r="R42" s="7">
        <v>3</v>
      </c>
      <c r="S42" s="8">
        <v>0.83</v>
      </c>
      <c r="T42" s="8">
        <v>0</v>
      </c>
      <c r="U42" s="8">
        <v>-2</v>
      </c>
      <c r="V42" s="8">
        <v>1.875</v>
      </c>
      <c r="W42" s="8"/>
    </row>
    <row r="43" spans="1:23" s="7" customFormat="1" x14ac:dyDescent="0.35">
      <c r="A43" s="7" t="s">
        <v>357</v>
      </c>
      <c r="B43" s="7" t="s">
        <v>358</v>
      </c>
      <c r="C43" s="7" t="s">
        <v>342</v>
      </c>
      <c r="D43" s="7">
        <v>2015</v>
      </c>
      <c r="E43" s="7">
        <v>4</v>
      </c>
      <c r="F43" s="7" t="s">
        <v>345</v>
      </c>
      <c r="G43" s="7" t="s">
        <v>346</v>
      </c>
      <c r="H43" s="7" t="s">
        <v>360</v>
      </c>
      <c r="K43" s="7" t="s">
        <v>402</v>
      </c>
      <c r="M43" s="7" t="s">
        <v>359</v>
      </c>
      <c r="N43" s="7" t="s">
        <v>380</v>
      </c>
      <c r="O43" s="7" t="s">
        <v>285</v>
      </c>
      <c r="P43" s="7" t="s">
        <v>349</v>
      </c>
      <c r="Q43" s="7" t="s">
        <v>350</v>
      </c>
      <c r="R43" s="7">
        <v>20</v>
      </c>
      <c r="S43" s="8">
        <v>0.88</v>
      </c>
      <c r="T43" s="8">
        <v>-100</v>
      </c>
      <c r="U43" s="8">
        <v>-11</v>
      </c>
      <c r="V43" s="8">
        <v>2.0111111111111111</v>
      </c>
      <c r="W43" s="8"/>
    </row>
    <row r="44" spans="1:23" s="7" customFormat="1" x14ac:dyDescent="0.35">
      <c r="A44" s="7" t="s">
        <v>357</v>
      </c>
      <c r="B44" s="7" t="s">
        <v>358</v>
      </c>
      <c r="C44" s="7" t="s">
        <v>342</v>
      </c>
      <c r="D44" s="7">
        <v>2015</v>
      </c>
      <c r="E44" s="7">
        <v>4</v>
      </c>
      <c r="F44" s="7" t="s">
        <v>345</v>
      </c>
      <c r="G44" s="7" t="s">
        <v>346</v>
      </c>
      <c r="H44" s="7" t="s">
        <v>360</v>
      </c>
      <c r="K44" s="7" t="s">
        <v>402</v>
      </c>
      <c r="M44" s="7" t="s">
        <v>359</v>
      </c>
      <c r="N44" s="7" t="s">
        <v>380</v>
      </c>
      <c r="O44" s="7" t="s">
        <v>285</v>
      </c>
      <c r="P44" s="7" t="s">
        <v>349</v>
      </c>
      <c r="Q44" s="7" t="s">
        <v>350</v>
      </c>
      <c r="R44" s="7">
        <v>100</v>
      </c>
      <c r="S44" s="8">
        <v>0.83</v>
      </c>
      <c r="T44" s="8">
        <v>0</v>
      </c>
      <c r="U44" s="8">
        <v>1</v>
      </c>
      <c r="V44" s="8">
        <v>1.2250000000000001</v>
      </c>
      <c r="W44" s="8"/>
    </row>
    <row r="45" spans="1:23" s="7" customFormat="1" x14ac:dyDescent="0.35">
      <c r="A45" s="7" t="s">
        <v>362</v>
      </c>
      <c r="B45" s="7" t="s">
        <v>363</v>
      </c>
      <c r="C45" s="7" t="s">
        <v>549</v>
      </c>
      <c r="D45" s="7">
        <v>2007</v>
      </c>
      <c r="E45" s="7">
        <v>5</v>
      </c>
      <c r="F45" s="7" t="s">
        <v>345</v>
      </c>
      <c r="G45" s="7" t="s">
        <v>346</v>
      </c>
      <c r="H45" s="7" t="s">
        <v>360</v>
      </c>
      <c r="K45" s="7" t="s">
        <v>402</v>
      </c>
      <c r="M45" s="7" t="s">
        <v>359</v>
      </c>
      <c r="N45" s="7" t="s">
        <v>380</v>
      </c>
      <c r="O45" s="7" t="s">
        <v>285</v>
      </c>
      <c r="P45" s="7" t="s">
        <v>349</v>
      </c>
      <c r="Q45" s="7" t="s">
        <v>361</v>
      </c>
      <c r="R45" s="7">
        <v>0</v>
      </c>
      <c r="S45" s="8">
        <v>1.52</v>
      </c>
      <c r="T45" s="8">
        <v>0</v>
      </c>
      <c r="U45" s="8">
        <v>0</v>
      </c>
      <c r="V45" s="8">
        <v>4.4000000000000004</v>
      </c>
      <c r="W45" s="8"/>
    </row>
    <row r="46" spans="1:23" s="7" customFormat="1" x14ac:dyDescent="0.35">
      <c r="A46" s="7" t="s">
        <v>362</v>
      </c>
      <c r="B46" s="7" t="s">
        <v>363</v>
      </c>
      <c r="C46" s="7" t="s">
        <v>549</v>
      </c>
      <c r="D46" s="7">
        <v>2007</v>
      </c>
      <c r="E46" s="7">
        <v>5</v>
      </c>
      <c r="F46" s="7" t="s">
        <v>345</v>
      </c>
      <c r="G46" s="7" t="s">
        <v>346</v>
      </c>
      <c r="H46" s="7" t="s">
        <v>360</v>
      </c>
      <c r="K46" s="7" t="s">
        <v>402</v>
      </c>
      <c r="M46" s="7" t="s">
        <v>359</v>
      </c>
      <c r="N46" s="7" t="s">
        <v>380</v>
      </c>
      <c r="O46" s="7" t="s">
        <v>285</v>
      </c>
      <c r="P46" s="7" t="s">
        <v>349</v>
      </c>
      <c r="Q46" s="7" t="s">
        <v>361</v>
      </c>
      <c r="R46" s="7">
        <v>100</v>
      </c>
      <c r="S46" s="8">
        <v>1.72</v>
      </c>
      <c r="T46" s="8">
        <v>0</v>
      </c>
      <c r="U46" s="8">
        <v>0</v>
      </c>
      <c r="V46" s="8">
        <v>2.6</v>
      </c>
      <c r="W46" s="8"/>
    </row>
    <row r="47" spans="1:23" s="7" customFormat="1" x14ac:dyDescent="0.35">
      <c r="A47" s="7" t="s">
        <v>364</v>
      </c>
      <c r="B47" s="7" t="s">
        <v>365</v>
      </c>
      <c r="C47" s="7" t="s">
        <v>548</v>
      </c>
      <c r="D47" s="7">
        <v>2015</v>
      </c>
      <c r="E47" s="7">
        <v>6</v>
      </c>
      <c r="F47" s="7" t="s">
        <v>345</v>
      </c>
      <c r="G47" s="7" t="s">
        <v>346</v>
      </c>
      <c r="H47" s="7" t="s">
        <v>360</v>
      </c>
      <c r="K47" s="7" t="s">
        <v>402</v>
      </c>
      <c r="M47" s="7" t="s">
        <v>359</v>
      </c>
      <c r="N47" s="7" t="s">
        <v>380</v>
      </c>
      <c r="O47" s="7" t="s">
        <v>285</v>
      </c>
      <c r="P47" s="7" t="s">
        <v>349</v>
      </c>
      <c r="Q47" s="7" t="s">
        <v>354</v>
      </c>
      <c r="R47" s="7">
        <v>0</v>
      </c>
      <c r="S47" s="8">
        <v>1.28</v>
      </c>
      <c r="T47" s="8">
        <v>0</v>
      </c>
      <c r="U47" s="8">
        <v>0</v>
      </c>
      <c r="V47" s="8">
        <v>2.7</v>
      </c>
      <c r="W47" s="8"/>
    </row>
    <row r="48" spans="1:23" s="7" customFormat="1" x14ac:dyDescent="0.35">
      <c r="A48" s="7" t="s">
        <v>364</v>
      </c>
      <c r="B48" s="7" t="s">
        <v>365</v>
      </c>
      <c r="C48" s="7" t="s">
        <v>548</v>
      </c>
      <c r="D48" s="7">
        <v>2015</v>
      </c>
      <c r="E48" s="7">
        <v>6</v>
      </c>
      <c r="F48" s="7" t="s">
        <v>345</v>
      </c>
      <c r="G48" s="7" t="s">
        <v>346</v>
      </c>
      <c r="H48" s="7" t="s">
        <v>360</v>
      </c>
      <c r="K48" s="7" t="s">
        <v>402</v>
      </c>
      <c r="M48" s="7" t="s">
        <v>359</v>
      </c>
      <c r="N48" s="7" t="s">
        <v>380</v>
      </c>
      <c r="O48" s="7" t="s">
        <v>285</v>
      </c>
      <c r="P48" s="7" t="s">
        <v>349</v>
      </c>
      <c r="Q48" s="7" t="s">
        <v>354</v>
      </c>
      <c r="R48" s="7">
        <v>100</v>
      </c>
      <c r="S48" s="8">
        <v>1.42</v>
      </c>
      <c r="T48" s="8">
        <v>-4</v>
      </c>
      <c r="U48" s="8">
        <v>47</v>
      </c>
      <c r="V48" s="8">
        <v>1.1000000000000001</v>
      </c>
      <c r="W48" s="8"/>
    </row>
    <row r="49" spans="1:23" s="7" customFormat="1" x14ac:dyDescent="0.35">
      <c r="A49" s="7" t="s">
        <v>364</v>
      </c>
      <c r="B49" s="7" t="s">
        <v>365</v>
      </c>
      <c r="C49" s="7" t="s">
        <v>548</v>
      </c>
      <c r="D49" s="7">
        <v>2015</v>
      </c>
      <c r="E49" s="7">
        <v>6</v>
      </c>
      <c r="F49" s="7" t="s">
        <v>345</v>
      </c>
      <c r="G49" s="7" t="s">
        <v>346</v>
      </c>
      <c r="H49" s="7" t="s">
        <v>360</v>
      </c>
      <c r="K49" s="7" t="s">
        <v>402</v>
      </c>
      <c r="M49" s="7" t="s">
        <v>359</v>
      </c>
      <c r="N49" s="7" t="s">
        <v>380</v>
      </c>
      <c r="O49" s="7" t="s">
        <v>285</v>
      </c>
      <c r="P49" s="7" t="s">
        <v>349</v>
      </c>
      <c r="Q49" s="7" t="s">
        <v>354</v>
      </c>
      <c r="R49" s="7">
        <v>100</v>
      </c>
      <c r="S49" s="8">
        <v>1.4</v>
      </c>
      <c r="T49" s="8">
        <v>-4</v>
      </c>
      <c r="U49" s="8">
        <v>63</v>
      </c>
      <c r="V49" s="8">
        <v>1.1000000000000001</v>
      </c>
      <c r="W49" s="8"/>
    </row>
    <row r="50" spans="1:23" s="7" customFormat="1" x14ac:dyDescent="0.35">
      <c r="A50" s="7" t="s">
        <v>397</v>
      </c>
      <c r="B50" s="7" t="s">
        <v>398</v>
      </c>
      <c r="C50" s="7" t="s">
        <v>399</v>
      </c>
      <c r="D50" s="7">
        <v>2013</v>
      </c>
      <c r="E50" s="7">
        <v>18</v>
      </c>
      <c r="F50" s="7" t="s">
        <v>400</v>
      </c>
      <c r="G50" s="7" t="s">
        <v>346</v>
      </c>
      <c r="H50" s="7" t="s">
        <v>327</v>
      </c>
      <c r="K50" s="7" t="s">
        <v>402</v>
      </c>
      <c r="M50" s="7" t="s">
        <v>359</v>
      </c>
      <c r="N50" s="7" t="s">
        <v>538</v>
      </c>
      <c r="O50" s="7" t="s">
        <v>95</v>
      </c>
      <c r="P50" s="7" t="s">
        <v>401</v>
      </c>
      <c r="Q50" s="7" t="s">
        <v>230</v>
      </c>
      <c r="R50" s="7">
        <v>0</v>
      </c>
      <c r="S50" s="8"/>
      <c r="T50" s="8">
        <v>0</v>
      </c>
      <c r="U50" s="8">
        <v>0</v>
      </c>
      <c r="V50" s="8">
        <v>2.4310344827586206</v>
      </c>
      <c r="W50" s="8"/>
    </row>
    <row r="51" spans="1:23" s="7" customFormat="1" x14ac:dyDescent="0.35">
      <c r="A51" s="7" t="s">
        <v>397</v>
      </c>
      <c r="B51" s="7" t="s">
        <v>398</v>
      </c>
      <c r="C51" s="7" t="s">
        <v>399</v>
      </c>
      <c r="D51" s="7">
        <v>2013</v>
      </c>
      <c r="E51" s="7">
        <v>18</v>
      </c>
      <c r="F51" s="7" t="s">
        <v>400</v>
      </c>
      <c r="G51" s="7" t="s">
        <v>346</v>
      </c>
      <c r="H51" s="7" t="s">
        <v>327</v>
      </c>
      <c r="K51" s="7" t="s">
        <v>394</v>
      </c>
      <c r="M51" s="7" t="s">
        <v>359</v>
      </c>
      <c r="N51" s="7" t="s">
        <v>538</v>
      </c>
      <c r="O51" s="7" t="s">
        <v>95</v>
      </c>
      <c r="P51" s="7" t="s">
        <v>401</v>
      </c>
      <c r="Q51" s="7" t="s">
        <v>230</v>
      </c>
      <c r="R51" s="7">
        <v>100</v>
      </c>
      <c r="S51" s="8"/>
      <c r="T51" s="8">
        <v>-10</v>
      </c>
      <c r="U51" s="8">
        <v>0</v>
      </c>
      <c r="V51" s="8">
        <v>5.5167785234899336</v>
      </c>
      <c r="W51" s="8"/>
    </row>
    <row r="52" spans="1:23" s="7" customFormat="1" x14ac:dyDescent="0.35">
      <c r="A52" s="7" t="s">
        <v>397</v>
      </c>
      <c r="B52" s="7" t="s">
        <v>398</v>
      </c>
      <c r="C52" s="7" t="s">
        <v>399</v>
      </c>
      <c r="D52" s="7">
        <v>2013</v>
      </c>
      <c r="E52" s="7">
        <v>18</v>
      </c>
      <c r="F52" s="7" t="s">
        <v>400</v>
      </c>
      <c r="G52" s="7" t="s">
        <v>346</v>
      </c>
      <c r="H52" s="7" t="s">
        <v>327</v>
      </c>
      <c r="K52" s="7" t="s">
        <v>378</v>
      </c>
      <c r="M52" s="7" t="s">
        <v>359</v>
      </c>
      <c r="N52" s="7" t="s">
        <v>538</v>
      </c>
      <c r="O52" s="7" t="s">
        <v>95</v>
      </c>
      <c r="P52" s="7" t="s">
        <v>401</v>
      </c>
      <c r="Q52" s="7" t="s">
        <v>230</v>
      </c>
      <c r="R52" s="7">
        <v>4</v>
      </c>
      <c r="S52" s="8"/>
      <c r="T52" s="8">
        <v>-5</v>
      </c>
      <c r="U52" s="8">
        <v>0</v>
      </c>
      <c r="V52" s="8">
        <v>2.0705128205128203</v>
      </c>
      <c r="W52" s="8"/>
    </row>
    <row r="53" spans="1:23" s="7" customFormat="1" x14ac:dyDescent="0.35">
      <c r="A53" s="7" t="s">
        <v>397</v>
      </c>
      <c r="B53" s="7" t="s">
        <v>398</v>
      </c>
      <c r="C53" s="7" t="s">
        <v>399</v>
      </c>
      <c r="D53" s="7">
        <v>2013</v>
      </c>
      <c r="E53" s="7">
        <v>18</v>
      </c>
      <c r="F53" s="7" t="s">
        <v>400</v>
      </c>
      <c r="G53" s="7" t="s">
        <v>346</v>
      </c>
      <c r="H53" s="7" t="s">
        <v>327</v>
      </c>
      <c r="K53" s="7" t="s">
        <v>378</v>
      </c>
      <c r="M53" s="7" t="s">
        <v>359</v>
      </c>
      <c r="N53" s="7" t="s">
        <v>538</v>
      </c>
      <c r="O53" s="7" t="s">
        <v>95</v>
      </c>
      <c r="P53" s="7" t="s">
        <v>401</v>
      </c>
      <c r="Q53" s="7" t="s">
        <v>230</v>
      </c>
      <c r="R53" s="7">
        <v>100</v>
      </c>
      <c r="S53" s="8"/>
      <c r="T53" s="8">
        <v>-12</v>
      </c>
      <c r="U53" s="8">
        <v>0</v>
      </c>
      <c r="V53" s="8">
        <v>3.8521739130434782</v>
      </c>
      <c r="W53" s="8"/>
    </row>
    <row r="54" spans="1:23" s="7" customFormat="1" x14ac:dyDescent="0.35">
      <c r="A54" s="7" t="s">
        <v>397</v>
      </c>
      <c r="B54" s="7" t="s">
        <v>398</v>
      </c>
      <c r="C54" s="7" t="s">
        <v>399</v>
      </c>
      <c r="D54" s="7">
        <v>2013</v>
      </c>
      <c r="E54" s="7">
        <v>18</v>
      </c>
      <c r="F54" s="7" t="s">
        <v>400</v>
      </c>
      <c r="G54" s="7" t="s">
        <v>346</v>
      </c>
      <c r="H54" s="7" t="s">
        <v>327</v>
      </c>
      <c r="K54" s="7" t="s">
        <v>378</v>
      </c>
      <c r="M54" s="7" t="s">
        <v>359</v>
      </c>
      <c r="N54" s="7" t="s">
        <v>538</v>
      </c>
      <c r="O54" s="7" t="s">
        <v>95</v>
      </c>
      <c r="P54" s="7" t="s">
        <v>401</v>
      </c>
      <c r="Q54" s="7" t="s">
        <v>230</v>
      </c>
      <c r="R54" s="7">
        <v>100</v>
      </c>
      <c r="S54" s="8"/>
      <c r="T54" s="8">
        <v>-11</v>
      </c>
      <c r="U54" s="8">
        <v>0</v>
      </c>
      <c r="V54" s="8">
        <v>4.3144329896907214</v>
      </c>
      <c r="W54" s="8"/>
    </row>
    <row r="55" spans="1:23" s="7" customFormat="1" x14ac:dyDescent="0.35">
      <c r="A55" s="7" t="s">
        <v>434</v>
      </c>
      <c r="B55" s="7" t="s">
        <v>403</v>
      </c>
      <c r="C55" s="7" t="s">
        <v>404</v>
      </c>
      <c r="D55" s="7">
        <v>2016</v>
      </c>
      <c r="E55" s="7">
        <v>19</v>
      </c>
      <c r="F55" s="7" t="s">
        <v>345</v>
      </c>
      <c r="G55" s="7" t="s">
        <v>346</v>
      </c>
      <c r="H55" s="7" t="s">
        <v>369</v>
      </c>
      <c r="K55" s="7" t="s">
        <v>327</v>
      </c>
      <c r="M55" s="7" t="s">
        <v>348</v>
      </c>
      <c r="N55" s="7" t="s">
        <v>31</v>
      </c>
      <c r="O55" s="7" t="s">
        <v>32</v>
      </c>
      <c r="P55" s="7" t="s">
        <v>405</v>
      </c>
      <c r="Q55" s="7" t="s">
        <v>230</v>
      </c>
      <c r="R55" s="7">
        <v>0</v>
      </c>
      <c r="S55" s="8">
        <v>1.1399999999999999</v>
      </c>
      <c r="T55" s="8">
        <v>0</v>
      </c>
      <c r="U55" s="8">
        <v>0</v>
      </c>
      <c r="V55" s="8"/>
      <c r="W55" s="8"/>
    </row>
    <row r="56" spans="1:23" s="7" customFormat="1" x14ac:dyDescent="0.35">
      <c r="A56" s="7" t="s">
        <v>434</v>
      </c>
      <c r="B56" s="7" t="s">
        <v>403</v>
      </c>
      <c r="C56" s="7" t="s">
        <v>404</v>
      </c>
      <c r="D56" s="7">
        <v>2016</v>
      </c>
      <c r="E56" s="7">
        <v>19</v>
      </c>
      <c r="F56" s="7" t="s">
        <v>345</v>
      </c>
      <c r="G56" s="7" t="s">
        <v>346</v>
      </c>
      <c r="H56" s="7" t="s">
        <v>369</v>
      </c>
      <c r="K56" s="7" t="s">
        <v>327</v>
      </c>
      <c r="M56" s="7" t="s">
        <v>348</v>
      </c>
      <c r="N56" s="7" t="s">
        <v>31</v>
      </c>
      <c r="O56" s="7" t="s">
        <v>32</v>
      </c>
      <c r="P56" s="7" t="s">
        <v>405</v>
      </c>
      <c r="Q56" s="7" t="s">
        <v>230</v>
      </c>
      <c r="R56" s="7">
        <v>10</v>
      </c>
      <c r="S56" s="8">
        <v>1.21</v>
      </c>
      <c r="T56" s="8">
        <v>0</v>
      </c>
      <c r="U56" s="8">
        <v>0</v>
      </c>
      <c r="V56" s="8"/>
      <c r="W56" s="8"/>
    </row>
    <row r="57" spans="1:23" s="7" customFormat="1" x14ac:dyDescent="0.35">
      <c r="A57" s="7" t="s">
        <v>434</v>
      </c>
      <c r="B57" s="7" t="s">
        <v>403</v>
      </c>
      <c r="C57" s="7" t="s">
        <v>404</v>
      </c>
      <c r="D57" s="7">
        <v>2016</v>
      </c>
      <c r="E57" s="7">
        <v>19</v>
      </c>
      <c r="F57" s="7" t="s">
        <v>345</v>
      </c>
      <c r="G57" s="7" t="s">
        <v>346</v>
      </c>
      <c r="H57" s="7" t="s">
        <v>369</v>
      </c>
      <c r="K57" s="7" t="s">
        <v>327</v>
      </c>
      <c r="M57" s="7" t="s">
        <v>348</v>
      </c>
      <c r="N57" s="7" t="s">
        <v>31</v>
      </c>
      <c r="O57" s="7" t="s">
        <v>32</v>
      </c>
      <c r="P57" s="7" t="s">
        <v>405</v>
      </c>
      <c r="Q57" s="7" t="s">
        <v>230</v>
      </c>
      <c r="R57" s="7">
        <v>20</v>
      </c>
      <c r="S57" s="8">
        <v>1.59</v>
      </c>
      <c r="T57" s="8">
        <v>0</v>
      </c>
      <c r="U57" s="8">
        <v>0</v>
      </c>
      <c r="V57" s="8"/>
      <c r="W57" s="8"/>
    </row>
    <row r="58" spans="1:23" s="7" customFormat="1" x14ac:dyDescent="0.35">
      <c r="A58" s="7" t="s">
        <v>434</v>
      </c>
      <c r="B58" s="7" t="s">
        <v>403</v>
      </c>
      <c r="C58" s="7" t="s">
        <v>404</v>
      </c>
      <c r="D58" s="7">
        <v>2016</v>
      </c>
      <c r="E58" s="7">
        <v>19</v>
      </c>
      <c r="F58" s="7" t="s">
        <v>345</v>
      </c>
      <c r="G58" s="7" t="s">
        <v>346</v>
      </c>
      <c r="H58" s="7" t="s">
        <v>369</v>
      </c>
      <c r="K58" s="7" t="s">
        <v>327</v>
      </c>
      <c r="M58" s="7" t="s">
        <v>348</v>
      </c>
      <c r="N58" s="7" t="s">
        <v>31</v>
      </c>
      <c r="O58" s="7" t="s">
        <v>32</v>
      </c>
      <c r="P58" s="7" t="s">
        <v>405</v>
      </c>
      <c r="Q58" s="7" t="s">
        <v>230</v>
      </c>
      <c r="R58" s="7">
        <v>30</v>
      </c>
      <c r="S58" s="8">
        <v>1.76</v>
      </c>
      <c r="T58" s="8">
        <v>0</v>
      </c>
      <c r="U58" s="8">
        <v>0</v>
      </c>
      <c r="V58" s="8"/>
      <c r="W58" s="8"/>
    </row>
    <row r="59" spans="1:23" s="7" customFormat="1" x14ac:dyDescent="0.35">
      <c r="A59" s="7" t="s">
        <v>435</v>
      </c>
      <c r="B59" s="7" t="s">
        <v>403</v>
      </c>
      <c r="C59" s="7" t="s">
        <v>404</v>
      </c>
      <c r="D59" s="7">
        <v>2016</v>
      </c>
      <c r="E59" s="7">
        <v>20</v>
      </c>
      <c r="F59" s="7" t="s">
        <v>345</v>
      </c>
      <c r="G59" s="7" t="s">
        <v>346</v>
      </c>
      <c r="H59" s="7" t="s">
        <v>406</v>
      </c>
      <c r="K59" s="7" t="s">
        <v>327</v>
      </c>
      <c r="M59" s="7" t="s">
        <v>348</v>
      </c>
      <c r="N59" s="7" t="s">
        <v>31</v>
      </c>
      <c r="O59" s="7" t="s">
        <v>32</v>
      </c>
      <c r="P59" s="7" t="s">
        <v>405</v>
      </c>
      <c r="Q59" s="7" t="s">
        <v>230</v>
      </c>
      <c r="R59" s="7">
        <v>0</v>
      </c>
      <c r="S59" s="8">
        <v>0.74</v>
      </c>
      <c r="T59" s="8">
        <v>0</v>
      </c>
      <c r="U59" s="8">
        <v>0</v>
      </c>
      <c r="V59" s="8"/>
      <c r="W59" s="8"/>
    </row>
    <row r="60" spans="1:23" s="7" customFormat="1" x14ac:dyDescent="0.35">
      <c r="A60" s="7" t="s">
        <v>435</v>
      </c>
      <c r="B60" s="7" t="s">
        <v>403</v>
      </c>
      <c r="C60" s="7" t="s">
        <v>404</v>
      </c>
      <c r="D60" s="7">
        <v>2016</v>
      </c>
      <c r="E60" s="7">
        <v>20</v>
      </c>
      <c r="F60" s="7" t="s">
        <v>345</v>
      </c>
      <c r="G60" s="7" t="s">
        <v>346</v>
      </c>
      <c r="H60" s="7" t="s">
        <v>406</v>
      </c>
      <c r="K60" s="7" t="s">
        <v>327</v>
      </c>
      <c r="M60" s="7" t="s">
        <v>348</v>
      </c>
      <c r="N60" s="7" t="s">
        <v>31</v>
      </c>
      <c r="O60" s="7" t="s">
        <v>32</v>
      </c>
      <c r="P60" s="7" t="s">
        <v>405</v>
      </c>
      <c r="Q60" s="7" t="s">
        <v>230</v>
      </c>
      <c r="R60" s="7">
        <v>10</v>
      </c>
      <c r="S60" s="8">
        <v>0.78</v>
      </c>
      <c r="T60" s="8">
        <v>0</v>
      </c>
      <c r="U60" s="8">
        <v>0</v>
      </c>
      <c r="V60" s="8"/>
      <c r="W60" s="8"/>
    </row>
    <row r="61" spans="1:23" s="7" customFormat="1" x14ac:dyDescent="0.35">
      <c r="A61" s="7" t="s">
        <v>435</v>
      </c>
      <c r="B61" s="7" t="s">
        <v>403</v>
      </c>
      <c r="C61" s="7" t="s">
        <v>404</v>
      </c>
      <c r="D61" s="7">
        <v>2016</v>
      </c>
      <c r="E61" s="7">
        <v>20</v>
      </c>
      <c r="F61" s="7" t="s">
        <v>345</v>
      </c>
      <c r="G61" s="7" t="s">
        <v>346</v>
      </c>
      <c r="H61" s="7" t="s">
        <v>406</v>
      </c>
      <c r="K61" s="7" t="s">
        <v>327</v>
      </c>
      <c r="M61" s="7" t="s">
        <v>348</v>
      </c>
      <c r="N61" s="7" t="s">
        <v>31</v>
      </c>
      <c r="O61" s="7" t="s">
        <v>32</v>
      </c>
      <c r="P61" s="7" t="s">
        <v>405</v>
      </c>
      <c r="Q61" s="7" t="s">
        <v>230</v>
      </c>
      <c r="R61" s="7">
        <v>20</v>
      </c>
      <c r="S61" s="8">
        <v>1.02</v>
      </c>
      <c r="T61" s="8">
        <v>0</v>
      </c>
      <c r="U61" s="8">
        <v>0</v>
      </c>
      <c r="V61" s="8"/>
      <c r="W61" s="8"/>
    </row>
    <row r="62" spans="1:23" s="7" customFormat="1" x14ac:dyDescent="0.35">
      <c r="A62" s="7" t="s">
        <v>435</v>
      </c>
      <c r="B62" s="7" t="s">
        <v>403</v>
      </c>
      <c r="C62" s="7" t="s">
        <v>404</v>
      </c>
      <c r="D62" s="7">
        <v>2016</v>
      </c>
      <c r="E62" s="7">
        <v>20</v>
      </c>
      <c r="F62" s="7" t="s">
        <v>345</v>
      </c>
      <c r="G62" s="7" t="s">
        <v>346</v>
      </c>
      <c r="H62" s="7" t="s">
        <v>406</v>
      </c>
      <c r="K62" s="7" t="s">
        <v>327</v>
      </c>
      <c r="M62" s="7" t="s">
        <v>348</v>
      </c>
      <c r="N62" s="7" t="s">
        <v>31</v>
      </c>
      <c r="O62" s="7" t="s">
        <v>32</v>
      </c>
      <c r="P62" s="7" t="s">
        <v>405</v>
      </c>
      <c r="Q62" s="7" t="s">
        <v>230</v>
      </c>
      <c r="R62" s="7">
        <v>30</v>
      </c>
      <c r="S62" s="8">
        <v>1.3</v>
      </c>
      <c r="T62" s="8">
        <v>0</v>
      </c>
      <c r="U62" s="8">
        <v>0</v>
      </c>
      <c r="V62" s="8"/>
      <c r="W62" s="8"/>
    </row>
    <row r="63" spans="1:23" s="7" customFormat="1" x14ac:dyDescent="0.35">
      <c r="A63" s="7" t="s">
        <v>436</v>
      </c>
      <c r="B63" s="7" t="s">
        <v>371</v>
      </c>
      <c r="C63" s="7" t="s">
        <v>407</v>
      </c>
      <c r="D63" s="7">
        <v>2018</v>
      </c>
      <c r="E63" s="7">
        <v>21</v>
      </c>
      <c r="F63" s="7" t="s">
        <v>345</v>
      </c>
      <c r="G63" s="7" t="s">
        <v>346</v>
      </c>
      <c r="H63" s="7" t="s">
        <v>408</v>
      </c>
      <c r="M63" s="7" t="s">
        <v>348</v>
      </c>
      <c r="N63" s="7" t="s">
        <v>409</v>
      </c>
      <c r="O63" s="7" t="s">
        <v>411</v>
      </c>
      <c r="P63" s="7" t="s">
        <v>410</v>
      </c>
      <c r="Q63" s="7" t="s">
        <v>230</v>
      </c>
      <c r="R63" s="7">
        <v>0</v>
      </c>
      <c r="S63" s="8">
        <v>1.36</v>
      </c>
      <c r="T63" s="8">
        <v>0</v>
      </c>
      <c r="U63" s="8">
        <v>0</v>
      </c>
      <c r="V63" s="8"/>
      <c r="W63" s="8"/>
    </row>
    <row r="64" spans="1:23" s="7" customFormat="1" x14ac:dyDescent="0.35">
      <c r="A64" s="7" t="s">
        <v>436</v>
      </c>
      <c r="B64" s="7" t="s">
        <v>371</v>
      </c>
      <c r="C64" s="7" t="s">
        <v>407</v>
      </c>
      <c r="D64" s="7">
        <v>2018</v>
      </c>
      <c r="E64" s="7">
        <v>21</v>
      </c>
      <c r="F64" s="7" t="s">
        <v>345</v>
      </c>
      <c r="G64" s="7" t="s">
        <v>346</v>
      </c>
      <c r="H64" s="7" t="s">
        <v>408</v>
      </c>
      <c r="M64" s="7" t="s">
        <v>348</v>
      </c>
      <c r="N64" s="7" t="s">
        <v>409</v>
      </c>
      <c r="O64" s="7" t="s">
        <v>411</v>
      </c>
      <c r="P64" s="7" t="s">
        <v>410</v>
      </c>
      <c r="Q64" s="7" t="s">
        <v>230</v>
      </c>
      <c r="R64" s="7">
        <v>10</v>
      </c>
      <c r="S64" s="8">
        <v>1.26</v>
      </c>
      <c r="T64" s="8">
        <v>11</v>
      </c>
      <c r="U64" s="8">
        <v>-15</v>
      </c>
      <c r="V64" s="8"/>
      <c r="W64" s="8"/>
    </row>
    <row r="65" spans="1:23" s="7" customFormat="1" x14ac:dyDescent="0.35">
      <c r="A65" s="7" t="s">
        <v>436</v>
      </c>
      <c r="B65" s="7" t="s">
        <v>371</v>
      </c>
      <c r="C65" s="7" t="s">
        <v>407</v>
      </c>
      <c r="D65" s="7">
        <v>2018</v>
      </c>
      <c r="E65" s="7">
        <v>21</v>
      </c>
      <c r="F65" s="7" t="s">
        <v>345</v>
      </c>
      <c r="G65" s="7" t="s">
        <v>346</v>
      </c>
      <c r="H65" s="7" t="s">
        <v>408</v>
      </c>
      <c r="M65" s="7" t="s">
        <v>348</v>
      </c>
      <c r="N65" s="7" t="s">
        <v>409</v>
      </c>
      <c r="O65" s="7" t="s">
        <v>411</v>
      </c>
      <c r="P65" s="7" t="s">
        <v>410</v>
      </c>
      <c r="Q65" s="7" t="s">
        <v>230</v>
      </c>
      <c r="R65" s="7">
        <v>20</v>
      </c>
      <c r="S65" s="8">
        <v>1.31</v>
      </c>
      <c r="T65" s="8">
        <v>56</v>
      </c>
      <c r="U65" s="8">
        <v>-30</v>
      </c>
      <c r="V65" s="8"/>
      <c r="W65" s="8"/>
    </row>
    <row r="66" spans="1:23" s="7" customFormat="1" x14ac:dyDescent="0.35">
      <c r="A66" s="7" t="s">
        <v>436</v>
      </c>
      <c r="B66" s="7" t="s">
        <v>371</v>
      </c>
      <c r="C66" s="7" t="s">
        <v>407</v>
      </c>
      <c r="D66" s="7">
        <v>2018</v>
      </c>
      <c r="E66" s="7">
        <v>21</v>
      </c>
      <c r="F66" s="7" t="s">
        <v>345</v>
      </c>
      <c r="G66" s="7" t="s">
        <v>346</v>
      </c>
      <c r="H66" s="7" t="s">
        <v>408</v>
      </c>
      <c r="M66" s="7" t="s">
        <v>348</v>
      </c>
      <c r="N66" s="7" t="s">
        <v>409</v>
      </c>
      <c r="O66" s="7" t="s">
        <v>411</v>
      </c>
      <c r="P66" s="7" t="s">
        <v>410</v>
      </c>
      <c r="Q66" s="7" t="s">
        <v>230</v>
      </c>
      <c r="R66" s="7">
        <v>30</v>
      </c>
      <c r="S66" s="8">
        <v>1.41</v>
      </c>
      <c r="T66" s="8">
        <v>143</v>
      </c>
      <c r="U66" s="8">
        <v>-30</v>
      </c>
      <c r="V66" s="8"/>
      <c r="W66" s="8"/>
    </row>
    <row r="67" spans="1:23" s="7" customFormat="1" x14ac:dyDescent="0.35">
      <c r="A67" s="7" t="s">
        <v>436</v>
      </c>
      <c r="B67" s="7" t="s">
        <v>371</v>
      </c>
      <c r="C67" s="7" t="s">
        <v>407</v>
      </c>
      <c r="D67" s="7">
        <v>2018</v>
      </c>
      <c r="E67" s="7">
        <v>21</v>
      </c>
      <c r="F67" s="7" t="s">
        <v>345</v>
      </c>
      <c r="G67" s="7" t="s">
        <v>346</v>
      </c>
      <c r="H67" s="7" t="s">
        <v>408</v>
      </c>
      <c r="M67" s="7" t="s">
        <v>348</v>
      </c>
      <c r="N67" s="7" t="s">
        <v>409</v>
      </c>
      <c r="O67" s="7" t="s">
        <v>411</v>
      </c>
      <c r="P67" s="7" t="s">
        <v>410</v>
      </c>
      <c r="Q67" s="7" t="s">
        <v>230</v>
      </c>
      <c r="R67" s="7">
        <v>40</v>
      </c>
      <c r="S67" s="8">
        <v>1.49</v>
      </c>
      <c r="T67" s="8">
        <v>147</v>
      </c>
      <c r="U67" s="8">
        <v>-60</v>
      </c>
      <c r="V67" s="8"/>
      <c r="W67" s="8"/>
    </row>
    <row r="68" spans="1:23" s="7" customFormat="1" x14ac:dyDescent="0.35">
      <c r="A68" s="7" t="s">
        <v>436</v>
      </c>
      <c r="B68" s="7" t="s">
        <v>371</v>
      </c>
      <c r="C68" s="7" t="s">
        <v>407</v>
      </c>
      <c r="D68" s="7">
        <v>2018</v>
      </c>
      <c r="E68" s="7">
        <v>21</v>
      </c>
      <c r="F68" s="7" t="s">
        <v>345</v>
      </c>
      <c r="G68" s="7" t="s">
        <v>346</v>
      </c>
      <c r="H68" s="7" t="s">
        <v>408</v>
      </c>
      <c r="M68" s="7" t="s">
        <v>348</v>
      </c>
      <c r="N68" s="7" t="s">
        <v>409</v>
      </c>
      <c r="O68" s="7" t="s">
        <v>411</v>
      </c>
      <c r="P68" s="7" t="s">
        <v>410</v>
      </c>
      <c r="Q68" s="7" t="s">
        <v>230</v>
      </c>
      <c r="R68" s="7">
        <v>50</v>
      </c>
      <c r="S68" s="8">
        <v>1.59</v>
      </c>
      <c r="T68" s="8">
        <v>266</v>
      </c>
      <c r="U68" s="8">
        <v>-75</v>
      </c>
      <c r="V68" s="8"/>
      <c r="W68" s="8"/>
    </row>
    <row r="69" spans="1:23" s="7" customFormat="1" x14ac:dyDescent="0.35">
      <c r="A69" s="7" t="s">
        <v>437</v>
      </c>
      <c r="B69" s="7" t="s">
        <v>371</v>
      </c>
      <c r="C69" s="7" t="s">
        <v>415</v>
      </c>
      <c r="D69" s="7">
        <v>2016</v>
      </c>
      <c r="E69" s="7">
        <v>22</v>
      </c>
      <c r="F69" s="7" t="s">
        <v>345</v>
      </c>
      <c r="G69" s="7" t="s">
        <v>346</v>
      </c>
      <c r="H69" s="7" t="s">
        <v>414</v>
      </c>
      <c r="K69" s="7" t="s">
        <v>378</v>
      </c>
      <c r="L69" s="7" t="s">
        <v>416</v>
      </c>
      <c r="M69" s="7" t="s">
        <v>348</v>
      </c>
      <c r="N69" s="7" t="s">
        <v>380</v>
      </c>
      <c r="O69" s="7" t="s">
        <v>413</v>
      </c>
      <c r="P69" s="7" t="s">
        <v>131</v>
      </c>
      <c r="Q69" s="7" t="s">
        <v>230</v>
      </c>
      <c r="R69" s="7">
        <v>0</v>
      </c>
      <c r="S69" s="8">
        <v>1.02</v>
      </c>
      <c r="T69" s="8">
        <v>0</v>
      </c>
      <c r="U69" s="8">
        <v>0</v>
      </c>
      <c r="V69" s="8"/>
      <c r="W69" s="8"/>
    </row>
    <row r="70" spans="1:23" s="7" customFormat="1" x14ac:dyDescent="0.35">
      <c r="A70" s="7" t="s">
        <v>437</v>
      </c>
      <c r="B70" s="7" t="s">
        <v>371</v>
      </c>
      <c r="C70" s="7" t="s">
        <v>415</v>
      </c>
      <c r="D70" s="7">
        <v>2016</v>
      </c>
      <c r="E70" s="7">
        <v>22</v>
      </c>
      <c r="F70" s="7" t="s">
        <v>345</v>
      </c>
      <c r="G70" s="7" t="s">
        <v>346</v>
      </c>
      <c r="H70" s="7" t="s">
        <v>414</v>
      </c>
      <c r="K70" s="7" t="s">
        <v>378</v>
      </c>
      <c r="L70" s="7" t="s">
        <v>416</v>
      </c>
      <c r="M70" s="7" t="s">
        <v>348</v>
      </c>
      <c r="N70" s="7" t="s">
        <v>380</v>
      </c>
      <c r="O70" s="7" t="s">
        <v>413</v>
      </c>
      <c r="P70" s="7" t="s">
        <v>131</v>
      </c>
      <c r="Q70" s="7" t="s">
        <v>230</v>
      </c>
      <c r="R70" s="7">
        <v>5</v>
      </c>
      <c r="S70" s="8">
        <v>1.1200000000000001</v>
      </c>
      <c r="T70" s="8">
        <v>6</v>
      </c>
      <c r="U70" s="8">
        <v>-8</v>
      </c>
      <c r="V70" s="8"/>
      <c r="W70" s="8"/>
    </row>
    <row r="71" spans="1:23" s="7" customFormat="1" x14ac:dyDescent="0.35">
      <c r="A71" s="7" t="s">
        <v>437</v>
      </c>
      <c r="B71" s="7" t="s">
        <v>371</v>
      </c>
      <c r="C71" s="7" t="s">
        <v>415</v>
      </c>
      <c r="D71" s="7">
        <v>2016</v>
      </c>
      <c r="E71" s="7">
        <v>22</v>
      </c>
      <c r="F71" s="7" t="s">
        <v>345</v>
      </c>
      <c r="G71" s="7" t="s">
        <v>346</v>
      </c>
      <c r="H71" s="7" t="s">
        <v>414</v>
      </c>
      <c r="K71" s="7" t="s">
        <v>378</v>
      </c>
      <c r="L71" s="7" t="s">
        <v>416</v>
      </c>
      <c r="M71" s="7" t="s">
        <v>348</v>
      </c>
      <c r="N71" s="7" t="s">
        <v>380</v>
      </c>
      <c r="O71" s="7" t="s">
        <v>413</v>
      </c>
      <c r="P71" s="7" t="s">
        <v>131</v>
      </c>
      <c r="Q71" s="7" t="s">
        <v>230</v>
      </c>
      <c r="R71" s="7">
        <v>10</v>
      </c>
      <c r="S71" s="8">
        <v>1.56</v>
      </c>
      <c r="T71" s="8">
        <v>13</v>
      </c>
      <c r="U71" s="8">
        <v>-11</v>
      </c>
      <c r="V71" s="8"/>
      <c r="W71" s="8"/>
    </row>
    <row r="72" spans="1:23" s="7" customFormat="1" x14ac:dyDescent="0.35">
      <c r="A72" s="7" t="s">
        <v>438</v>
      </c>
      <c r="B72" s="7" t="s">
        <v>420</v>
      </c>
      <c r="C72" s="7" t="s">
        <v>421</v>
      </c>
      <c r="D72" s="7">
        <v>2008</v>
      </c>
      <c r="E72" s="7">
        <v>23</v>
      </c>
      <c r="F72" s="7" t="s">
        <v>345</v>
      </c>
      <c r="G72" s="7" t="s">
        <v>346</v>
      </c>
      <c r="H72" s="7" t="s">
        <v>392</v>
      </c>
      <c r="K72" s="7" t="s">
        <v>378</v>
      </c>
      <c r="L72" s="7" t="s">
        <v>377</v>
      </c>
      <c r="M72" s="7" t="s">
        <v>348</v>
      </c>
      <c r="N72" s="7" t="s">
        <v>417</v>
      </c>
      <c r="O72" s="7" t="s">
        <v>103</v>
      </c>
      <c r="P72" s="7" t="s">
        <v>418</v>
      </c>
      <c r="Q72" s="7" t="s">
        <v>230</v>
      </c>
      <c r="R72" s="7">
        <v>0</v>
      </c>
      <c r="S72" s="8">
        <v>2.68</v>
      </c>
      <c r="T72" s="8"/>
      <c r="U72" s="8">
        <v>0</v>
      </c>
      <c r="V72" s="8"/>
      <c r="W72" s="8"/>
    </row>
    <row r="73" spans="1:23" s="7" customFormat="1" x14ac:dyDescent="0.35">
      <c r="A73" s="7" t="s">
        <v>438</v>
      </c>
      <c r="B73" s="7" t="s">
        <v>422</v>
      </c>
      <c r="C73" s="7" t="s">
        <v>421</v>
      </c>
      <c r="D73" s="7">
        <v>2008</v>
      </c>
      <c r="E73" s="7">
        <v>23</v>
      </c>
      <c r="F73" s="7" t="s">
        <v>345</v>
      </c>
      <c r="G73" s="7" t="s">
        <v>346</v>
      </c>
      <c r="H73" s="7" t="s">
        <v>392</v>
      </c>
      <c r="K73" s="7" t="s">
        <v>378</v>
      </c>
      <c r="L73" s="7" t="s">
        <v>377</v>
      </c>
      <c r="M73" s="7" t="s">
        <v>348</v>
      </c>
      <c r="N73" s="7" t="s">
        <v>417</v>
      </c>
      <c r="O73" s="7" t="s">
        <v>103</v>
      </c>
      <c r="P73" s="7" t="s">
        <v>418</v>
      </c>
      <c r="Q73" s="7" t="s">
        <v>230</v>
      </c>
      <c r="R73" s="7">
        <v>10</v>
      </c>
      <c r="S73" s="8">
        <v>2.56</v>
      </c>
      <c r="T73" s="8"/>
      <c r="U73" s="8">
        <v>-1.5</v>
      </c>
      <c r="V73" s="8"/>
      <c r="W73" s="8"/>
    </row>
    <row r="74" spans="1:23" s="7" customFormat="1" x14ac:dyDescent="0.35">
      <c r="A74" s="7" t="s">
        <v>438</v>
      </c>
      <c r="B74" s="7" t="s">
        <v>423</v>
      </c>
      <c r="C74" s="7" t="s">
        <v>421</v>
      </c>
      <c r="D74" s="7">
        <v>2008</v>
      </c>
      <c r="E74" s="7">
        <v>23</v>
      </c>
      <c r="F74" s="7" t="s">
        <v>345</v>
      </c>
      <c r="G74" s="7" t="s">
        <v>346</v>
      </c>
      <c r="H74" s="7" t="s">
        <v>392</v>
      </c>
      <c r="K74" s="7" t="s">
        <v>378</v>
      </c>
      <c r="L74" s="7" t="s">
        <v>377</v>
      </c>
      <c r="M74" s="7" t="s">
        <v>348</v>
      </c>
      <c r="N74" s="7" t="s">
        <v>417</v>
      </c>
      <c r="O74" s="7" t="s">
        <v>103</v>
      </c>
      <c r="P74" s="7" t="s">
        <v>418</v>
      </c>
      <c r="Q74" s="7" t="s">
        <v>230</v>
      </c>
      <c r="R74" s="7">
        <v>25</v>
      </c>
      <c r="S74" s="8">
        <v>2.56</v>
      </c>
      <c r="T74" s="8"/>
      <c r="U74" s="8">
        <v>-2</v>
      </c>
      <c r="V74" s="8"/>
      <c r="W74" s="8"/>
    </row>
    <row r="75" spans="1:23" s="7" customFormat="1" x14ac:dyDescent="0.35">
      <c r="A75" s="7" t="s">
        <v>438</v>
      </c>
      <c r="B75" s="7" t="s">
        <v>424</v>
      </c>
      <c r="C75" s="7" t="s">
        <v>421</v>
      </c>
      <c r="D75" s="7">
        <v>2008</v>
      </c>
      <c r="E75" s="7">
        <v>23</v>
      </c>
      <c r="F75" s="7" t="s">
        <v>345</v>
      </c>
      <c r="G75" s="7" t="s">
        <v>346</v>
      </c>
      <c r="H75" s="7" t="s">
        <v>392</v>
      </c>
      <c r="K75" s="7" t="s">
        <v>378</v>
      </c>
      <c r="L75" s="7" t="s">
        <v>377</v>
      </c>
      <c r="M75" s="7" t="s">
        <v>348</v>
      </c>
      <c r="N75" s="7" t="s">
        <v>417</v>
      </c>
      <c r="O75" s="7" t="s">
        <v>103</v>
      </c>
      <c r="P75" s="7" t="s">
        <v>418</v>
      </c>
      <c r="Q75" s="7" t="s">
        <v>230</v>
      </c>
      <c r="R75" s="7">
        <v>50</v>
      </c>
      <c r="S75" s="8">
        <v>2.0299999999999998</v>
      </c>
      <c r="T75" s="8"/>
      <c r="U75" s="8">
        <v>-5</v>
      </c>
      <c r="V75" s="8"/>
      <c r="W75" s="8"/>
    </row>
    <row r="76" spans="1:23" s="7" customFormat="1" x14ac:dyDescent="0.35">
      <c r="A76" s="7" t="s">
        <v>438</v>
      </c>
      <c r="B76" s="7" t="s">
        <v>425</v>
      </c>
      <c r="C76" s="7" t="s">
        <v>421</v>
      </c>
      <c r="D76" s="7">
        <v>2008</v>
      </c>
      <c r="E76" s="7">
        <v>23</v>
      </c>
      <c r="F76" s="7" t="s">
        <v>345</v>
      </c>
      <c r="G76" s="7" t="s">
        <v>346</v>
      </c>
      <c r="H76" s="7" t="s">
        <v>392</v>
      </c>
      <c r="K76" s="7" t="s">
        <v>378</v>
      </c>
      <c r="L76" s="7" t="s">
        <v>377</v>
      </c>
      <c r="M76" s="7" t="s">
        <v>348</v>
      </c>
      <c r="N76" s="7" t="s">
        <v>417</v>
      </c>
      <c r="O76" s="7" t="s">
        <v>103</v>
      </c>
      <c r="P76" s="7" t="s">
        <v>418</v>
      </c>
      <c r="Q76" s="7" t="s">
        <v>230</v>
      </c>
      <c r="R76" s="7">
        <v>75</v>
      </c>
      <c r="S76" s="8">
        <v>3.24</v>
      </c>
      <c r="T76" s="8"/>
      <c r="U76" s="8">
        <v>-9</v>
      </c>
      <c r="V76" s="8"/>
      <c r="W76" s="8"/>
    </row>
    <row r="77" spans="1:23" s="7" customFormat="1" x14ac:dyDescent="0.35">
      <c r="A77" s="7" t="s">
        <v>438</v>
      </c>
      <c r="B77" s="7" t="s">
        <v>426</v>
      </c>
      <c r="C77" s="7" t="s">
        <v>421</v>
      </c>
      <c r="D77" s="7">
        <v>2008</v>
      </c>
      <c r="E77" s="7">
        <v>23</v>
      </c>
      <c r="F77" s="7" t="s">
        <v>345</v>
      </c>
      <c r="G77" s="7" t="s">
        <v>346</v>
      </c>
      <c r="H77" s="7" t="s">
        <v>419</v>
      </c>
      <c r="K77" s="7" t="s">
        <v>378</v>
      </c>
      <c r="L77" s="7" t="s">
        <v>377</v>
      </c>
      <c r="M77" s="7" t="s">
        <v>348</v>
      </c>
      <c r="N77" s="7" t="s">
        <v>417</v>
      </c>
      <c r="O77" s="7" t="s">
        <v>103</v>
      </c>
      <c r="P77" s="7" t="s">
        <v>418</v>
      </c>
      <c r="Q77" s="7" t="s">
        <v>230</v>
      </c>
      <c r="R77" s="7">
        <v>0</v>
      </c>
      <c r="S77" s="8">
        <v>2.68</v>
      </c>
      <c r="T77" s="8"/>
      <c r="U77" s="8">
        <v>0</v>
      </c>
      <c r="V77" s="8"/>
      <c r="W77" s="8"/>
    </row>
    <row r="78" spans="1:23" s="7" customFormat="1" x14ac:dyDescent="0.35">
      <c r="A78" s="7" t="s">
        <v>438</v>
      </c>
      <c r="B78" s="7" t="s">
        <v>427</v>
      </c>
      <c r="C78" s="7" t="s">
        <v>421</v>
      </c>
      <c r="D78" s="7">
        <v>2008</v>
      </c>
      <c r="E78" s="7">
        <v>23</v>
      </c>
      <c r="F78" s="7" t="s">
        <v>345</v>
      </c>
      <c r="G78" s="7" t="s">
        <v>346</v>
      </c>
      <c r="H78" s="7" t="s">
        <v>419</v>
      </c>
      <c r="K78" s="7" t="s">
        <v>378</v>
      </c>
      <c r="L78" s="7" t="s">
        <v>377</v>
      </c>
      <c r="M78" s="7" t="s">
        <v>348</v>
      </c>
      <c r="N78" s="7" t="s">
        <v>417</v>
      </c>
      <c r="O78" s="7" t="s">
        <v>103</v>
      </c>
      <c r="P78" s="7" t="s">
        <v>418</v>
      </c>
      <c r="Q78" s="7" t="s">
        <v>230</v>
      </c>
      <c r="R78" s="7">
        <v>10</v>
      </c>
      <c r="S78" s="8">
        <v>2.59</v>
      </c>
      <c r="T78" s="8"/>
      <c r="U78" s="8">
        <v>-1</v>
      </c>
      <c r="V78" s="8"/>
      <c r="W78" s="8"/>
    </row>
    <row r="79" spans="1:23" s="7" customFormat="1" x14ac:dyDescent="0.35">
      <c r="A79" s="7" t="s">
        <v>438</v>
      </c>
      <c r="B79" s="7" t="s">
        <v>428</v>
      </c>
      <c r="C79" s="7" t="s">
        <v>421</v>
      </c>
      <c r="D79" s="7">
        <v>2008</v>
      </c>
      <c r="E79" s="7">
        <v>23</v>
      </c>
      <c r="F79" s="7" t="s">
        <v>345</v>
      </c>
      <c r="G79" s="7" t="s">
        <v>346</v>
      </c>
      <c r="H79" s="7" t="s">
        <v>419</v>
      </c>
      <c r="K79" s="7" t="s">
        <v>378</v>
      </c>
      <c r="L79" s="7" t="s">
        <v>377</v>
      </c>
      <c r="M79" s="7" t="s">
        <v>348</v>
      </c>
      <c r="N79" s="7" t="s">
        <v>417</v>
      </c>
      <c r="O79" s="7" t="s">
        <v>103</v>
      </c>
      <c r="P79" s="7" t="s">
        <v>418</v>
      </c>
      <c r="Q79" s="7" t="s">
        <v>230</v>
      </c>
      <c r="R79" s="7">
        <v>25</v>
      </c>
      <c r="S79" s="8">
        <v>2.57</v>
      </c>
      <c r="T79" s="8"/>
      <c r="U79" s="8">
        <v>-2</v>
      </c>
      <c r="V79" s="8"/>
      <c r="W79" s="8"/>
    </row>
    <row r="80" spans="1:23" s="7" customFormat="1" x14ac:dyDescent="0.35">
      <c r="A80" s="7" t="s">
        <v>438</v>
      </c>
      <c r="B80" s="7" t="s">
        <v>429</v>
      </c>
      <c r="C80" s="7" t="s">
        <v>421</v>
      </c>
      <c r="D80" s="7">
        <v>2008</v>
      </c>
      <c r="E80" s="7">
        <v>23</v>
      </c>
      <c r="F80" s="7" t="s">
        <v>345</v>
      </c>
      <c r="G80" s="7" t="s">
        <v>346</v>
      </c>
      <c r="H80" s="7" t="s">
        <v>419</v>
      </c>
      <c r="K80" s="7" t="s">
        <v>378</v>
      </c>
      <c r="L80" s="7" t="s">
        <v>377</v>
      </c>
      <c r="M80" s="7" t="s">
        <v>348</v>
      </c>
      <c r="N80" s="7" t="s">
        <v>417</v>
      </c>
      <c r="O80" s="7" t="s">
        <v>103</v>
      </c>
      <c r="P80" s="7" t="s">
        <v>418</v>
      </c>
      <c r="Q80" s="7" t="s">
        <v>230</v>
      </c>
      <c r="R80" s="7">
        <v>50</v>
      </c>
      <c r="S80" s="8">
        <v>1.76</v>
      </c>
      <c r="T80" s="8"/>
      <c r="U80" s="8">
        <v>-3</v>
      </c>
      <c r="V80" s="8"/>
      <c r="W80" s="8"/>
    </row>
    <row r="81" spans="1:23" s="7" customFormat="1" x14ac:dyDescent="0.35">
      <c r="A81" s="7" t="s">
        <v>438</v>
      </c>
      <c r="B81" s="7" t="s">
        <v>430</v>
      </c>
      <c r="C81" s="7" t="s">
        <v>421</v>
      </c>
      <c r="D81" s="7">
        <v>2008</v>
      </c>
      <c r="E81" s="7">
        <v>23</v>
      </c>
      <c r="F81" s="7" t="s">
        <v>345</v>
      </c>
      <c r="G81" s="7" t="s">
        <v>346</v>
      </c>
      <c r="H81" s="7" t="s">
        <v>419</v>
      </c>
      <c r="K81" s="7" t="s">
        <v>378</v>
      </c>
      <c r="L81" s="7" t="s">
        <v>377</v>
      </c>
      <c r="M81" s="7" t="s">
        <v>348</v>
      </c>
      <c r="N81" s="7" t="s">
        <v>417</v>
      </c>
      <c r="O81" s="7" t="s">
        <v>103</v>
      </c>
      <c r="P81" s="7" t="s">
        <v>418</v>
      </c>
      <c r="Q81" s="7" t="s">
        <v>230</v>
      </c>
      <c r="R81" s="7">
        <v>75</v>
      </c>
      <c r="S81" s="8">
        <v>2.74</v>
      </c>
      <c r="T81" s="8"/>
      <c r="U81" s="8">
        <v>-5</v>
      </c>
      <c r="V81" s="8"/>
      <c r="W81" s="8"/>
    </row>
    <row r="82" spans="1:23" s="7" customFormat="1" x14ac:dyDescent="0.35">
      <c r="A82" s="7" t="s">
        <v>440</v>
      </c>
      <c r="B82" s="7" t="s">
        <v>371</v>
      </c>
      <c r="C82" s="7" t="s">
        <v>441</v>
      </c>
      <c r="D82" s="7">
        <v>2015</v>
      </c>
      <c r="E82" s="7">
        <v>24</v>
      </c>
      <c r="F82" s="7" t="s">
        <v>416</v>
      </c>
      <c r="G82" s="7" t="s">
        <v>346</v>
      </c>
      <c r="H82" s="7" t="s">
        <v>392</v>
      </c>
      <c r="I82" s="7" t="s">
        <v>163</v>
      </c>
      <c r="J82" s="7" t="s">
        <v>419</v>
      </c>
      <c r="K82" s="7" t="s">
        <v>394</v>
      </c>
      <c r="M82" s="7" t="s">
        <v>348</v>
      </c>
      <c r="N82" s="7" t="s">
        <v>409</v>
      </c>
      <c r="O82" s="7" t="s">
        <v>439</v>
      </c>
      <c r="P82" s="7" t="s">
        <v>172</v>
      </c>
      <c r="Q82" s="7" t="s">
        <v>230</v>
      </c>
      <c r="R82" s="7">
        <v>0</v>
      </c>
      <c r="S82" s="8">
        <v>1.59</v>
      </c>
      <c r="T82" s="8">
        <v>0</v>
      </c>
      <c r="U82" s="8">
        <v>0</v>
      </c>
      <c r="V82" s="8"/>
      <c r="W82" s="8"/>
    </row>
    <row r="83" spans="1:23" s="7" customFormat="1" x14ac:dyDescent="0.35">
      <c r="A83" s="7" t="s">
        <v>440</v>
      </c>
      <c r="B83" s="7" t="s">
        <v>371</v>
      </c>
      <c r="C83" s="7" t="s">
        <v>441</v>
      </c>
      <c r="D83" s="7">
        <v>2015</v>
      </c>
      <c r="E83" s="7">
        <v>24</v>
      </c>
      <c r="F83" s="7" t="s">
        <v>416</v>
      </c>
      <c r="G83" s="7" t="s">
        <v>346</v>
      </c>
      <c r="H83" s="7" t="s">
        <v>392</v>
      </c>
      <c r="I83" s="7" t="s">
        <v>163</v>
      </c>
      <c r="J83" s="7" t="s">
        <v>419</v>
      </c>
      <c r="K83" s="7" t="s">
        <v>394</v>
      </c>
      <c r="M83" s="7" t="s">
        <v>348</v>
      </c>
      <c r="N83" s="7" t="s">
        <v>409</v>
      </c>
      <c r="O83" s="7" t="s">
        <v>439</v>
      </c>
      <c r="P83" s="7" t="s">
        <v>172</v>
      </c>
      <c r="Q83" s="7" t="s">
        <v>230</v>
      </c>
      <c r="R83" s="7">
        <v>10</v>
      </c>
      <c r="S83" s="8">
        <v>1.87</v>
      </c>
      <c r="T83" s="8">
        <v>9</v>
      </c>
      <c r="U83" s="8">
        <v>-18</v>
      </c>
      <c r="V83" s="8"/>
      <c r="W83" s="8"/>
    </row>
    <row r="84" spans="1:23" s="7" customFormat="1" x14ac:dyDescent="0.35">
      <c r="A84" s="7" t="s">
        <v>440</v>
      </c>
      <c r="B84" s="7" t="s">
        <v>371</v>
      </c>
      <c r="C84" s="7" t="s">
        <v>441</v>
      </c>
      <c r="D84" s="7">
        <v>2015</v>
      </c>
      <c r="E84" s="7">
        <v>24</v>
      </c>
      <c r="F84" s="7" t="s">
        <v>416</v>
      </c>
      <c r="G84" s="7" t="s">
        <v>346</v>
      </c>
      <c r="H84" s="7" t="s">
        <v>392</v>
      </c>
      <c r="I84" s="7" t="s">
        <v>163</v>
      </c>
      <c r="J84" s="7" t="s">
        <v>419</v>
      </c>
      <c r="K84" s="7" t="s">
        <v>394</v>
      </c>
      <c r="M84" s="7" t="s">
        <v>348</v>
      </c>
      <c r="N84" s="7" t="s">
        <v>409</v>
      </c>
      <c r="O84" s="7" t="s">
        <v>439</v>
      </c>
      <c r="P84" s="7" t="s">
        <v>172</v>
      </c>
      <c r="Q84" s="7" t="s">
        <v>230</v>
      </c>
      <c r="R84" s="7">
        <v>20</v>
      </c>
      <c r="S84" s="8">
        <v>2.19</v>
      </c>
      <c r="T84" s="8">
        <v>18</v>
      </c>
      <c r="U84" s="8">
        <v>-35</v>
      </c>
      <c r="V84" s="8"/>
      <c r="W84" s="8"/>
    </row>
    <row r="85" spans="1:23" s="7" customFormat="1" x14ac:dyDescent="0.35">
      <c r="A85" s="7" t="s">
        <v>440</v>
      </c>
      <c r="B85" s="7" t="s">
        <v>371</v>
      </c>
      <c r="C85" s="7" t="s">
        <v>441</v>
      </c>
      <c r="D85" s="7">
        <v>2015</v>
      </c>
      <c r="E85" s="7">
        <v>24</v>
      </c>
      <c r="F85" s="7" t="s">
        <v>416</v>
      </c>
      <c r="G85" s="7" t="s">
        <v>346</v>
      </c>
      <c r="H85" s="7" t="s">
        <v>392</v>
      </c>
      <c r="I85" s="7" t="s">
        <v>163</v>
      </c>
      <c r="J85" s="7" t="s">
        <v>419</v>
      </c>
      <c r="K85" s="7" t="s">
        <v>394</v>
      </c>
      <c r="M85" s="7" t="s">
        <v>348</v>
      </c>
      <c r="N85" s="7" t="s">
        <v>409</v>
      </c>
      <c r="O85" s="7" t="s">
        <v>439</v>
      </c>
      <c r="P85" s="7" t="s">
        <v>172</v>
      </c>
      <c r="Q85" s="7" t="s">
        <v>230</v>
      </c>
      <c r="R85" s="7">
        <v>30</v>
      </c>
      <c r="S85" s="8">
        <v>2.4</v>
      </c>
      <c r="T85" s="8">
        <v>27</v>
      </c>
      <c r="U85" s="8">
        <v>-52</v>
      </c>
      <c r="V85" s="8"/>
      <c r="W85" s="8"/>
    </row>
    <row r="86" spans="1:23" s="7" customFormat="1" x14ac:dyDescent="0.35">
      <c r="A86" s="7" t="s">
        <v>440</v>
      </c>
      <c r="B86" s="7" t="s">
        <v>371</v>
      </c>
      <c r="C86" s="7" t="s">
        <v>441</v>
      </c>
      <c r="D86" s="7">
        <v>2015</v>
      </c>
      <c r="E86" s="7">
        <v>24</v>
      </c>
      <c r="F86" s="7" t="s">
        <v>416</v>
      </c>
      <c r="G86" s="7" t="s">
        <v>346</v>
      </c>
      <c r="H86" s="7" t="s">
        <v>392</v>
      </c>
      <c r="I86" s="7" t="s">
        <v>163</v>
      </c>
      <c r="J86" s="7" t="s">
        <v>419</v>
      </c>
      <c r="K86" s="7" t="s">
        <v>394</v>
      </c>
      <c r="M86" s="7" t="s">
        <v>348</v>
      </c>
      <c r="N86" s="7" t="s">
        <v>409</v>
      </c>
      <c r="O86" s="7" t="s">
        <v>439</v>
      </c>
      <c r="P86" s="7" t="s">
        <v>172</v>
      </c>
      <c r="Q86" s="7" t="s">
        <v>230</v>
      </c>
      <c r="R86" s="7">
        <v>40</v>
      </c>
      <c r="S86" s="8">
        <v>3.83</v>
      </c>
      <c r="T86" s="8">
        <v>36</v>
      </c>
      <c r="U86" s="8">
        <v>-70</v>
      </c>
      <c r="V86" s="8"/>
      <c r="W86" s="8"/>
    </row>
    <row r="87" spans="1:23" s="7" customFormat="1" x14ac:dyDescent="0.35">
      <c r="A87" s="7" t="s">
        <v>443</v>
      </c>
      <c r="B87" s="7" t="s">
        <v>398</v>
      </c>
      <c r="C87" s="7" t="s">
        <v>370</v>
      </c>
      <c r="D87" s="7">
        <v>2018</v>
      </c>
      <c r="E87" s="7">
        <v>25</v>
      </c>
      <c r="F87" s="7" t="s">
        <v>345</v>
      </c>
      <c r="G87" s="7" t="s">
        <v>170</v>
      </c>
      <c r="H87" s="7" t="s">
        <v>442</v>
      </c>
      <c r="K87" s="7" t="s">
        <v>394</v>
      </c>
      <c r="M87" s="7" t="s">
        <v>348</v>
      </c>
      <c r="N87" s="7" t="s">
        <v>106</v>
      </c>
      <c r="O87" s="7" t="s">
        <v>444</v>
      </c>
      <c r="P87" s="7" t="s">
        <v>445</v>
      </c>
      <c r="Q87" s="7" t="s">
        <v>446</v>
      </c>
      <c r="R87" s="7">
        <v>0</v>
      </c>
      <c r="S87" s="8">
        <v>2.7056277056277058</v>
      </c>
      <c r="T87" s="8">
        <v>0</v>
      </c>
      <c r="U87" s="8">
        <v>0</v>
      </c>
      <c r="V87" s="8"/>
      <c r="W87" s="8"/>
    </row>
    <row r="88" spans="1:23" s="7" customFormat="1" x14ac:dyDescent="0.35">
      <c r="A88" s="7" t="s">
        <v>443</v>
      </c>
      <c r="B88" s="7" t="s">
        <v>398</v>
      </c>
      <c r="C88" s="7" t="s">
        <v>370</v>
      </c>
      <c r="D88" s="7">
        <v>2018</v>
      </c>
      <c r="E88" s="7">
        <v>25</v>
      </c>
      <c r="F88" s="7" t="s">
        <v>345</v>
      </c>
      <c r="G88" s="7" t="s">
        <v>170</v>
      </c>
      <c r="H88" s="7" t="s">
        <v>442</v>
      </c>
      <c r="K88" s="7" t="s">
        <v>394</v>
      </c>
      <c r="M88" s="7" t="s">
        <v>348</v>
      </c>
      <c r="N88" s="7" t="s">
        <v>106</v>
      </c>
      <c r="O88" s="7" t="s">
        <v>444</v>
      </c>
      <c r="P88" s="7" t="s">
        <v>445</v>
      </c>
      <c r="Q88" s="7" t="s">
        <v>446</v>
      </c>
      <c r="R88" s="7">
        <v>50</v>
      </c>
      <c r="S88" s="8">
        <v>2.3946360153256703</v>
      </c>
      <c r="T88" s="8">
        <v>6</v>
      </c>
      <c r="U88" s="8">
        <v>10</v>
      </c>
      <c r="V88" s="8"/>
      <c r="W88" s="8"/>
    </row>
    <row r="89" spans="1:23" s="7" customFormat="1" x14ac:dyDescent="0.35">
      <c r="A89" s="7" t="s">
        <v>443</v>
      </c>
      <c r="B89" s="7" t="s">
        <v>398</v>
      </c>
      <c r="C89" s="7" t="s">
        <v>370</v>
      </c>
      <c r="D89" s="7">
        <v>2018</v>
      </c>
      <c r="E89" s="7">
        <v>25</v>
      </c>
      <c r="F89" s="7" t="s">
        <v>345</v>
      </c>
      <c r="G89" s="7" t="s">
        <v>170</v>
      </c>
      <c r="H89" s="7" t="s">
        <v>442</v>
      </c>
      <c r="K89" s="7" t="s">
        <v>394</v>
      </c>
      <c r="M89" s="7" t="s">
        <v>348</v>
      </c>
      <c r="N89" s="7" t="s">
        <v>106</v>
      </c>
      <c r="O89" s="7" t="s">
        <v>444</v>
      </c>
      <c r="P89" s="7" t="s">
        <v>445</v>
      </c>
      <c r="Q89" s="7" t="s">
        <v>446</v>
      </c>
      <c r="R89" s="7">
        <v>75</v>
      </c>
      <c r="S89" s="8">
        <v>2.5393600812595225</v>
      </c>
      <c r="T89" s="8">
        <v>9</v>
      </c>
      <c r="U89" s="8">
        <v>15</v>
      </c>
      <c r="V89" s="8"/>
      <c r="W89" s="8"/>
    </row>
    <row r="90" spans="1:23" s="7" customFormat="1" x14ac:dyDescent="0.35">
      <c r="A90" s="7" t="s">
        <v>443</v>
      </c>
      <c r="B90" s="7" t="s">
        <v>398</v>
      </c>
      <c r="C90" s="7" t="s">
        <v>370</v>
      </c>
      <c r="D90" s="7">
        <v>2018</v>
      </c>
      <c r="E90" s="7">
        <v>25</v>
      </c>
      <c r="F90" s="7" t="s">
        <v>345</v>
      </c>
      <c r="G90" s="7" t="s">
        <v>170</v>
      </c>
      <c r="H90" s="7" t="s">
        <v>442</v>
      </c>
      <c r="K90" s="7" t="s">
        <v>394</v>
      </c>
      <c r="M90" s="7" t="s">
        <v>348</v>
      </c>
      <c r="N90" s="7" t="s">
        <v>106</v>
      </c>
      <c r="O90" s="7" t="s">
        <v>444</v>
      </c>
      <c r="P90" s="7" t="s">
        <v>445</v>
      </c>
      <c r="Q90" s="7" t="s">
        <v>446</v>
      </c>
      <c r="R90" s="7">
        <v>100</v>
      </c>
      <c r="S90" s="8">
        <v>2.5316455696202529</v>
      </c>
      <c r="T90" s="8">
        <v>12</v>
      </c>
      <c r="U90" s="8">
        <v>19</v>
      </c>
      <c r="V90" s="8"/>
      <c r="W90" s="8"/>
    </row>
    <row r="91" spans="1:23" s="7" customFormat="1" x14ac:dyDescent="0.35">
      <c r="A91" s="7" t="s">
        <v>443</v>
      </c>
      <c r="B91" s="7" t="s">
        <v>398</v>
      </c>
      <c r="C91" s="7" t="s">
        <v>370</v>
      </c>
      <c r="D91" s="7">
        <v>2018</v>
      </c>
      <c r="E91" s="7">
        <v>25</v>
      </c>
      <c r="F91" s="7" t="s">
        <v>345</v>
      </c>
      <c r="G91" s="7" t="s">
        <v>170</v>
      </c>
      <c r="H91" s="7" t="s">
        <v>442</v>
      </c>
      <c r="K91" s="7" t="s">
        <v>378</v>
      </c>
      <c r="L91" s="7" t="s">
        <v>448</v>
      </c>
      <c r="M91" s="7" t="s">
        <v>348</v>
      </c>
      <c r="N91" s="7" t="s">
        <v>106</v>
      </c>
      <c r="O91" s="7" t="s">
        <v>444</v>
      </c>
      <c r="P91" s="7" t="s">
        <v>445</v>
      </c>
      <c r="Q91" s="7" t="s">
        <v>446</v>
      </c>
      <c r="R91" s="7">
        <v>100</v>
      </c>
      <c r="S91" s="8">
        <v>2.3386342376052385</v>
      </c>
      <c r="T91" s="8">
        <v>12</v>
      </c>
      <c r="U91" s="8">
        <v>19</v>
      </c>
      <c r="V91" s="8"/>
      <c r="W91" s="8"/>
    </row>
    <row r="92" spans="1:23" s="7" customFormat="1" x14ac:dyDescent="0.35">
      <c r="A92" s="7" t="s">
        <v>443</v>
      </c>
      <c r="B92" s="7" t="s">
        <v>398</v>
      </c>
      <c r="C92" s="7" t="s">
        <v>370</v>
      </c>
      <c r="D92" s="7">
        <v>2018</v>
      </c>
      <c r="E92" s="7">
        <v>25</v>
      </c>
      <c r="F92" s="7" t="s">
        <v>345</v>
      </c>
      <c r="G92" s="7" t="s">
        <v>170</v>
      </c>
      <c r="H92" s="7" t="s">
        <v>442</v>
      </c>
      <c r="K92" s="7" t="s">
        <v>378</v>
      </c>
      <c r="L92" s="7" t="s">
        <v>447</v>
      </c>
      <c r="M92" s="7" t="s">
        <v>348</v>
      </c>
      <c r="N92" s="7" t="s">
        <v>106</v>
      </c>
      <c r="O92" s="7" t="s">
        <v>444</v>
      </c>
      <c r="P92" s="7" t="s">
        <v>445</v>
      </c>
      <c r="Q92" s="7" t="s">
        <v>446</v>
      </c>
      <c r="R92" s="7">
        <v>100</v>
      </c>
      <c r="S92" s="8">
        <v>2.1074815595363541</v>
      </c>
      <c r="T92" s="8">
        <v>12</v>
      </c>
      <c r="U92" s="8">
        <v>19</v>
      </c>
      <c r="V92" s="8"/>
      <c r="W92" s="8"/>
    </row>
    <row r="93" spans="1:23" s="7" customFormat="1" x14ac:dyDescent="0.35">
      <c r="A93" s="7" t="s">
        <v>452</v>
      </c>
      <c r="B93" s="7" t="s">
        <v>453</v>
      </c>
      <c r="C93" s="7" t="s">
        <v>421</v>
      </c>
      <c r="D93" s="7">
        <v>2014</v>
      </c>
      <c r="E93" s="7">
        <v>26</v>
      </c>
      <c r="F93" s="7" t="s">
        <v>345</v>
      </c>
      <c r="G93" s="7" t="s">
        <v>170</v>
      </c>
      <c r="H93" s="7" t="s">
        <v>451</v>
      </c>
      <c r="K93" s="7" t="s">
        <v>394</v>
      </c>
      <c r="M93" s="7" t="s">
        <v>348</v>
      </c>
      <c r="N93" s="7" t="s">
        <v>417</v>
      </c>
      <c r="O93" s="7" t="s">
        <v>450</v>
      </c>
      <c r="P93" s="7" t="s">
        <v>449</v>
      </c>
      <c r="Q93" s="7" t="s">
        <v>237</v>
      </c>
      <c r="R93" s="7">
        <v>0</v>
      </c>
      <c r="S93" s="8">
        <v>1.18</v>
      </c>
      <c r="T93" s="8">
        <v>0</v>
      </c>
      <c r="U93" s="8">
        <v>0</v>
      </c>
      <c r="V93" s="8"/>
      <c r="W93" s="8"/>
    </row>
    <row r="94" spans="1:23" s="7" customFormat="1" x14ac:dyDescent="0.35">
      <c r="A94" s="7" t="s">
        <v>452</v>
      </c>
      <c r="B94" s="7" t="s">
        <v>453</v>
      </c>
      <c r="C94" s="7" t="s">
        <v>421</v>
      </c>
      <c r="D94" s="7">
        <v>2014</v>
      </c>
      <c r="E94" s="7">
        <v>26</v>
      </c>
      <c r="F94" s="7" t="s">
        <v>345</v>
      </c>
      <c r="G94" s="7" t="s">
        <v>170</v>
      </c>
      <c r="H94" s="7" t="s">
        <v>451</v>
      </c>
      <c r="K94" s="7" t="s">
        <v>394</v>
      </c>
      <c r="M94" s="7" t="s">
        <v>348</v>
      </c>
      <c r="N94" s="7" t="s">
        <v>417</v>
      </c>
      <c r="O94" s="7" t="s">
        <v>450</v>
      </c>
      <c r="P94" s="7" t="s">
        <v>449</v>
      </c>
      <c r="Q94" s="7" t="s">
        <v>237</v>
      </c>
      <c r="R94" s="7">
        <v>50</v>
      </c>
      <c r="S94" s="8">
        <v>1.1100000000000001</v>
      </c>
      <c r="T94" s="8">
        <v>0</v>
      </c>
      <c r="U94" s="8">
        <v>-14</v>
      </c>
      <c r="V94" s="8"/>
      <c r="W94" s="8"/>
    </row>
    <row r="95" spans="1:23" s="7" customFormat="1" x14ac:dyDescent="0.35">
      <c r="A95" s="7" t="s">
        <v>452</v>
      </c>
      <c r="B95" s="7" t="s">
        <v>453</v>
      </c>
      <c r="C95" s="7" t="s">
        <v>421</v>
      </c>
      <c r="D95" s="7">
        <v>2014</v>
      </c>
      <c r="E95" s="7">
        <v>26</v>
      </c>
      <c r="F95" s="7" t="s">
        <v>345</v>
      </c>
      <c r="G95" s="7" t="s">
        <v>170</v>
      </c>
      <c r="H95" s="7" t="s">
        <v>451</v>
      </c>
      <c r="K95" s="7" t="s">
        <v>394</v>
      </c>
      <c r="M95" s="7" t="s">
        <v>348</v>
      </c>
      <c r="N95" s="7" t="s">
        <v>417</v>
      </c>
      <c r="O95" s="7" t="s">
        <v>450</v>
      </c>
      <c r="P95" s="7" t="s">
        <v>449</v>
      </c>
      <c r="Q95" s="7" t="s">
        <v>237</v>
      </c>
      <c r="R95" s="7">
        <v>75</v>
      </c>
      <c r="S95" s="8">
        <v>1</v>
      </c>
      <c r="T95" s="8">
        <v>0</v>
      </c>
      <c r="U95" s="8">
        <v>-34</v>
      </c>
      <c r="V95" s="8"/>
      <c r="W95" s="8"/>
    </row>
    <row r="96" spans="1:23" s="7" customFormat="1" x14ac:dyDescent="0.35">
      <c r="A96" s="7" t="s">
        <v>452</v>
      </c>
      <c r="B96" s="7" t="s">
        <v>453</v>
      </c>
      <c r="C96" s="7" t="s">
        <v>421</v>
      </c>
      <c r="D96" s="7">
        <v>2014</v>
      </c>
      <c r="E96" s="7">
        <v>26</v>
      </c>
      <c r="F96" s="7" t="s">
        <v>345</v>
      </c>
      <c r="G96" s="7" t="s">
        <v>170</v>
      </c>
      <c r="H96" s="7" t="s">
        <v>451</v>
      </c>
      <c r="K96" s="7" t="s">
        <v>394</v>
      </c>
      <c r="M96" s="7" t="s">
        <v>348</v>
      </c>
      <c r="N96" s="7" t="s">
        <v>417</v>
      </c>
      <c r="O96" s="7" t="s">
        <v>450</v>
      </c>
      <c r="P96" s="7" t="s">
        <v>449</v>
      </c>
      <c r="Q96" s="7" t="s">
        <v>237</v>
      </c>
      <c r="R96" s="7">
        <v>100</v>
      </c>
      <c r="S96" s="8">
        <v>1.04</v>
      </c>
      <c r="T96" s="8">
        <v>0</v>
      </c>
      <c r="U96" s="8">
        <v>-27</v>
      </c>
      <c r="V96" s="8"/>
      <c r="W96" s="8"/>
    </row>
    <row r="97" spans="1:23" s="7" customFormat="1" x14ac:dyDescent="0.35">
      <c r="A97" s="7" t="s">
        <v>536</v>
      </c>
      <c r="B97" s="7" t="s">
        <v>455</v>
      </c>
      <c r="C97" s="7" t="s">
        <v>456</v>
      </c>
      <c r="D97" s="7">
        <v>2012</v>
      </c>
      <c r="E97" s="7">
        <v>27</v>
      </c>
      <c r="F97" s="7" t="s">
        <v>416</v>
      </c>
      <c r="G97" s="7" t="s">
        <v>454</v>
      </c>
      <c r="H97" s="7" t="s">
        <v>541</v>
      </c>
      <c r="I97" s="7" t="s">
        <v>170</v>
      </c>
      <c r="J97" s="7" t="s">
        <v>442</v>
      </c>
      <c r="K97" s="7" t="s">
        <v>394</v>
      </c>
      <c r="M97" s="7" t="s">
        <v>348</v>
      </c>
      <c r="N97" s="7" t="s">
        <v>380</v>
      </c>
      <c r="O97" s="7" t="s">
        <v>413</v>
      </c>
      <c r="P97" s="7" t="s">
        <v>131</v>
      </c>
      <c r="Q97" s="7" t="s">
        <v>237</v>
      </c>
      <c r="R97" s="7">
        <v>0</v>
      </c>
      <c r="S97" s="8">
        <v>0.7</v>
      </c>
      <c r="T97" s="8">
        <v>0</v>
      </c>
      <c r="U97" s="8">
        <v>0</v>
      </c>
      <c r="V97" s="8"/>
      <c r="W97" s="8"/>
    </row>
    <row r="98" spans="1:23" s="7" customFormat="1" x14ac:dyDescent="0.35">
      <c r="A98" s="7" t="s">
        <v>536</v>
      </c>
      <c r="B98" s="7" t="s">
        <v>455</v>
      </c>
      <c r="C98" s="7" t="s">
        <v>456</v>
      </c>
      <c r="D98" s="7">
        <v>2012</v>
      </c>
      <c r="E98" s="7">
        <v>27</v>
      </c>
      <c r="F98" s="7" t="s">
        <v>416</v>
      </c>
      <c r="G98" s="7" t="s">
        <v>454</v>
      </c>
      <c r="H98" s="7" t="s">
        <v>541</v>
      </c>
      <c r="I98" s="7" t="s">
        <v>170</v>
      </c>
      <c r="J98" s="7" t="s">
        <v>442</v>
      </c>
      <c r="K98" s="7" t="s">
        <v>394</v>
      </c>
      <c r="M98" s="7" t="s">
        <v>348</v>
      </c>
      <c r="N98" s="7" t="s">
        <v>380</v>
      </c>
      <c r="O98" s="7" t="s">
        <v>413</v>
      </c>
      <c r="P98" s="7" t="s">
        <v>131</v>
      </c>
      <c r="Q98" s="7" t="s">
        <v>237</v>
      </c>
      <c r="R98" s="7">
        <v>100</v>
      </c>
      <c r="S98" s="8">
        <v>0.9</v>
      </c>
      <c r="T98" s="8">
        <v>0</v>
      </c>
      <c r="U98" s="8">
        <v>300</v>
      </c>
      <c r="V98" s="8"/>
      <c r="W98" s="8"/>
    </row>
    <row r="99" spans="1:23" s="7" customFormat="1" x14ac:dyDescent="0.35">
      <c r="A99" s="7" t="s">
        <v>536</v>
      </c>
      <c r="B99" s="7" t="s">
        <v>455</v>
      </c>
      <c r="C99" s="7" t="s">
        <v>456</v>
      </c>
      <c r="D99" s="7">
        <v>2012</v>
      </c>
      <c r="E99" s="7">
        <v>27</v>
      </c>
      <c r="F99" s="7" t="s">
        <v>416</v>
      </c>
      <c r="G99" s="7" t="s">
        <v>454</v>
      </c>
      <c r="H99" s="7" t="s">
        <v>541</v>
      </c>
      <c r="I99" s="7" t="s">
        <v>170</v>
      </c>
      <c r="J99" s="7" t="s">
        <v>442</v>
      </c>
      <c r="K99" s="7" t="s">
        <v>394</v>
      </c>
      <c r="M99" s="7" t="s">
        <v>348</v>
      </c>
      <c r="N99" s="7" t="s">
        <v>380</v>
      </c>
      <c r="O99" s="7" t="s">
        <v>413</v>
      </c>
      <c r="P99" s="7" t="s">
        <v>131</v>
      </c>
      <c r="Q99" s="7" t="s">
        <v>237</v>
      </c>
      <c r="R99" s="7">
        <v>100</v>
      </c>
      <c r="S99" s="8">
        <v>0.8</v>
      </c>
      <c r="T99" s="8">
        <v>0</v>
      </c>
      <c r="U99" s="8">
        <v>600</v>
      </c>
      <c r="V99" s="8"/>
      <c r="W99" s="8"/>
    </row>
    <row r="100" spans="1:23" s="7" customFormat="1" x14ac:dyDescent="0.35">
      <c r="A100" s="7" t="s">
        <v>536</v>
      </c>
      <c r="B100" s="7" t="s">
        <v>455</v>
      </c>
      <c r="C100" s="7" t="s">
        <v>456</v>
      </c>
      <c r="D100" s="7">
        <v>2012</v>
      </c>
      <c r="E100" s="7">
        <v>27</v>
      </c>
      <c r="F100" s="7" t="s">
        <v>416</v>
      </c>
      <c r="G100" s="7" t="s">
        <v>454</v>
      </c>
      <c r="H100" s="7" t="s">
        <v>541</v>
      </c>
      <c r="I100" s="7" t="s">
        <v>170</v>
      </c>
      <c r="J100" s="7" t="s">
        <v>442</v>
      </c>
      <c r="K100" s="7" t="s">
        <v>394</v>
      </c>
      <c r="M100" s="7" t="s">
        <v>348</v>
      </c>
      <c r="N100" s="7" t="s">
        <v>380</v>
      </c>
      <c r="O100" s="7" t="s">
        <v>413</v>
      </c>
      <c r="P100" s="7" t="s">
        <v>131</v>
      </c>
      <c r="Q100" s="7" t="s">
        <v>237</v>
      </c>
      <c r="R100" s="7">
        <v>100</v>
      </c>
      <c r="S100" s="8">
        <v>0.8</v>
      </c>
      <c r="T100" s="8">
        <v>0</v>
      </c>
      <c r="U100" s="8">
        <v>900</v>
      </c>
      <c r="V100" s="8"/>
      <c r="W100" s="8"/>
    </row>
    <row r="101" spans="1:23" s="7" customFormat="1" x14ac:dyDescent="0.35">
      <c r="A101" s="7" t="s">
        <v>457</v>
      </c>
      <c r="B101" s="7" t="s">
        <v>355</v>
      </c>
      <c r="C101" s="7" t="s">
        <v>385</v>
      </c>
      <c r="D101" s="7">
        <v>2012</v>
      </c>
      <c r="E101" s="7">
        <v>28</v>
      </c>
      <c r="F101" s="7" t="s">
        <v>345</v>
      </c>
      <c r="G101" s="7" t="s">
        <v>346</v>
      </c>
      <c r="H101" s="7" t="s">
        <v>176</v>
      </c>
      <c r="K101" s="7" t="s">
        <v>378</v>
      </c>
      <c r="L101" s="7" t="s">
        <v>448</v>
      </c>
      <c r="M101" s="7" t="s">
        <v>348</v>
      </c>
      <c r="N101" s="7" t="s">
        <v>409</v>
      </c>
      <c r="O101" s="7" t="s">
        <v>439</v>
      </c>
      <c r="P101" s="7" t="s">
        <v>172</v>
      </c>
      <c r="Q101" s="7" t="s">
        <v>446</v>
      </c>
      <c r="R101" s="7">
        <v>0</v>
      </c>
      <c r="S101" s="8">
        <v>2.2799999999999998</v>
      </c>
      <c r="T101" s="8">
        <v>0</v>
      </c>
      <c r="U101" s="8">
        <v>0</v>
      </c>
      <c r="V101" s="8"/>
      <c r="W101" s="8"/>
    </row>
    <row r="102" spans="1:23" s="7" customFormat="1" x14ac:dyDescent="0.35">
      <c r="A102" s="7" t="s">
        <v>457</v>
      </c>
      <c r="B102" s="7" t="s">
        <v>355</v>
      </c>
      <c r="C102" s="7" t="s">
        <v>385</v>
      </c>
      <c r="D102" s="7">
        <v>2012</v>
      </c>
      <c r="E102" s="7">
        <v>28</v>
      </c>
      <c r="F102" s="7" t="s">
        <v>345</v>
      </c>
      <c r="G102" s="7" t="s">
        <v>346</v>
      </c>
      <c r="H102" s="7" t="s">
        <v>176</v>
      </c>
      <c r="K102" s="7" t="s">
        <v>378</v>
      </c>
      <c r="L102" s="7" t="s">
        <v>448</v>
      </c>
      <c r="M102" s="7" t="s">
        <v>348</v>
      </c>
      <c r="N102" s="7" t="s">
        <v>409</v>
      </c>
      <c r="O102" s="7" t="s">
        <v>439</v>
      </c>
      <c r="P102" s="7" t="s">
        <v>172</v>
      </c>
      <c r="Q102" s="7" t="s">
        <v>446</v>
      </c>
      <c r="R102" s="7">
        <v>12.5</v>
      </c>
      <c r="S102" s="8">
        <v>2.13</v>
      </c>
      <c r="T102" s="8">
        <v>9</v>
      </c>
      <c r="U102" s="8">
        <v>-4</v>
      </c>
      <c r="V102" s="8"/>
      <c r="W102" s="8"/>
    </row>
    <row r="103" spans="1:23" s="7" customFormat="1" x14ac:dyDescent="0.35">
      <c r="A103" s="7" t="s">
        <v>457</v>
      </c>
      <c r="B103" s="7" t="s">
        <v>355</v>
      </c>
      <c r="C103" s="7" t="s">
        <v>385</v>
      </c>
      <c r="D103" s="7">
        <v>2012</v>
      </c>
      <c r="E103" s="7">
        <v>28</v>
      </c>
      <c r="F103" s="7" t="s">
        <v>345</v>
      </c>
      <c r="G103" s="7" t="s">
        <v>346</v>
      </c>
      <c r="H103" s="7" t="s">
        <v>176</v>
      </c>
      <c r="K103" s="7" t="s">
        <v>378</v>
      </c>
      <c r="L103" s="7" t="s">
        <v>448</v>
      </c>
      <c r="M103" s="7" t="s">
        <v>348</v>
      </c>
      <c r="N103" s="7" t="s">
        <v>409</v>
      </c>
      <c r="O103" s="7" t="s">
        <v>439</v>
      </c>
      <c r="P103" s="7" t="s">
        <v>172</v>
      </c>
      <c r="Q103" s="7" t="s">
        <v>446</v>
      </c>
      <c r="R103" s="7">
        <v>25</v>
      </c>
      <c r="S103" s="8">
        <v>2.21</v>
      </c>
      <c r="T103" s="8">
        <v>17.5</v>
      </c>
      <c r="U103" s="8">
        <v>-8</v>
      </c>
      <c r="V103" s="8"/>
      <c r="W103" s="8"/>
    </row>
    <row r="104" spans="1:23" s="7" customFormat="1" x14ac:dyDescent="0.35">
      <c r="A104" s="7" t="s">
        <v>457</v>
      </c>
      <c r="B104" s="7" t="s">
        <v>355</v>
      </c>
      <c r="C104" s="7" t="s">
        <v>385</v>
      </c>
      <c r="D104" s="7">
        <v>2012</v>
      </c>
      <c r="E104" s="7">
        <v>28</v>
      </c>
      <c r="F104" s="7" t="s">
        <v>345</v>
      </c>
      <c r="G104" s="7" t="s">
        <v>346</v>
      </c>
      <c r="H104" s="7" t="s">
        <v>176</v>
      </c>
      <c r="K104" s="7" t="s">
        <v>378</v>
      </c>
      <c r="L104" s="7" t="s">
        <v>448</v>
      </c>
      <c r="M104" s="7" t="s">
        <v>348</v>
      </c>
      <c r="N104" s="7" t="s">
        <v>409</v>
      </c>
      <c r="O104" s="7" t="s">
        <v>439</v>
      </c>
      <c r="P104" s="7" t="s">
        <v>172</v>
      </c>
      <c r="Q104" s="7" t="s">
        <v>446</v>
      </c>
      <c r="R104" s="7">
        <v>37.5</v>
      </c>
      <c r="S104" s="8">
        <v>2.27</v>
      </c>
      <c r="T104" s="8">
        <v>26.5</v>
      </c>
      <c r="U104" s="8">
        <v>-12</v>
      </c>
      <c r="V104" s="8"/>
      <c r="W104" s="8"/>
    </row>
    <row r="105" spans="1:23" s="7" customFormat="1" x14ac:dyDescent="0.35">
      <c r="A105" s="7" t="s">
        <v>457</v>
      </c>
      <c r="B105" s="7" t="s">
        <v>355</v>
      </c>
      <c r="C105" s="7" t="s">
        <v>385</v>
      </c>
      <c r="D105" s="7">
        <v>2012</v>
      </c>
      <c r="E105" s="7">
        <v>28</v>
      </c>
      <c r="F105" s="7" t="s">
        <v>345</v>
      </c>
      <c r="G105" s="7" t="s">
        <v>346</v>
      </c>
      <c r="H105" s="7" t="s">
        <v>176</v>
      </c>
      <c r="K105" s="7" t="s">
        <v>378</v>
      </c>
      <c r="L105" s="7" t="s">
        <v>448</v>
      </c>
      <c r="M105" s="7" t="s">
        <v>348</v>
      </c>
      <c r="N105" s="7" t="s">
        <v>409</v>
      </c>
      <c r="O105" s="7" t="s">
        <v>439</v>
      </c>
      <c r="P105" s="7" t="s">
        <v>172</v>
      </c>
      <c r="Q105" s="7" t="s">
        <v>446</v>
      </c>
      <c r="R105" s="7">
        <v>50</v>
      </c>
      <c r="S105" s="8">
        <v>2.2200000000000002</v>
      </c>
      <c r="T105" s="8">
        <v>35.5</v>
      </c>
      <c r="U105" s="8">
        <v>-26</v>
      </c>
      <c r="V105" s="8"/>
      <c r="W105" s="8"/>
    </row>
    <row r="106" spans="1:23" s="7" customFormat="1" x14ac:dyDescent="0.35">
      <c r="A106" s="7" t="s">
        <v>460</v>
      </c>
      <c r="B106" s="7" t="s">
        <v>461</v>
      </c>
      <c r="C106" s="7" t="s">
        <v>462</v>
      </c>
      <c r="D106" s="7">
        <v>2015</v>
      </c>
      <c r="E106" s="7">
        <v>29</v>
      </c>
      <c r="F106" s="7" t="s">
        <v>345</v>
      </c>
      <c r="G106" s="7" t="s">
        <v>346</v>
      </c>
      <c r="H106" s="7" t="s">
        <v>459</v>
      </c>
      <c r="K106" s="7" t="s">
        <v>394</v>
      </c>
      <c r="M106" s="7" t="s">
        <v>348</v>
      </c>
      <c r="N106" s="7" t="s">
        <v>106</v>
      </c>
      <c r="O106" s="7" t="s">
        <v>458</v>
      </c>
      <c r="P106" s="7" t="s">
        <v>115</v>
      </c>
      <c r="Q106" s="7" t="s">
        <v>230</v>
      </c>
      <c r="R106" s="7">
        <v>0</v>
      </c>
      <c r="S106" s="8">
        <v>1.4</v>
      </c>
      <c r="T106" s="8"/>
      <c r="U106" s="8">
        <v>0</v>
      </c>
      <c r="V106" s="8"/>
      <c r="W106" s="8"/>
    </row>
    <row r="107" spans="1:23" s="7" customFormat="1" x14ac:dyDescent="0.35">
      <c r="A107" s="7" t="s">
        <v>460</v>
      </c>
      <c r="B107" s="7" t="s">
        <v>461</v>
      </c>
      <c r="C107" s="7" t="s">
        <v>462</v>
      </c>
      <c r="D107" s="7">
        <v>2015</v>
      </c>
      <c r="E107" s="7">
        <v>29</v>
      </c>
      <c r="F107" s="7" t="s">
        <v>345</v>
      </c>
      <c r="G107" s="7" t="s">
        <v>346</v>
      </c>
      <c r="H107" s="7" t="s">
        <v>459</v>
      </c>
      <c r="K107" s="7" t="s">
        <v>394</v>
      </c>
      <c r="M107" s="7" t="s">
        <v>348</v>
      </c>
      <c r="N107" s="7" t="s">
        <v>106</v>
      </c>
      <c r="O107" s="7" t="s">
        <v>458</v>
      </c>
      <c r="P107" s="7" t="s">
        <v>115</v>
      </c>
      <c r="Q107" s="7" t="s">
        <v>230</v>
      </c>
      <c r="R107" s="7">
        <v>15</v>
      </c>
      <c r="S107" s="8">
        <v>1.3</v>
      </c>
      <c r="T107" s="8"/>
      <c r="U107" s="8">
        <v>-25</v>
      </c>
      <c r="V107" s="8"/>
      <c r="W107" s="8"/>
    </row>
    <row r="108" spans="1:23" s="7" customFormat="1" x14ac:dyDescent="0.35">
      <c r="A108" s="7" t="s">
        <v>460</v>
      </c>
      <c r="B108" s="7" t="s">
        <v>461</v>
      </c>
      <c r="C108" s="7" t="s">
        <v>462</v>
      </c>
      <c r="D108" s="7">
        <v>2015</v>
      </c>
      <c r="E108" s="7">
        <v>29</v>
      </c>
      <c r="F108" s="7" t="s">
        <v>345</v>
      </c>
      <c r="G108" s="7" t="s">
        <v>346</v>
      </c>
      <c r="H108" s="7" t="s">
        <v>459</v>
      </c>
      <c r="K108" s="7" t="s">
        <v>394</v>
      </c>
      <c r="M108" s="7" t="s">
        <v>348</v>
      </c>
      <c r="N108" s="7" t="s">
        <v>106</v>
      </c>
      <c r="O108" s="7" t="s">
        <v>458</v>
      </c>
      <c r="P108" s="7" t="s">
        <v>115</v>
      </c>
      <c r="Q108" s="7" t="s">
        <v>230</v>
      </c>
      <c r="R108" s="7">
        <v>30</v>
      </c>
      <c r="S108" s="8">
        <v>1.7</v>
      </c>
      <c r="T108" s="8"/>
      <c r="U108" s="8">
        <v>-60</v>
      </c>
      <c r="V108" s="8"/>
      <c r="W108" s="8"/>
    </row>
    <row r="109" spans="1:23" s="7" customFormat="1" x14ac:dyDescent="0.35">
      <c r="A109" s="7" t="s">
        <v>460</v>
      </c>
      <c r="B109" s="7" t="s">
        <v>461</v>
      </c>
      <c r="C109" s="7" t="s">
        <v>462</v>
      </c>
      <c r="D109" s="7">
        <v>2015</v>
      </c>
      <c r="E109" s="7">
        <v>29</v>
      </c>
      <c r="F109" s="7" t="s">
        <v>345</v>
      </c>
      <c r="G109" s="7" t="s">
        <v>346</v>
      </c>
      <c r="H109" s="7" t="s">
        <v>459</v>
      </c>
      <c r="K109" s="7" t="s">
        <v>394</v>
      </c>
      <c r="M109" s="7" t="s">
        <v>348</v>
      </c>
      <c r="N109" s="7" t="s">
        <v>106</v>
      </c>
      <c r="O109" s="7" t="s">
        <v>458</v>
      </c>
      <c r="P109" s="7" t="s">
        <v>115</v>
      </c>
      <c r="Q109" s="7" t="s">
        <v>230</v>
      </c>
      <c r="R109" s="7">
        <v>45</v>
      </c>
      <c r="S109" s="8">
        <v>2.1</v>
      </c>
      <c r="T109" s="8"/>
      <c r="U109" s="8">
        <v>-85</v>
      </c>
      <c r="V109" s="8"/>
      <c r="W109" s="8"/>
    </row>
    <row r="110" spans="1:23" s="7" customFormat="1" x14ac:dyDescent="0.35">
      <c r="A110" s="7" t="s">
        <v>460</v>
      </c>
      <c r="B110" s="7" t="s">
        <v>461</v>
      </c>
      <c r="C110" s="7" t="s">
        <v>462</v>
      </c>
      <c r="D110" s="7">
        <v>2015</v>
      </c>
      <c r="E110" s="7">
        <v>29</v>
      </c>
      <c r="F110" s="7" t="s">
        <v>345</v>
      </c>
      <c r="G110" s="7" t="s">
        <v>346</v>
      </c>
      <c r="H110" s="7" t="s">
        <v>459</v>
      </c>
      <c r="K110" s="7" t="s">
        <v>394</v>
      </c>
      <c r="M110" s="7" t="s">
        <v>348</v>
      </c>
      <c r="N110" s="7" t="s">
        <v>106</v>
      </c>
      <c r="O110" s="7" t="s">
        <v>458</v>
      </c>
      <c r="P110" s="7" t="s">
        <v>115</v>
      </c>
      <c r="Q110" s="7" t="s">
        <v>230</v>
      </c>
      <c r="R110" s="7">
        <v>78</v>
      </c>
      <c r="S110" s="8">
        <v>3.5</v>
      </c>
      <c r="T110" s="8"/>
      <c r="U110" s="8">
        <v>-75</v>
      </c>
      <c r="V110" s="8"/>
      <c r="W110" s="8"/>
    </row>
    <row r="111" spans="1:23" s="7" customFormat="1" x14ac:dyDescent="0.35">
      <c r="A111" s="7" t="s">
        <v>432</v>
      </c>
      <c r="B111" s="7" t="s">
        <v>468</v>
      </c>
      <c r="C111" s="7" t="s">
        <v>342</v>
      </c>
      <c r="D111" s="7">
        <v>2012</v>
      </c>
      <c r="E111" s="7">
        <v>30</v>
      </c>
      <c r="F111" s="7" t="s">
        <v>345</v>
      </c>
      <c r="G111" s="7" t="s">
        <v>346</v>
      </c>
      <c r="H111" s="7" t="s">
        <v>463</v>
      </c>
      <c r="K111" s="7" t="s">
        <v>394</v>
      </c>
      <c r="M111" s="7" t="s">
        <v>348</v>
      </c>
      <c r="N111" s="7" t="s">
        <v>380</v>
      </c>
      <c r="O111" s="7" t="s">
        <v>285</v>
      </c>
      <c r="P111" s="7" t="s">
        <v>349</v>
      </c>
      <c r="Q111" s="7" t="s">
        <v>464</v>
      </c>
      <c r="R111" s="7">
        <v>0</v>
      </c>
      <c r="S111" s="8">
        <v>1.1399999999999999</v>
      </c>
      <c r="T111" s="8">
        <v>0</v>
      </c>
      <c r="U111" s="8">
        <v>0</v>
      </c>
      <c r="V111" s="8"/>
      <c r="W111" s="8"/>
    </row>
    <row r="112" spans="1:23" s="7" customFormat="1" x14ac:dyDescent="0.35">
      <c r="A112" s="7" t="s">
        <v>432</v>
      </c>
      <c r="B112" s="7" t="s">
        <v>468</v>
      </c>
      <c r="C112" s="7" t="s">
        <v>342</v>
      </c>
      <c r="D112" s="7">
        <v>2012</v>
      </c>
      <c r="E112" s="7">
        <v>30</v>
      </c>
      <c r="F112" s="7" t="s">
        <v>345</v>
      </c>
      <c r="G112" s="7" t="s">
        <v>346</v>
      </c>
      <c r="H112" s="7" t="s">
        <v>463</v>
      </c>
      <c r="K112" s="7" t="s">
        <v>394</v>
      </c>
      <c r="M112" s="7" t="s">
        <v>348</v>
      </c>
      <c r="N112" s="7" t="s">
        <v>380</v>
      </c>
      <c r="O112" s="7" t="s">
        <v>285</v>
      </c>
      <c r="P112" s="7" t="s">
        <v>349</v>
      </c>
      <c r="Q112" s="7" t="s">
        <v>464</v>
      </c>
      <c r="R112" s="7">
        <v>5</v>
      </c>
      <c r="S112" s="8">
        <v>1.1200000000000001</v>
      </c>
      <c r="T112" s="8">
        <v>0</v>
      </c>
      <c r="U112" s="8">
        <v>0</v>
      </c>
      <c r="V112" s="8"/>
      <c r="W112" s="8"/>
    </row>
    <row r="113" spans="1:23" s="7" customFormat="1" x14ac:dyDescent="0.35">
      <c r="A113" s="7" t="s">
        <v>432</v>
      </c>
      <c r="B113" s="7" t="s">
        <v>468</v>
      </c>
      <c r="C113" s="7" t="s">
        <v>342</v>
      </c>
      <c r="D113" s="7">
        <v>2012</v>
      </c>
      <c r="E113" s="7">
        <v>30</v>
      </c>
      <c r="F113" s="7" t="s">
        <v>345</v>
      </c>
      <c r="G113" s="7" t="s">
        <v>346</v>
      </c>
      <c r="H113" s="7" t="s">
        <v>463</v>
      </c>
      <c r="K113" s="7" t="s">
        <v>394</v>
      </c>
      <c r="M113" s="7" t="s">
        <v>348</v>
      </c>
      <c r="N113" s="7" t="s">
        <v>380</v>
      </c>
      <c r="O113" s="7" t="s">
        <v>285</v>
      </c>
      <c r="P113" s="7" t="s">
        <v>349</v>
      </c>
      <c r="Q113" s="7" t="s">
        <v>464</v>
      </c>
      <c r="R113" s="7">
        <v>10</v>
      </c>
      <c r="S113" s="8">
        <v>1.25</v>
      </c>
      <c r="T113" s="8">
        <v>0</v>
      </c>
      <c r="U113" s="8">
        <v>0</v>
      </c>
      <c r="V113" s="8"/>
      <c r="W113" s="8"/>
    </row>
    <row r="114" spans="1:23" s="7" customFormat="1" x14ac:dyDescent="0.35">
      <c r="A114" s="7" t="s">
        <v>432</v>
      </c>
      <c r="B114" s="7" t="s">
        <v>468</v>
      </c>
      <c r="C114" s="7" t="s">
        <v>342</v>
      </c>
      <c r="D114" s="7">
        <v>2012</v>
      </c>
      <c r="E114" s="7">
        <v>30</v>
      </c>
      <c r="F114" s="7" t="s">
        <v>345</v>
      </c>
      <c r="G114" s="7" t="s">
        <v>346</v>
      </c>
      <c r="H114" s="7" t="s">
        <v>189</v>
      </c>
      <c r="K114" s="7" t="s">
        <v>394</v>
      </c>
      <c r="M114" s="7" t="s">
        <v>348</v>
      </c>
      <c r="N114" s="7" t="s">
        <v>380</v>
      </c>
      <c r="O114" s="7" t="s">
        <v>285</v>
      </c>
      <c r="P114" s="7" t="s">
        <v>349</v>
      </c>
      <c r="Q114" s="7" t="s">
        <v>464</v>
      </c>
      <c r="R114" s="7">
        <v>5</v>
      </c>
      <c r="S114" s="8">
        <v>1.1200000000000001</v>
      </c>
      <c r="T114" s="8">
        <v>0</v>
      </c>
      <c r="U114" s="8">
        <v>0</v>
      </c>
      <c r="V114" s="8"/>
      <c r="W114" s="8"/>
    </row>
    <row r="115" spans="1:23" s="7" customFormat="1" x14ac:dyDescent="0.35">
      <c r="A115" s="7" t="s">
        <v>432</v>
      </c>
      <c r="B115" s="7" t="s">
        <v>468</v>
      </c>
      <c r="C115" s="7" t="s">
        <v>342</v>
      </c>
      <c r="D115" s="7">
        <v>2012</v>
      </c>
      <c r="E115" s="7">
        <v>30</v>
      </c>
      <c r="F115" s="7" t="s">
        <v>345</v>
      </c>
      <c r="G115" s="7" t="s">
        <v>346</v>
      </c>
      <c r="H115" s="7" t="s">
        <v>189</v>
      </c>
      <c r="K115" s="7" t="s">
        <v>394</v>
      </c>
      <c r="M115" s="7" t="s">
        <v>348</v>
      </c>
      <c r="N115" s="7" t="s">
        <v>380</v>
      </c>
      <c r="O115" s="7" t="s">
        <v>285</v>
      </c>
      <c r="P115" s="7" t="s">
        <v>349</v>
      </c>
      <c r="Q115" s="7" t="s">
        <v>464</v>
      </c>
      <c r="R115" s="7">
        <v>10</v>
      </c>
      <c r="S115" s="8">
        <v>1.17</v>
      </c>
      <c r="T115" s="8">
        <v>0</v>
      </c>
      <c r="U115" s="8">
        <v>0</v>
      </c>
      <c r="V115" s="8"/>
      <c r="W115" s="8"/>
    </row>
    <row r="116" spans="1:23" s="7" customFormat="1" x14ac:dyDescent="0.35">
      <c r="A116" s="7" t="s">
        <v>432</v>
      </c>
      <c r="B116" s="7" t="s">
        <v>468</v>
      </c>
      <c r="C116" s="7" t="s">
        <v>342</v>
      </c>
      <c r="D116" s="7">
        <v>2012</v>
      </c>
      <c r="E116" s="7">
        <v>30</v>
      </c>
      <c r="F116" s="7" t="s">
        <v>345</v>
      </c>
      <c r="G116" s="7" t="s">
        <v>346</v>
      </c>
      <c r="H116" s="7" t="s">
        <v>463</v>
      </c>
      <c r="K116" s="7" t="s">
        <v>394</v>
      </c>
      <c r="M116" s="7" t="s">
        <v>348</v>
      </c>
      <c r="N116" s="7" t="s">
        <v>106</v>
      </c>
      <c r="O116" s="7" t="s">
        <v>465</v>
      </c>
      <c r="P116" s="7" t="s">
        <v>115</v>
      </c>
      <c r="Q116" s="7" t="s">
        <v>229</v>
      </c>
      <c r="R116" s="7">
        <v>0</v>
      </c>
      <c r="S116" s="8">
        <v>1.46</v>
      </c>
      <c r="T116" s="8">
        <v>0</v>
      </c>
      <c r="U116" s="8">
        <v>0</v>
      </c>
      <c r="V116" s="8"/>
      <c r="W116" s="8"/>
    </row>
    <row r="117" spans="1:23" s="7" customFormat="1" x14ac:dyDescent="0.35">
      <c r="A117" s="7" t="s">
        <v>432</v>
      </c>
      <c r="B117" s="7" t="s">
        <v>468</v>
      </c>
      <c r="C117" s="7" t="s">
        <v>342</v>
      </c>
      <c r="D117" s="7">
        <v>2012</v>
      </c>
      <c r="E117" s="7">
        <v>30</v>
      </c>
      <c r="F117" s="7" t="s">
        <v>345</v>
      </c>
      <c r="G117" s="7" t="s">
        <v>346</v>
      </c>
      <c r="H117" s="7" t="s">
        <v>463</v>
      </c>
      <c r="K117" s="7" t="s">
        <v>394</v>
      </c>
      <c r="M117" s="7" t="s">
        <v>348</v>
      </c>
      <c r="N117" s="7" t="s">
        <v>106</v>
      </c>
      <c r="O117" s="7" t="s">
        <v>465</v>
      </c>
      <c r="P117" s="7" t="s">
        <v>115</v>
      </c>
      <c r="Q117" s="7" t="s">
        <v>229</v>
      </c>
      <c r="R117" s="7">
        <v>25</v>
      </c>
      <c r="S117" s="8">
        <v>1.7</v>
      </c>
      <c r="T117" s="8">
        <v>-8</v>
      </c>
      <c r="U117" s="8">
        <v>-26</v>
      </c>
      <c r="V117" s="8"/>
      <c r="W117" s="8"/>
    </row>
    <row r="118" spans="1:23" s="7" customFormat="1" x14ac:dyDescent="0.35">
      <c r="A118" s="7" t="s">
        <v>432</v>
      </c>
      <c r="B118" s="7" t="s">
        <v>468</v>
      </c>
      <c r="C118" s="7" t="s">
        <v>342</v>
      </c>
      <c r="D118" s="7">
        <v>2012</v>
      </c>
      <c r="E118" s="7">
        <v>30</v>
      </c>
      <c r="F118" s="7" t="s">
        <v>345</v>
      </c>
      <c r="G118" s="7" t="s">
        <v>346</v>
      </c>
      <c r="H118" s="7" t="s">
        <v>463</v>
      </c>
      <c r="K118" s="7" t="s">
        <v>394</v>
      </c>
      <c r="M118" s="7" t="s">
        <v>348</v>
      </c>
      <c r="N118" s="7" t="s">
        <v>106</v>
      </c>
      <c r="O118" s="7" t="s">
        <v>465</v>
      </c>
      <c r="P118" s="7" t="s">
        <v>115</v>
      </c>
      <c r="Q118" s="7" t="s">
        <v>229</v>
      </c>
      <c r="R118" s="7">
        <v>40</v>
      </c>
      <c r="S118" s="8">
        <v>1.64</v>
      </c>
      <c r="T118" s="8">
        <v>-14</v>
      </c>
      <c r="U118" s="8">
        <v>-42</v>
      </c>
      <c r="V118" s="8"/>
      <c r="W118" s="8"/>
    </row>
    <row r="119" spans="1:23" s="7" customFormat="1" x14ac:dyDescent="0.35">
      <c r="A119" s="7" t="s">
        <v>432</v>
      </c>
      <c r="B119" s="7" t="s">
        <v>468</v>
      </c>
      <c r="C119" s="7" t="s">
        <v>342</v>
      </c>
      <c r="D119" s="7">
        <v>2012</v>
      </c>
      <c r="E119" s="7">
        <v>30</v>
      </c>
      <c r="F119" s="7" t="s">
        <v>345</v>
      </c>
      <c r="G119" s="7" t="s">
        <v>346</v>
      </c>
      <c r="H119" s="7" t="s">
        <v>189</v>
      </c>
      <c r="K119" s="7" t="s">
        <v>394</v>
      </c>
      <c r="M119" s="7" t="s">
        <v>348</v>
      </c>
      <c r="N119" s="7" t="s">
        <v>106</v>
      </c>
      <c r="O119" s="7" t="s">
        <v>465</v>
      </c>
      <c r="P119" s="7" t="s">
        <v>115</v>
      </c>
      <c r="Q119" s="7" t="s">
        <v>229</v>
      </c>
      <c r="R119" s="7">
        <v>25</v>
      </c>
      <c r="S119" s="8">
        <v>1.52</v>
      </c>
      <c r="T119" s="8">
        <v>-5</v>
      </c>
      <c r="U119" s="8">
        <v>-11</v>
      </c>
      <c r="V119" s="8"/>
      <c r="W119" s="8"/>
    </row>
    <row r="120" spans="1:23" s="7" customFormat="1" x14ac:dyDescent="0.35">
      <c r="A120" s="7" t="s">
        <v>432</v>
      </c>
      <c r="B120" s="7" t="s">
        <v>468</v>
      </c>
      <c r="C120" s="7" t="s">
        <v>342</v>
      </c>
      <c r="D120" s="7">
        <v>2012</v>
      </c>
      <c r="E120" s="7">
        <v>30</v>
      </c>
      <c r="F120" s="7" t="s">
        <v>345</v>
      </c>
      <c r="G120" s="7" t="s">
        <v>346</v>
      </c>
      <c r="H120" s="7" t="s">
        <v>189</v>
      </c>
      <c r="K120" s="7" t="s">
        <v>394</v>
      </c>
      <c r="M120" s="7" t="s">
        <v>348</v>
      </c>
      <c r="N120" s="7" t="s">
        <v>106</v>
      </c>
      <c r="O120" s="7" t="s">
        <v>465</v>
      </c>
      <c r="P120" s="7" t="s">
        <v>115</v>
      </c>
      <c r="Q120" s="7" t="s">
        <v>229</v>
      </c>
      <c r="R120" s="7">
        <v>40</v>
      </c>
      <c r="S120" s="8">
        <v>1.43</v>
      </c>
      <c r="T120" s="8">
        <v>-8</v>
      </c>
      <c r="U120" s="8">
        <v>-17</v>
      </c>
      <c r="V120" s="8"/>
      <c r="W120" s="8"/>
    </row>
    <row r="121" spans="1:23" s="7" customFormat="1" x14ac:dyDescent="0.35">
      <c r="A121" s="7" t="s">
        <v>432</v>
      </c>
      <c r="B121" s="7" t="s">
        <v>468</v>
      </c>
      <c r="C121" s="7" t="s">
        <v>342</v>
      </c>
      <c r="D121" s="7">
        <v>2012</v>
      </c>
      <c r="E121" s="7">
        <v>30</v>
      </c>
      <c r="F121" s="7" t="s">
        <v>345</v>
      </c>
      <c r="G121" s="7" t="s">
        <v>346</v>
      </c>
      <c r="H121" s="7" t="s">
        <v>463</v>
      </c>
      <c r="K121" s="7" t="s">
        <v>394</v>
      </c>
      <c r="M121" s="7" t="s">
        <v>348</v>
      </c>
      <c r="N121" s="7" t="s">
        <v>409</v>
      </c>
      <c r="O121" s="7" t="s">
        <v>466</v>
      </c>
      <c r="P121" s="7" t="s">
        <v>172</v>
      </c>
      <c r="Q121" s="7" t="s">
        <v>467</v>
      </c>
      <c r="R121" s="7">
        <v>0</v>
      </c>
      <c r="S121" s="8">
        <v>1.91</v>
      </c>
      <c r="T121" s="8">
        <v>0</v>
      </c>
      <c r="U121" s="8">
        <v>0</v>
      </c>
      <c r="V121" s="8"/>
      <c r="W121" s="8"/>
    </row>
    <row r="122" spans="1:23" s="7" customFormat="1" x14ac:dyDescent="0.35">
      <c r="A122" s="7" t="s">
        <v>432</v>
      </c>
      <c r="B122" s="7" t="s">
        <v>468</v>
      </c>
      <c r="C122" s="7" t="s">
        <v>342</v>
      </c>
      <c r="D122" s="7">
        <v>2012</v>
      </c>
      <c r="E122" s="7">
        <v>30</v>
      </c>
      <c r="F122" s="7" t="s">
        <v>345</v>
      </c>
      <c r="G122" s="7" t="s">
        <v>346</v>
      </c>
      <c r="H122" s="7" t="s">
        <v>463</v>
      </c>
      <c r="K122" s="7" t="s">
        <v>394</v>
      </c>
      <c r="M122" s="7" t="s">
        <v>348</v>
      </c>
      <c r="N122" s="7" t="s">
        <v>409</v>
      </c>
      <c r="O122" s="7" t="s">
        <v>466</v>
      </c>
      <c r="P122" s="7" t="s">
        <v>172</v>
      </c>
      <c r="Q122" s="7" t="s">
        <v>467</v>
      </c>
      <c r="R122" s="7">
        <v>25</v>
      </c>
      <c r="S122" s="8">
        <v>1.72</v>
      </c>
      <c r="T122" s="8">
        <v>0</v>
      </c>
      <c r="U122" s="8">
        <v>-30</v>
      </c>
      <c r="V122" s="8"/>
      <c r="W122" s="8"/>
    </row>
    <row r="123" spans="1:23" s="7" customFormat="1" x14ac:dyDescent="0.35">
      <c r="A123" s="7" t="s">
        <v>432</v>
      </c>
      <c r="B123" s="7" t="s">
        <v>468</v>
      </c>
      <c r="C123" s="7" t="s">
        <v>342</v>
      </c>
      <c r="D123" s="7">
        <v>2012</v>
      </c>
      <c r="E123" s="7">
        <v>30</v>
      </c>
      <c r="F123" s="7" t="s">
        <v>345</v>
      </c>
      <c r="G123" s="7" t="s">
        <v>346</v>
      </c>
      <c r="H123" s="7" t="s">
        <v>463</v>
      </c>
      <c r="K123" s="7" t="s">
        <v>394</v>
      </c>
      <c r="M123" s="7" t="s">
        <v>348</v>
      </c>
      <c r="N123" s="7" t="s">
        <v>409</v>
      </c>
      <c r="O123" s="7" t="s">
        <v>466</v>
      </c>
      <c r="P123" s="7" t="s">
        <v>172</v>
      </c>
      <c r="Q123" s="7" t="s">
        <v>467</v>
      </c>
      <c r="R123" s="7">
        <v>40</v>
      </c>
      <c r="S123" s="8">
        <v>1.81</v>
      </c>
      <c r="T123" s="8">
        <v>0</v>
      </c>
      <c r="U123" s="8">
        <v>-48</v>
      </c>
      <c r="V123" s="8"/>
      <c r="W123" s="8"/>
    </row>
    <row r="124" spans="1:23" s="7" customFormat="1" x14ac:dyDescent="0.35">
      <c r="A124" s="7" t="s">
        <v>432</v>
      </c>
      <c r="B124" s="7" t="s">
        <v>468</v>
      </c>
      <c r="C124" s="7" t="s">
        <v>342</v>
      </c>
      <c r="D124" s="7">
        <v>2012</v>
      </c>
      <c r="E124" s="7">
        <v>30</v>
      </c>
      <c r="F124" s="7" t="s">
        <v>345</v>
      </c>
      <c r="G124" s="7" t="s">
        <v>346</v>
      </c>
      <c r="H124" s="7" t="s">
        <v>189</v>
      </c>
      <c r="K124" s="7" t="s">
        <v>394</v>
      </c>
      <c r="M124" s="7" t="s">
        <v>348</v>
      </c>
      <c r="N124" s="7" t="s">
        <v>409</v>
      </c>
      <c r="O124" s="7" t="s">
        <v>466</v>
      </c>
      <c r="P124" s="7" t="s">
        <v>172</v>
      </c>
      <c r="Q124" s="7" t="s">
        <v>467</v>
      </c>
      <c r="R124" s="7">
        <v>25</v>
      </c>
      <c r="S124" s="8">
        <v>1.82</v>
      </c>
      <c r="T124" s="8">
        <v>20</v>
      </c>
      <c r="U124" s="8">
        <v>-11</v>
      </c>
      <c r="V124" s="8"/>
      <c r="W124" s="8"/>
    </row>
    <row r="125" spans="1:23" s="7" customFormat="1" x14ac:dyDescent="0.35">
      <c r="A125" s="7" t="s">
        <v>432</v>
      </c>
      <c r="B125" s="7" t="s">
        <v>468</v>
      </c>
      <c r="C125" s="7" t="s">
        <v>342</v>
      </c>
      <c r="D125" s="7">
        <v>2012</v>
      </c>
      <c r="E125" s="7">
        <v>30</v>
      </c>
      <c r="F125" s="7" t="s">
        <v>345</v>
      </c>
      <c r="G125" s="7" t="s">
        <v>346</v>
      </c>
      <c r="H125" s="7" t="s">
        <v>189</v>
      </c>
      <c r="K125" s="7" t="s">
        <v>394</v>
      </c>
      <c r="M125" s="7" t="s">
        <v>348</v>
      </c>
      <c r="N125" s="7" t="s">
        <v>409</v>
      </c>
      <c r="O125" s="7" t="s">
        <v>466</v>
      </c>
      <c r="P125" s="7" t="s">
        <v>172</v>
      </c>
      <c r="Q125" s="7" t="s">
        <v>467</v>
      </c>
      <c r="R125" s="7">
        <v>40</v>
      </c>
      <c r="S125" s="8">
        <v>1.81</v>
      </c>
      <c r="T125" s="8">
        <v>20</v>
      </c>
      <c r="U125" s="8">
        <v>-18</v>
      </c>
      <c r="V125" s="8"/>
      <c r="W125" s="8"/>
    </row>
    <row r="126" spans="1:23" s="7" customFormat="1" x14ac:dyDescent="0.35">
      <c r="A126" s="7" t="s">
        <v>470</v>
      </c>
      <c r="B126" s="7" t="s">
        <v>473</v>
      </c>
      <c r="C126" s="7" t="s">
        <v>370</v>
      </c>
      <c r="D126" s="7">
        <v>2017</v>
      </c>
      <c r="E126" s="7">
        <v>31</v>
      </c>
      <c r="F126" s="7" t="s">
        <v>416</v>
      </c>
      <c r="G126" s="7" t="s">
        <v>454</v>
      </c>
      <c r="H126" s="7" t="s">
        <v>541</v>
      </c>
      <c r="I126" s="7" t="s">
        <v>163</v>
      </c>
      <c r="J126" s="7" t="s">
        <v>469</v>
      </c>
      <c r="K126" s="7" t="s">
        <v>394</v>
      </c>
      <c r="M126" s="7" t="s">
        <v>348</v>
      </c>
      <c r="N126" s="7" t="s">
        <v>106</v>
      </c>
      <c r="O126" s="7" t="s">
        <v>471</v>
      </c>
      <c r="P126" s="7" t="s">
        <v>472</v>
      </c>
      <c r="Q126" s="7" t="s">
        <v>446</v>
      </c>
      <c r="R126" s="7">
        <v>0</v>
      </c>
      <c r="S126" s="8">
        <v>1.77</v>
      </c>
      <c r="T126" s="8"/>
      <c r="U126" s="8">
        <v>0</v>
      </c>
      <c r="V126" s="8"/>
      <c r="W126" s="8"/>
    </row>
    <row r="127" spans="1:23" s="7" customFormat="1" x14ac:dyDescent="0.35">
      <c r="A127" s="7" t="s">
        <v>470</v>
      </c>
      <c r="B127" s="7" t="s">
        <v>473</v>
      </c>
      <c r="C127" s="7" t="s">
        <v>370</v>
      </c>
      <c r="D127" s="7">
        <v>2017</v>
      </c>
      <c r="E127" s="7">
        <v>31</v>
      </c>
      <c r="F127" s="7" t="s">
        <v>416</v>
      </c>
      <c r="G127" s="7" t="s">
        <v>454</v>
      </c>
      <c r="H127" s="7" t="s">
        <v>541</v>
      </c>
      <c r="I127" s="7" t="s">
        <v>163</v>
      </c>
      <c r="J127" s="7" t="s">
        <v>469</v>
      </c>
      <c r="K127" s="7" t="s">
        <v>394</v>
      </c>
      <c r="M127" s="7" t="s">
        <v>348</v>
      </c>
      <c r="N127" s="7" t="s">
        <v>106</v>
      </c>
      <c r="O127" s="7" t="s">
        <v>471</v>
      </c>
      <c r="P127" s="7" t="s">
        <v>472</v>
      </c>
      <c r="Q127" s="7" t="s">
        <v>446</v>
      </c>
      <c r="R127" s="7">
        <v>25</v>
      </c>
      <c r="S127" s="8">
        <v>1.97</v>
      </c>
      <c r="T127" s="8"/>
      <c r="U127" s="8">
        <v>50</v>
      </c>
      <c r="V127" s="8"/>
      <c r="W127" s="8"/>
    </row>
    <row r="128" spans="1:23" s="7" customFormat="1" x14ac:dyDescent="0.35">
      <c r="A128" s="7" t="s">
        <v>470</v>
      </c>
      <c r="B128" s="7" t="s">
        <v>473</v>
      </c>
      <c r="C128" s="7" t="s">
        <v>370</v>
      </c>
      <c r="D128" s="7">
        <v>2017</v>
      </c>
      <c r="E128" s="7">
        <v>31</v>
      </c>
      <c r="F128" s="7" t="s">
        <v>416</v>
      </c>
      <c r="G128" s="7" t="s">
        <v>454</v>
      </c>
      <c r="H128" s="7" t="s">
        <v>541</v>
      </c>
      <c r="I128" s="7" t="s">
        <v>163</v>
      </c>
      <c r="J128" s="7" t="s">
        <v>469</v>
      </c>
      <c r="K128" s="7" t="s">
        <v>394</v>
      </c>
      <c r="M128" s="7" t="s">
        <v>348</v>
      </c>
      <c r="N128" s="7" t="s">
        <v>106</v>
      </c>
      <c r="O128" s="7" t="s">
        <v>471</v>
      </c>
      <c r="P128" s="7" t="s">
        <v>472</v>
      </c>
      <c r="Q128" s="7" t="s">
        <v>446</v>
      </c>
      <c r="R128" s="7">
        <v>50</v>
      </c>
      <c r="S128" s="8">
        <v>2.4300000000000002</v>
      </c>
      <c r="T128" s="8"/>
      <c r="U128" s="8">
        <v>102</v>
      </c>
      <c r="V128" s="8"/>
      <c r="W128" s="8"/>
    </row>
    <row r="129" spans="1:23" s="7" customFormat="1" x14ac:dyDescent="0.35">
      <c r="A129" s="7" t="s">
        <v>470</v>
      </c>
      <c r="B129" s="7" t="s">
        <v>473</v>
      </c>
      <c r="C129" s="7" t="s">
        <v>370</v>
      </c>
      <c r="D129" s="7">
        <v>2017</v>
      </c>
      <c r="E129" s="7">
        <v>31</v>
      </c>
      <c r="F129" s="7" t="s">
        <v>416</v>
      </c>
      <c r="G129" s="7" t="s">
        <v>454</v>
      </c>
      <c r="H129" s="7" t="s">
        <v>541</v>
      </c>
      <c r="I129" s="7" t="s">
        <v>163</v>
      </c>
      <c r="J129" s="7" t="s">
        <v>469</v>
      </c>
      <c r="K129" s="7" t="s">
        <v>394</v>
      </c>
      <c r="M129" s="7" t="s">
        <v>348</v>
      </c>
      <c r="N129" s="7" t="s">
        <v>106</v>
      </c>
      <c r="O129" s="7" t="s">
        <v>471</v>
      </c>
      <c r="P129" s="7" t="s">
        <v>472</v>
      </c>
      <c r="Q129" s="7" t="s">
        <v>446</v>
      </c>
      <c r="R129" s="7">
        <v>75</v>
      </c>
      <c r="S129" s="8">
        <v>2.5499999999999998</v>
      </c>
      <c r="T129" s="8"/>
      <c r="U129" s="8">
        <v>154</v>
      </c>
      <c r="V129" s="8"/>
      <c r="W129" s="8"/>
    </row>
    <row r="130" spans="1:23" s="7" customFormat="1" x14ac:dyDescent="0.35">
      <c r="A130" s="7" t="s">
        <v>470</v>
      </c>
      <c r="B130" s="7" t="s">
        <v>473</v>
      </c>
      <c r="C130" s="7" t="s">
        <v>370</v>
      </c>
      <c r="D130" s="7">
        <v>2017</v>
      </c>
      <c r="E130" s="7">
        <v>31</v>
      </c>
      <c r="F130" s="7" t="s">
        <v>416</v>
      </c>
      <c r="G130" s="7" t="s">
        <v>454</v>
      </c>
      <c r="H130" s="7" t="s">
        <v>541</v>
      </c>
      <c r="I130" s="7" t="s">
        <v>163</v>
      </c>
      <c r="J130" s="7" t="s">
        <v>469</v>
      </c>
      <c r="K130" s="7" t="s">
        <v>394</v>
      </c>
      <c r="M130" s="7" t="s">
        <v>348</v>
      </c>
      <c r="N130" s="7" t="s">
        <v>106</v>
      </c>
      <c r="O130" s="7" t="s">
        <v>471</v>
      </c>
      <c r="P130" s="7" t="s">
        <v>472</v>
      </c>
      <c r="Q130" s="7" t="s">
        <v>446</v>
      </c>
      <c r="R130" s="7">
        <v>100</v>
      </c>
      <c r="S130" s="8">
        <v>2.41</v>
      </c>
      <c r="T130" s="8"/>
      <c r="U130" s="8">
        <v>206</v>
      </c>
      <c r="V130" s="8"/>
      <c r="W130" s="8"/>
    </row>
    <row r="131" spans="1:23" s="7" customFormat="1" x14ac:dyDescent="0.35">
      <c r="A131" s="7" t="s">
        <v>476</v>
      </c>
      <c r="B131" s="7" t="s">
        <v>398</v>
      </c>
      <c r="C131" s="7" t="s">
        <v>477</v>
      </c>
      <c r="D131" s="7">
        <v>2017</v>
      </c>
      <c r="E131" s="7">
        <v>32</v>
      </c>
      <c r="F131" s="7" t="s">
        <v>345</v>
      </c>
      <c r="G131" s="7" t="s">
        <v>346</v>
      </c>
      <c r="H131" s="7" t="s">
        <v>392</v>
      </c>
      <c r="K131" s="7" t="s">
        <v>394</v>
      </c>
      <c r="M131" s="7" t="s">
        <v>348</v>
      </c>
      <c r="N131" s="7" t="s">
        <v>409</v>
      </c>
      <c r="O131" s="7" t="s">
        <v>474</v>
      </c>
      <c r="P131" s="7" t="s">
        <v>475</v>
      </c>
      <c r="Q131" s="7" t="s">
        <v>467</v>
      </c>
      <c r="R131" s="7">
        <v>0</v>
      </c>
      <c r="S131" s="8">
        <v>33.333333333333336</v>
      </c>
      <c r="T131" s="8">
        <v>0</v>
      </c>
      <c r="U131" s="8">
        <v>0</v>
      </c>
      <c r="V131" s="8"/>
      <c r="W131" s="8"/>
    </row>
    <row r="132" spans="1:23" s="7" customFormat="1" x14ac:dyDescent="0.35">
      <c r="A132" s="7" t="s">
        <v>476</v>
      </c>
      <c r="B132" s="7" t="s">
        <v>398</v>
      </c>
      <c r="C132" s="7" t="s">
        <v>477</v>
      </c>
      <c r="D132" s="7">
        <v>2017</v>
      </c>
      <c r="E132" s="7">
        <v>32</v>
      </c>
      <c r="F132" s="7" t="s">
        <v>345</v>
      </c>
      <c r="G132" s="7" t="s">
        <v>346</v>
      </c>
      <c r="H132" s="7" t="s">
        <v>392</v>
      </c>
      <c r="K132" s="7" t="s">
        <v>394</v>
      </c>
      <c r="M132" s="7" t="s">
        <v>348</v>
      </c>
      <c r="N132" s="7" t="s">
        <v>409</v>
      </c>
      <c r="O132" s="7" t="s">
        <v>474</v>
      </c>
      <c r="P132" s="7" t="s">
        <v>475</v>
      </c>
      <c r="Q132" s="7" t="s">
        <v>467</v>
      </c>
      <c r="R132" s="7">
        <v>6</v>
      </c>
      <c r="S132" s="8">
        <v>25</v>
      </c>
      <c r="T132" s="8">
        <v>0</v>
      </c>
      <c r="U132" s="8">
        <v>0</v>
      </c>
      <c r="V132" s="8"/>
      <c r="W132" s="8"/>
    </row>
    <row r="133" spans="1:23" s="7" customFormat="1" x14ac:dyDescent="0.35">
      <c r="A133" s="7" t="s">
        <v>476</v>
      </c>
      <c r="B133" s="7" t="s">
        <v>398</v>
      </c>
      <c r="C133" s="7" t="s">
        <v>477</v>
      </c>
      <c r="D133" s="7">
        <v>2017</v>
      </c>
      <c r="E133" s="7">
        <v>32</v>
      </c>
      <c r="F133" s="7" t="s">
        <v>345</v>
      </c>
      <c r="G133" s="7" t="s">
        <v>346</v>
      </c>
      <c r="H133" s="7" t="s">
        <v>392</v>
      </c>
      <c r="K133" s="7" t="s">
        <v>394</v>
      </c>
      <c r="M133" s="7" t="s">
        <v>348</v>
      </c>
      <c r="N133" s="7" t="s">
        <v>409</v>
      </c>
      <c r="O133" s="7" t="s">
        <v>474</v>
      </c>
      <c r="P133" s="7" t="s">
        <v>475</v>
      </c>
      <c r="Q133" s="7" t="s">
        <v>467</v>
      </c>
      <c r="R133" s="7">
        <v>12</v>
      </c>
      <c r="S133" s="8">
        <v>20</v>
      </c>
      <c r="T133" s="8">
        <v>0</v>
      </c>
      <c r="U133" s="8">
        <v>0</v>
      </c>
      <c r="V133" s="8"/>
      <c r="W133" s="8"/>
    </row>
    <row r="134" spans="1:23" s="7" customFormat="1" x14ac:dyDescent="0.35">
      <c r="A134" s="7" t="s">
        <v>476</v>
      </c>
      <c r="B134" s="7" t="s">
        <v>398</v>
      </c>
      <c r="C134" s="7" t="s">
        <v>477</v>
      </c>
      <c r="D134" s="7">
        <v>2017</v>
      </c>
      <c r="E134" s="7">
        <v>32</v>
      </c>
      <c r="F134" s="7" t="s">
        <v>345</v>
      </c>
      <c r="G134" s="7" t="s">
        <v>346</v>
      </c>
      <c r="H134" s="7" t="s">
        <v>392</v>
      </c>
      <c r="K134" s="7" t="s">
        <v>394</v>
      </c>
      <c r="M134" s="7" t="s">
        <v>348</v>
      </c>
      <c r="N134" s="7" t="s">
        <v>409</v>
      </c>
      <c r="O134" s="7" t="s">
        <v>474</v>
      </c>
      <c r="P134" s="7" t="s">
        <v>475</v>
      </c>
      <c r="Q134" s="7" t="s">
        <v>467</v>
      </c>
      <c r="R134" s="7">
        <v>18</v>
      </c>
      <c r="S134" s="8">
        <v>25</v>
      </c>
      <c r="T134" s="8">
        <v>0</v>
      </c>
      <c r="U134" s="8">
        <v>0</v>
      </c>
      <c r="V134" s="8"/>
      <c r="W134" s="8"/>
    </row>
    <row r="135" spans="1:23" s="7" customFormat="1" x14ac:dyDescent="0.35">
      <c r="A135" s="7" t="s">
        <v>476</v>
      </c>
      <c r="B135" s="7" t="s">
        <v>398</v>
      </c>
      <c r="C135" s="7" t="s">
        <v>477</v>
      </c>
      <c r="D135" s="7">
        <v>2017</v>
      </c>
      <c r="E135" s="7">
        <v>32</v>
      </c>
      <c r="F135" s="7" t="s">
        <v>345</v>
      </c>
      <c r="G135" s="7" t="s">
        <v>346</v>
      </c>
      <c r="H135" s="7" t="s">
        <v>392</v>
      </c>
      <c r="K135" s="7" t="s">
        <v>394</v>
      </c>
      <c r="M135" s="7" t="s">
        <v>348</v>
      </c>
      <c r="N135" s="7" t="s">
        <v>409</v>
      </c>
      <c r="O135" s="7" t="s">
        <v>474</v>
      </c>
      <c r="P135" s="7" t="s">
        <v>475</v>
      </c>
      <c r="Q135" s="7" t="s">
        <v>467</v>
      </c>
      <c r="R135" s="7">
        <v>24</v>
      </c>
      <c r="S135" s="8">
        <v>33.333333333333336</v>
      </c>
      <c r="T135" s="8">
        <v>0</v>
      </c>
      <c r="U135" s="8">
        <v>0</v>
      </c>
      <c r="V135" s="8"/>
      <c r="W135" s="8"/>
    </row>
    <row r="136" spans="1:23" s="7" customFormat="1" x14ac:dyDescent="0.35">
      <c r="A136" s="7" t="s">
        <v>480</v>
      </c>
      <c r="B136" s="7" t="s">
        <v>371</v>
      </c>
      <c r="C136" s="7" t="s">
        <v>415</v>
      </c>
      <c r="D136" s="7">
        <v>2013</v>
      </c>
      <c r="E136" s="7">
        <v>33</v>
      </c>
      <c r="F136" s="7" t="s">
        <v>345</v>
      </c>
      <c r="G136" s="7" t="s">
        <v>346</v>
      </c>
      <c r="H136" s="7" t="s">
        <v>369</v>
      </c>
      <c r="K136" s="7" t="s">
        <v>478</v>
      </c>
      <c r="L136" s="7" t="s">
        <v>479</v>
      </c>
      <c r="M136" s="7" t="s">
        <v>348</v>
      </c>
      <c r="N136" s="7" t="s">
        <v>417</v>
      </c>
      <c r="O136" s="7" t="s">
        <v>103</v>
      </c>
      <c r="P136" s="7" t="s">
        <v>102</v>
      </c>
      <c r="Q136" s="7" t="s">
        <v>230</v>
      </c>
      <c r="R136" s="7">
        <v>0</v>
      </c>
      <c r="S136" s="8">
        <v>0.97</v>
      </c>
      <c r="T136" s="8"/>
      <c r="U136" s="8">
        <v>0</v>
      </c>
      <c r="V136" s="8"/>
      <c r="W136" s="8"/>
    </row>
    <row r="137" spans="1:23" s="7" customFormat="1" x14ac:dyDescent="0.35">
      <c r="A137" s="7" t="s">
        <v>480</v>
      </c>
      <c r="B137" s="7" t="s">
        <v>371</v>
      </c>
      <c r="C137" s="7" t="s">
        <v>415</v>
      </c>
      <c r="D137" s="7">
        <v>2013</v>
      </c>
      <c r="E137" s="7">
        <v>33</v>
      </c>
      <c r="F137" s="7" t="s">
        <v>345</v>
      </c>
      <c r="G137" s="7" t="s">
        <v>346</v>
      </c>
      <c r="H137" s="7" t="s">
        <v>369</v>
      </c>
      <c r="K137" s="7" t="s">
        <v>478</v>
      </c>
      <c r="L137" s="7" t="s">
        <v>479</v>
      </c>
      <c r="M137" s="7" t="s">
        <v>348</v>
      </c>
      <c r="N137" s="7" t="s">
        <v>417</v>
      </c>
      <c r="O137" s="7" t="s">
        <v>103</v>
      </c>
      <c r="P137" s="7" t="s">
        <v>102</v>
      </c>
      <c r="Q137" s="7" t="s">
        <v>230</v>
      </c>
      <c r="R137" s="7">
        <v>10</v>
      </c>
      <c r="S137" s="8">
        <v>1.03</v>
      </c>
      <c r="T137" s="8"/>
      <c r="U137" s="8">
        <v>0</v>
      </c>
      <c r="V137" s="8"/>
      <c r="W137" s="8"/>
    </row>
    <row r="138" spans="1:23" s="7" customFormat="1" x14ac:dyDescent="0.35">
      <c r="A138" s="7" t="s">
        <v>480</v>
      </c>
      <c r="B138" s="7" t="s">
        <v>371</v>
      </c>
      <c r="C138" s="7" t="s">
        <v>415</v>
      </c>
      <c r="D138" s="7">
        <v>2013</v>
      </c>
      <c r="E138" s="7">
        <v>33</v>
      </c>
      <c r="F138" s="7" t="s">
        <v>345</v>
      </c>
      <c r="G138" s="7" t="s">
        <v>346</v>
      </c>
      <c r="H138" s="7" t="s">
        <v>369</v>
      </c>
      <c r="K138" s="7" t="s">
        <v>478</v>
      </c>
      <c r="L138" s="7" t="s">
        <v>479</v>
      </c>
      <c r="M138" s="7" t="s">
        <v>348</v>
      </c>
      <c r="N138" s="7" t="s">
        <v>417</v>
      </c>
      <c r="O138" s="7" t="s">
        <v>103</v>
      </c>
      <c r="P138" s="7" t="s">
        <v>102</v>
      </c>
      <c r="Q138" s="7" t="s">
        <v>230</v>
      </c>
      <c r="R138" s="7">
        <v>15</v>
      </c>
      <c r="S138" s="8">
        <v>1.22</v>
      </c>
      <c r="T138" s="8"/>
      <c r="U138" s="8">
        <v>0</v>
      </c>
      <c r="V138" s="8"/>
      <c r="W138" s="8"/>
    </row>
    <row r="139" spans="1:23" s="7" customFormat="1" x14ac:dyDescent="0.35">
      <c r="A139" s="7" t="s">
        <v>480</v>
      </c>
      <c r="B139" s="7" t="s">
        <v>371</v>
      </c>
      <c r="C139" s="7" t="s">
        <v>415</v>
      </c>
      <c r="D139" s="7">
        <v>2013</v>
      </c>
      <c r="E139" s="7">
        <v>33</v>
      </c>
      <c r="F139" s="7" t="s">
        <v>345</v>
      </c>
      <c r="G139" s="7" t="s">
        <v>346</v>
      </c>
      <c r="H139" s="7" t="s">
        <v>369</v>
      </c>
      <c r="K139" s="7" t="s">
        <v>478</v>
      </c>
      <c r="L139" s="7" t="s">
        <v>479</v>
      </c>
      <c r="M139" s="7" t="s">
        <v>348</v>
      </c>
      <c r="N139" s="7" t="s">
        <v>417</v>
      </c>
      <c r="O139" s="7" t="s">
        <v>103</v>
      </c>
      <c r="P139" s="7" t="s">
        <v>102</v>
      </c>
      <c r="Q139" s="7" t="s">
        <v>230</v>
      </c>
      <c r="R139" s="7">
        <v>20</v>
      </c>
      <c r="S139" s="8">
        <v>1.37</v>
      </c>
      <c r="T139" s="8"/>
      <c r="U139" s="8">
        <v>0</v>
      </c>
      <c r="V139" s="8"/>
      <c r="W139" s="8"/>
    </row>
    <row r="140" spans="1:23" s="7" customFormat="1" x14ac:dyDescent="0.35">
      <c r="A140" s="7" t="s">
        <v>484</v>
      </c>
      <c r="B140" s="7" t="s">
        <v>371</v>
      </c>
      <c r="C140" s="7" t="s">
        <v>485</v>
      </c>
      <c r="D140" s="7">
        <v>2018</v>
      </c>
      <c r="E140" s="7">
        <v>34</v>
      </c>
      <c r="F140" s="7" t="s">
        <v>345</v>
      </c>
      <c r="G140" s="7" t="s">
        <v>346</v>
      </c>
      <c r="H140" s="7" t="s">
        <v>483</v>
      </c>
      <c r="K140" s="7" t="s">
        <v>394</v>
      </c>
      <c r="M140" s="7" t="s">
        <v>348</v>
      </c>
      <c r="N140" s="7" t="s">
        <v>481</v>
      </c>
      <c r="O140" s="7" t="s">
        <v>288</v>
      </c>
      <c r="P140" s="7" t="s">
        <v>482</v>
      </c>
      <c r="Q140" s="7" t="s">
        <v>446</v>
      </c>
      <c r="R140" s="7">
        <v>0</v>
      </c>
      <c r="S140" s="8">
        <v>1.08</v>
      </c>
      <c r="T140" s="8">
        <v>0</v>
      </c>
      <c r="U140" s="8">
        <v>0</v>
      </c>
      <c r="V140" s="8"/>
      <c r="W140" s="8"/>
    </row>
    <row r="141" spans="1:23" s="7" customFormat="1" x14ac:dyDescent="0.35">
      <c r="A141" s="7" t="s">
        <v>484</v>
      </c>
      <c r="B141" s="7" t="s">
        <v>371</v>
      </c>
      <c r="C141" s="7" t="s">
        <v>485</v>
      </c>
      <c r="D141" s="7">
        <v>2018</v>
      </c>
      <c r="E141" s="7">
        <v>34</v>
      </c>
      <c r="F141" s="7" t="s">
        <v>345</v>
      </c>
      <c r="G141" s="7" t="s">
        <v>346</v>
      </c>
      <c r="H141" s="7" t="s">
        <v>483</v>
      </c>
      <c r="K141" s="7" t="s">
        <v>394</v>
      </c>
      <c r="M141" s="7" t="s">
        <v>348</v>
      </c>
      <c r="N141" s="7" t="s">
        <v>481</v>
      </c>
      <c r="O141" s="7" t="s">
        <v>288</v>
      </c>
      <c r="P141" s="7" t="s">
        <v>482</v>
      </c>
      <c r="Q141" s="7" t="s">
        <v>446</v>
      </c>
      <c r="R141" s="7">
        <v>3</v>
      </c>
      <c r="S141" s="8">
        <v>0.93</v>
      </c>
      <c r="T141" s="8">
        <v>9</v>
      </c>
      <c r="U141" s="8">
        <v>35</v>
      </c>
      <c r="V141" s="8"/>
      <c r="W141" s="8"/>
    </row>
    <row r="142" spans="1:23" s="7" customFormat="1" x14ac:dyDescent="0.35">
      <c r="A142" s="7" t="s">
        <v>484</v>
      </c>
      <c r="B142" s="7" t="s">
        <v>371</v>
      </c>
      <c r="C142" s="7" t="s">
        <v>485</v>
      </c>
      <c r="D142" s="7">
        <v>2018</v>
      </c>
      <c r="E142" s="7">
        <v>34</v>
      </c>
      <c r="F142" s="7" t="s">
        <v>345</v>
      </c>
      <c r="G142" s="7" t="s">
        <v>346</v>
      </c>
      <c r="H142" s="7" t="s">
        <v>483</v>
      </c>
      <c r="K142" s="7" t="s">
        <v>394</v>
      </c>
      <c r="M142" s="7" t="s">
        <v>348</v>
      </c>
      <c r="N142" s="7" t="s">
        <v>481</v>
      </c>
      <c r="O142" s="7" t="s">
        <v>288</v>
      </c>
      <c r="P142" s="7" t="s">
        <v>482</v>
      </c>
      <c r="Q142" s="7" t="s">
        <v>446</v>
      </c>
      <c r="R142" s="7">
        <v>6</v>
      </c>
      <c r="S142" s="8">
        <v>1.23</v>
      </c>
      <c r="T142" s="8">
        <v>9</v>
      </c>
      <c r="U142" s="8">
        <v>34</v>
      </c>
      <c r="V142" s="8"/>
      <c r="W142" s="8"/>
    </row>
    <row r="143" spans="1:23" s="7" customFormat="1" x14ac:dyDescent="0.35">
      <c r="A143" s="7" t="s">
        <v>484</v>
      </c>
      <c r="B143" s="7" t="s">
        <v>371</v>
      </c>
      <c r="C143" s="7" t="s">
        <v>485</v>
      </c>
      <c r="D143" s="7">
        <v>2018</v>
      </c>
      <c r="E143" s="7">
        <v>34</v>
      </c>
      <c r="F143" s="7" t="s">
        <v>345</v>
      </c>
      <c r="G143" s="7" t="s">
        <v>346</v>
      </c>
      <c r="H143" s="7" t="s">
        <v>483</v>
      </c>
      <c r="K143" s="7" t="s">
        <v>394</v>
      </c>
      <c r="M143" s="7" t="s">
        <v>348</v>
      </c>
      <c r="N143" s="7" t="s">
        <v>481</v>
      </c>
      <c r="O143" s="7" t="s">
        <v>288</v>
      </c>
      <c r="P143" s="7" t="s">
        <v>482</v>
      </c>
      <c r="Q143" s="7" t="s">
        <v>446</v>
      </c>
      <c r="R143" s="7">
        <v>9</v>
      </c>
      <c r="S143" s="8">
        <v>1.1399999999999999</v>
      </c>
      <c r="T143" s="8">
        <v>9</v>
      </c>
      <c r="U143" s="8">
        <v>35</v>
      </c>
      <c r="V143" s="8"/>
      <c r="W143" s="8"/>
    </row>
    <row r="144" spans="1:23" s="7" customFormat="1" x14ac:dyDescent="0.35">
      <c r="A144" s="7" t="s">
        <v>486</v>
      </c>
      <c r="B144" s="7" t="s">
        <v>487</v>
      </c>
      <c r="C144" s="7" t="s">
        <v>488</v>
      </c>
      <c r="D144" s="7">
        <v>2015</v>
      </c>
      <c r="E144" s="7">
        <v>35</v>
      </c>
      <c r="F144" s="7" t="s">
        <v>345</v>
      </c>
      <c r="G144" s="7" t="s">
        <v>346</v>
      </c>
      <c r="H144" s="7" t="s">
        <v>392</v>
      </c>
      <c r="K144" s="7" t="s">
        <v>394</v>
      </c>
      <c r="M144" s="7" t="s">
        <v>348</v>
      </c>
      <c r="N144" s="7" t="s">
        <v>409</v>
      </c>
      <c r="O144" s="7" t="s">
        <v>474</v>
      </c>
      <c r="P144" s="7" t="s">
        <v>489</v>
      </c>
      <c r="Q144" s="7" t="s">
        <v>467</v>
      </c>
      <c r="R144" s="7">
        <v>0</v>
      </c>
      <c r="S144" s="8">
        <v>1.65</v>
      </c>
      <c r="T144" s="8">
        <v>0</v>
      </c>
      <c r="U144" s="8">
        <v>0</v>
      </c>
      <c r="V144" s="8"/>
      <c r="W144" s="8"/>
    </row>
    <row r="145" spans="1:23" s="7" customFormat="1" x14ac:dyDescent="0.35">
      <c r="A145" s="7" t="s">
        <v>486</v>
      </c>
      <c r="B145" s="7" t="s">
        <v>487</v>
      </c>
      <c r="C145" s="7" t="s">
        <v>488</v>
      </c>
      <c r="D145" s="7">
        <v>2015</v>
      </c>
      <c r="E145" s="7">
        <v>35</v>
      </c>
      <c r="F145" s="7" t="s">
        <v>345</v>
      </c>
      <c r="G145" s="7" t="s">
        <v>346</v>
      </c>
      <c r="H145" s="7" t="s">
        <v>392</v>
      </c>
      <c r="K145" s="7" t="s">
        <v>394</v>
      </c>
      <c r="M145" s="7" t="s">
        <v>348</v>
      </c>
      <c r="N145" s="7" t="s">
        <v>409</v>
      </c>
      <c r="O145" s="7" t="s">
        <v>474</v>
      </c>
      <c r="P145" s="7" t="s">
        <v>489</v>
      </c>
      <c r="Q145" s="7" t="s">
        <v>467</v>
      </c>
      <c r="R145" s="7">
        <v>25</v>
      </c>
      <c r="S145" s="8">
        <v>1.5</v>
      </c>
      <c r="T145" s="8">
        <v>0</v>
      </c>
      <c r="U145" s="8">
        <v>0</v>
      </c>
      <c r="V145" s="8"/>
      <c r="W145" s="8"/>
    </row>
    <row r="146" spans="1:23" s="7" customFormat="1" x14ac:dyDescent="0.35">
      <c r="A146" s="7" t="s">
        <v>486</v>
      </c>
      <c r="B146" s="7" t="s">
        <v>487</v>
      </c>
      <c r="C146" s="7" t="s">
        <v>488</v>
      </c>
      <c r="D146" s="7">
        <v>2015</v>
      </c>
      <c r="E146" s="7">
        <v>35</v>
      </c>
      <c r="F146" s="7" t="s">
        <v>345</v>
      </c>
      <c r="G146" s="7" t="s">
        <v>346</v>
      </c>
      <c r="H146" s="7" t="s">
        <v>392</v>
      </c>
      <c r="K146" s="7" t="s">
        <v>394</v>
      </c>
      <c r="M146" s="7" t="s">
        <v>348</v>
      </c>
      <c r="N146" s="7" t="s">
        <v>409</v>
      </c>
      <c r="O146" s="7" t="s">
        <v>474</v>
      </c>
      <c r="P146" s="7" t="s">
        <v>489</v>
      </c>
      <c r="Q146" s="7" t="s">
        <v>467</v>
      </c>
      <c r="R146" s="7">
        <v>50</v>
      </c>
      <c r="S146" s="8">
        <v>1.21</v>
      </c>
      <c r="T146" s="8">
        <v>0</v>
      </c>
      <c r="U146" s="8">
        <v>0</v>
      </c>
      <c r="V146" s="8"/>
      <c r="W146" s="8"/>
    </row>
    <row r="147" spans="1:23" s="7" customFormat="1" x14ac:dyDescent="0.35">
      <c r="A147" s="7" t="s">
        <v>486</v>
      </c>
      <c r="B147" s="7" t="s">
        <v>487</v>
      </c>
      <c r="C147" s="7" t="s">
        <v>488</v>
      </c>
      <c r="D147" s="7">
        <v>2015</v>
      </c>
      <c r="E147" s="7">
        <v>35</v>
      </c>
      <c r="F147" s="7" t="s">
        <v>345</v>
      </c>
      <c r="G147" s="7" t="s">
        <v>346</v>
      </c>
      <c r="H147" s="7" t="s">
        <v>392</v>
      </c>
      <c r="K147" s="7" t="s">
        <v>394</v>
      </c>
      <c r="M147" s="7" t="s">
        <v>348</v>
      </c>
      <c r="N147" s="7" t="s">
        <v>409</v>
      </c>
      <c r="O147" s="7" t="s">
        <v>474</v>
      </c>
      <c r="P147" s="7" t="s">
        <v>489</v>
      </c>
      <c r="Q147" s="7" t="s">
        <v>467</v>
      </c>
      <c r="R147" s="7">
        <v>75</v>
      </c>
      <c r="S147" s="8">
        <v>1.25</v>
      </c>
      <c r="T147" s="8">
        <v>0</v>
      </c>
      <c r="U147" s="8">
        <v>0</v>
      </c>
      <c r="V147" s="8"/>
      <c r="W147" s="8"/>
    </row>
    <row r="148" spans="1:23" s="7" customFormat="1" x14ac:dyDescent="0.35">
      <c r="A148" s="7" t="s">
        <v>486</v>
      </c>
      <c r="B148" s="7" t="s">
        <v>487</v>
      </c>
      <c r="C148" s="7" t="s">
        <v>488</v>
      </c>
      <c r="D148" s="7">
        <v>2015</v>
      </c>
      <c r="E148" s="7">
        <v>35</v>
      </c>
      <c r="F148" s="7" t="s">
        <v>345</v>
      </c>
      <c r="G148" s="7" t="s">
        <v>346</v>
      </c>
      <c r="H148" s="7" t="s">
        <v>392</v>
      </c>
      <c r="K148" s="7" t="s">
        <v>394</v>
      </c>
      <c r="M148" s="7" t="s">
        <v>348</v>
      </c>
      <c r="N148" s="7" t="s">
        <v>409</v>
      </c>
      <c r="O148" s="7" t="s">
        <v>474</v>
      </c>
      <c r="P148" s="7" t="s">
        <v>489</v>
      </c>
      <c r="Q148" s="7" t="s">
        <v>467</v>
      </c>
      <c r="R148" s="7">
        <v>100</v>
      </c>
      <c r="S148" s="8">
        <v>1.73</v>
      </c>
      <c r="T148" s="8">
        <v>0</v>
      </c>
      <c r="U148" s="8">
        <v>0</v>
      </c>
      <c r="V148" s="8"/>
      <c r="W148" s="8"/>
    </row>
    <row r="149" spans="1:23" s="7" customFormat="1" x14ac:dyDescent="0.35">
      <c r="A149" s="7" t="s">
        <v>490</v>
      </c>
      <c r="B149" s="7" t="s">
        <v>491</v>
      </c>
      <c r="C149" s="7" t="s">
        <v>441</v>
      </c>
      <c r="D149" s="7">
        <v>2018</v>
      </c>
      <c r="E149" s="7">
        <v>35</v>
      </c>
      <c r="F149" s="7" t="s">
        <v>345</v>
      </c>
      <c r="G149" s="7" t="s">
        <v>346</v>
      </c>
      <c r="H149" s="7" t="s">
        <v>392</v>
      </c>
      <c r="K149" s="7" t="s">
        <v>378</v>
      </c>
      <c r="L149" s="7" t="s">
        <v>416</v>
      </c>
      <c r="M149" s="7" t="s">
        <v>348</v>
      </c>
      <c r="N149" s="7" t="s">
        <v>31</v>
      </c>
      <c r="O149" s="7" t="s">
        <v>32</v>
      </c>
      <c r="P149" s="7" t="s">
        <v>405</v>
      </c>
      <c r="Q149" s="7" t="s">
        <v>230</v>
      </c>
      <c r="R149" s="7">
        <v>0</v>
      </c>
      <c r="S149" s="8">
        <v>0.8</v>
      </c>
      <c r="T149" s="8"/>
      <c r="U149" s="8">
        <v>0</v>
      </c>
      <c r="V149" s="8"/>
      <c r="W149" s="8"/>
    </row>
    <row r="150" spans="1:23" s="7" customFormat="1" x14ac:dyDescent="0.35">
      <c r="A150" s="7" t="s">
        <v>490</v>
      </c>
      <c r="B150" s="7" t="s">
        <v>491</v>
      </c>
      <c r="C150" s="7" t="s">
        <v>441</v>
      </c>
      <c r="D150" s="7">
        <v>2018</v>
      </c>
      <c r="E150" s="7">
        <v>35</v>
      </c>
      <c r="F150" s="7" t="s">
        <v>345</v>
      </c>
      <c r="G150" s="7" t="s">
        <v>346</v>
      </c>
      <c r="H150" s="7" t="s">
        <v>392</v>
      </c>
      <c r="K150" s="7" t="s">
        <v>378</v>
      </c>
      <c r="L150" s="7" t="s">
        <v>416</v>
      </c>
      <c r="M150" s="7" t="s">
        <v>348</v>
      </c>
      <c r="N150" s="7" t="s">
        <v>31</v>
      </c>
      <c r="O150" s="7" t="s">
        <v>32</v>
      </c>
      <c r="P150" s="7" t="s">
        <v>405</v>
      </c>
      <c r="Q150" s="7" t="s">
        <v>230</v>
      </c>
      <c r="R150" s="7">
        <v>50</v>
      </c>
      <c r="S150" s="8">
        <v>0.77</v>
      </c>
      <c r="T150" s="8"/>
      <c r="U150" s="8">
        <v>0</v>
      </c>
      <c r="V150" s="8"/>
      <c r="W150" s="8"/>
    </row>
    <row r="151" spans="1:23" s="7" customFormat="1" x14ac:dyDescent="0.35">
      <c r="A151" s="7" t="s">
        <v>490</v>
      </c>
      <c r="B151" s="7" t="s">
        <v>491</v>
      </c>
      <c r="C151" s="7" t="s">
        <v>441</v>
      </c>
      <c r="D151" s="7">
        <v>2018</v>
      </c>
      <c r="E151" s="7">
        <v>35</v>
      </c>
      <c r="F151" s="7" t="s">
        <v>345</v>
      </c>
      <c r="G151" s="7" t="s">
        <v>346</v>
      </c>
      <c r="H151" s="7" t="s">
        <v>392</v>
      </c>
      <c r="K151" s="7" t="s">
        <v>378</v>
      </c>
      <c r="L151" s="7" t="s">
        <v>416</v>
      </c>
      <c r="M151" s="7" t="s">
        <v>348</v>
      </c>
      <c r="N151" s="7" t="s">
        <v>31</v>
      </c>
      <c r="O151" s="7" t="s">
        <v>32</v>
      </c>
      <c r="P151" s="7" t="s">
        <v>405</v>
      </c>
      <c r="Q151" s="7" t="s">
        <v>230</v>
      </c>
      <c r="R151" s="7">
        <v>75</v>
      </c>
      <c r="S151" s="8">
        <v>0.76</v>
      </c>
      <c r="T151" s="8"/>
      <c r="U151" s="8">
        <v>0</v>
      </c>
      <c r="V151" s="8"/>
      <c r="W151" s="8"/>
    </row>
    <row r="152" spans="1:23" s="7" customFormat="1" x14ac:dyDescent="0.35">
      <c r="A152" s="7" t="s">
        <v>490</v>
      </c>
      <c r="B152" s="7" t="s">
        <v>491</v>
      </c>
      <c r="C152" s="7" t="s">
        <v>441</v>
      </c>
      <c r="D152" s="7">
        <v>2018</v>
      </c>
      <c r="E152" s="7">
        <v>35</v>
      </c>
      <c r="F152" s="7" t="s">
        <v>345</v>
      </c>
      <c r="G152" s="7" t="s">
        <v>170</v>
      </c>
      <c r="H152" s="7" t="s">
        <v>442</v>
      </c>
      <c r="K152" s="7" t="s">
        <v>378</v>
      </c>
      <c r="L152" s="7" t="s">
        <v>416</v>
      </c>
      <c r="M152" s="7" t="s">
        <v>348</v>
      </c>
      <c r="N152" s="7" t="s">
        <v>31</v>
      </c>
      <c r="O152" s="7" t="s">
        <v>32</v>
      </c>
      <c r="P152" s="7" t="s">
        <v>405</v>
      </c>
      <c r="Q152" s="7" t="s">
        <v>230</v>
      </c>
      <c r="R152" s="7">
        <v>50</v>
      </c>
      <c r="S152" s="8">
        <v>0.77</v>
      </c>
      <c r="T152" s="8"/>
      <c r="U152" s="8">
        <v>0</v>
      </c>
      <c r="V152" s="8"/>
      <c r="W152" s="8"/>
    </row>
    <row r="153" spans="1:23" s="7" customFormat="1" x14ac:dyDescent="0.35">
      <c r="A153" s="7" t="s">
        <v>490</v>
      </c>
      <c r="B153" s="7" t="s">
        <v>491</v>
      </c>
      <c r="C153" s="7" t="s">
        <v>441</v>
      </c>
      <c r="D153" s="7">
        <v>2018</v>
      </c>
      <c r="E153" s="7">
        <v>35</v>
      </c>
      <c r="F153" s="7" t="s">
        <v>345</v>
      </c>
      <c r="G153" s="7" t="s">
        <v>170</v>
      </c>
      <c r="H153" s="7" t="s">
        <v>442</v>
      </c>
      <c r="K153" s="7" t="s">
        <v>378</v>
      </c>
      <c r="L153" s="7" t="s">
        <v>416</v>
      </c>
      <c r="M153" s="7" t="s">
        <v>348</v>
      </c>
      <c r="N153" s="7" t="s">
        <v>31</v>
      </c>
      <c r="O153" s="7" t="s">
        <v>32</v>
      </c>
      <c r="P153" s="7" t="s">
        <v>405</v>
      </c>
      <c r="Q153" s="7" t="s">
        <v>230</v>
      </c>
      <c r="R153" s="7">
        <v>75</v>
      </c>
      <c r="S153" s="8">
        <v>0.75</v>
      </c>
      <c r="T153" s="8"/>
      <c r="U153" s="8">
        <v>0</v>
      </c>
      <c r="V153" s="8"/>
      <c r="W153" s="8"/>
    </row>
    <row r="154" spans="1:23" s="7" customFormat="1" x14ac:dyDescent="0.35">
      <c r="A154" s="7" t="s">
        <v>493</v>
      </c>
      <c r="B154" s="7" t="s">
        <v>353</v>
      </c>
      <c r="C154" s="7" t="s">
        <v>385</v>
      </c>
      <c r="D154" s="7">
        <v>2018</v>
      </c>
      <c r="E154" s="7">
        <v>36</v>
      </c>
      <c r="F154" s="7" t="s">
        <v>345</v>
      </c>
      <c r="G154" s="7" t="s">
        <v>346</v>
      </c>
      <c r="H154" s="7" t="s">
        <v>492</v>
      </c>
      <c r="K154" s="7" t="s">
        <v>378</v>
      </c>
      <c r="L154" s="7" t="s">
        <v>447</v>
      </c>
      <c r="M154" s="7" t="s">
        <v>348</v>
      </c>
      <c r="N154" s="7" t="s">
        <v>417</v>
      </c>
      <c r="O154" s="7" t="s">
        <v>103</v>
      </c>
      <c r="P154" s="7" t="s">
        <v>102</v>
      </c>
      <c r="Q154" s="7" t="s">
        <v>230</v>
      </c>
      <c r="R154" s="7">
        <v>0</v>
      </c>
      <c r="S154" s="8">
        <v>1.1200000000000001</v>
      </c>
      <c r="T154" s="8"/>
      <c r="U154" s="8">
        <v>0</v>
      </c>
      <c r="V154" s="8"/>
      <c r="W154" s="8"/>
    </row>
    <row r="155" spans="1:23" s="7" customFormat="1" x14ac:dyDescent="0.35">
      <c r="A155" s="7" t="s">
        <v>493</v>
      </c>
      <c r="B155" s="7" t="s">
        <v>353</v>
      </c>
      <c r="C155" s="7" t="s">
        <v>385</v>
      </c>
      <c r="D155" s="7">
        <v>2018</v>
      </c>
      <c r="E155" s="7">
        <v>36</v>
      </c>
      <c r="F155" s="7" t="s">
        <v>345</v>
      </c>
      <c r="G155" s="7" t="s">
        <v>346</v>
      </c>
      <c r="H155" s="7" t="s">
        <v>492</v>
      </c>
      <c r="K155" s="7" t="s">
        <v>378</v>
      </c>
      <c r="L155" s="7" t="s">
        <v>447</v>
      </c>
      <c r="M155" s="7" t="s">
        <v>348</v>
      </c>
      <c r="N155" s="7" t="s">
        <v>417</v>
      </c>
      <c r="O155" s="7" t="s">
        <v>103</v>
      </c>
      <c r="P155" s="7" t="s">
        <v>102</v>
      </c>
      <c r="Q155" s="7" t="s">
        <v>230</v>
      </c>
      <c r="R155" s="7">
        <v>33</v>
      </c>
      <c r="S155" s="8">
        <v>1.26</v>
      </c>
      <c r="T155" s="8"/>
      <c r="U155" s="8">
        <v>0</v>
      </c>
      <c r="V155" s="8"/>
      <c r="W155" s="8"/>
    </row>
    <row r="156" spans="1:23" s="7" customFormat="1" x14ac:dyDescent="0.35">
      <c r="A156" s="7" t="s">
        <v>493</v>
      </c>
      <c r="B156" s="7" t="s">
        <v>353</v>
      </c>
      <c r="C156" s="7" t="s">
        <v>385</v>
      </c>
      <c r="D156" s="7">
        <v>2018</v>
      </c>
      <c r="E156" s="7">
        <v>36</v>
      </c>
      <c r="F156" s="7" t="s">
        <v>345</v>
      </c>
      <c r="G156" s="7" t="s">
        <v>346</v>
      </c>
      <c r="H156" s="7" t="s">
        <v>492</v>
      </c>
      <c r="K156" s="7" t="s">
        <v>378</v>
      </c>
      <c r="L156" s="7" t="s">
        <v>447</v>
      </c>
      <c r="M156" s="7" t="s">
        <v>348</v>
      </c>
      <c r="N156" s="7" t="s">
        <v>417</v>
      </c>
      <c r="O156" s="7" t="s">
        <v>103</v>
      </c>
      <c r="P156" s="7" t="s">
        <v>102</v>
      </c>
      <c r="Q156" s="7" t="s">
        <v>230</v>
      </c>
      <c r="R156" s="7">
        <v>66</v>
      </c>
      <c r="S156" s="8">
        <v>1.58</v>
      </c>
      <c r="T156" s="8"/>
      <c r="U156" s="8">
        <v>0</v>
      </c>
      <c r="V156" s="8"/>
      <c r="W156" s="8"/>
    </row>
    <row r="157" spans="1:23" s="7" customFormat="1" x14ac:dyDescent="0.35">
      <c r="A157" s="7" t="s">
        <v>493</v>
      </c>
      <c r="B157" s="7" t="s">
        <v>353</v>
      </c>
      <c r="C157" s="7" t="s">
        <v>385</v>
      </c>
      <c r="D157" s="7">
        <v>2018</v>
      </c>
      <c r="E157" s="7">
        <v>36</v>
      </c>
      <c r="F157" s="7" t="s">
        <v>345</v>
      </c>
      <c r="G157" s="7" t="s">
        <v>346</v>
      </c>
      <c r="H157" s="7" t="s">
        <v>492</v>
      </c>
      <c r="K157" s="7" t="s">
        <v>378</v>
      </c>
      <c r="L157" s="7" t="s">
        <v>447</v>
      </c>
      <c r="M157" s="7" t="s">
        <v>348</v>
      </c>
      <c r="N157" s="7" t="s">
        <v>417</v>
      </c>
      <c r="O157" s="7" t="s">
        <v>103</v>
      </c>
      <c r="P157" s="7" t="s">
        <v>102</v>
      </c>
      <c r="Q157" s="7" t="s">
        <v>230</v>
      </c>
      <c r="R157" s="7">
        <v>100</v>
      </c>
      <c r="S157" s="8">
        <v>1.55</v>
      </c>
      <c r="T157" s="8"/>
      <c r="U157" s="8">
        <v>0</v>
      </c>
      <c r="V157" s="8"/>
      <c r="W157" s="8"/>
    </row>
    <row r="158" spans="1:23" s="7" customFormat="1" x14ac:dyDescent="0.35">
      <c r="A158" s="7" t="s">
        <v>495</v>
      </c>
      <c r="B158" s="7" t="s">
        <v>494</v>
      </c>
      <c r="C158" s="7" t="s">
        <v>441</v>
      </c>
      <c r="D158" s="7">
        <v>2017</v>
      </c>
      <c r="E158" s="7">
        <v>37</v>
      </c>
      <c r="F158" s="7" t="s">
        <v>416</v>
      </c>
      <c r="G158" s="7" t="s">
        <v>346</v>
      </c>
      <c r="H158" s="7" t="s">
        <v>392</v>
      </c>
      <c r="I158" s="7" t="s">
        <v>163</v>
      </c>
      <c r="J158" s="7" t="s">
        <v>419</v>
      </c>
      <c r="K158" s="7" t="s">
        <v>394</v>
      </c>
      <c r="M158" s="7" t="s">
        <v>348</v>
      </c>
      <c r="N158" s="7" t="s">
        <v>409</v>
      </c>
      <c r="O158" s="7" t="s">
        <v>439</v>
      </c>
      <c r="P158" s="7" t="s">
        <v>172</v>
      </c>
      <c r="Q158" s="7" t="s">
        <v>446</v>
      </c>
      <c r="R158" s="7">
        <v>0</v>
      </c>
      <c r="S158" s="8">
        <v>1.85</v>
      </c>
      <c r="T158" s="8">
        <v>0</v>
      </c>
      <c r="U158" s="8">
        <v>0</v>
      </c>
      <c r="V158" s="8"/>
      <c r="W158" s="8"/>
    </row>
    <row r="159" spans="1:23" s="7" customFormat="1" x14ac:dyDescent="0.35">
      <c r="A159" s="7" t="s">
        <v>495</v>
      </c>
      <c r="B159" s="7" t="s">
        <v>494</v>
      </c>
      <c r="C159" s="7" t="s">
        <v>441</v>
      </c>
      <c r="D159" s="7">
        <v>2017</v>
      </c>
      <c r="E159" s="7">
        <v>37</v>
      </c>
      <c r="F159" s="7" t="s">
        <v>416</v>
      </c>
      <c r="G159" s="7" t="s">
        <v>346</v>
      </c>
      <c r="H159" s="7" t="s">
        <v>392</v>
      </c>
      <c r="I159" s="7" t="s">
        <v>163</v>
      </c>
      <c r="J159" s="7" t="s">
        <v>419</v>
      </c>
      <c r="K159" s="7" t="s">
        <v>394</v>
      </c>
      <c r="M159" s="7" t="s">
        <v>348</v>
      </c>
      <c r="N159" s="7" t="s">
        <v>409</v>
      </c>
      <c r="O159" s="7" t="s">
        <v>439</v>
      </c>
      <c r="P159" s="7" t="s">
        <v>172</v>
      </c>
      <c r="Q159" s="7" t="s">
        <v>446</v>
      </c>
      <c r="R159" s="7">
        <v>10</v>
      </c>
      <c r="S159" s="8">
        <v>1.89</v>
      </c>
      <c r="T159" s="8">
        <v>6</v>
      </c>
      <c r="U159" s="8">
        <v>-10</v>
      </c>
      <c r="V159" s="8"/>
      <c r="W159" s="8"/>
    </row>
    <row r="160" spans="1:23" s="7" customFormat="1" x14ac:dyDescent="0.35">
      <c r="A160" s="7" t="s">
        <v>495</v>
      </c>
      <c r="B160" s="7" t="s">
        <v>494</v>
      </c>
      <c r="C160" s="7" t="s">
        <v>441</v>
      </c>
      <c r="D160" s="7">
        <v>2017</v>
      </c>
      <c r="E160" s="7">
        <v>37</v>
      </c>
      <c r="F160" s="7" t="s">
        <v>416</v>
      </c>
      <c r="G160" s="7" t="s">
        <v>346</v>
      </c>
      <c r="H160" s="7" t="s">
        <v>392</v>
      </c>
      <c r="I160" s="7" t="s">
        <v>163</v>
      </c>
      <c r="J160" s="7" t="s">
        <v>419</v>
      </c>
      <c r="K160" s="7" t="s">
        <v>394</v>
      </c>
      <c r="M160" s="7" t="s">
        <v>348</v>
      </c>
      <c r="N160" s="7" t="s">
        <v>409</v>
      </c>
      <c r="O160" s="7" t="s">
        <v>439</v>
      </c>
      <c r="P160" s="7" t="s">
        <v>172</v>
      </c>
      <c r="Q160" s="7" t="s">
        <v>446</v>
      </c>
      <c r="R160" s="7">
        <v>20</v>
      </c>
      <c r="S160" s="8">
        <v>2.2000000000000002</v>
      </c>
      <c r="T160" s="8">
        <v>12</v>
      </c>
      <c r="U160" s="8">
        <v>-20</v>
      </c>
      <c r="V160" s="8"/>
      <c r="W160" s="8"/>
    </row>
    <row r="161" spans="1:23" s="7" customFormat="1" x14ac:dyDescent="0.35">
      <c r="A161" s="7" t="s">
        <v>495</v>
      </c>
      <c r="B161" s="7" t="s">
        <v>494</v>
      </c>
      <c r="C161" s="7" t="s">
        <v>441</v>
      </c>
      <c r="D161" s="7">
        <v>2017</v>
      </c>
      <c r="E161" s="7">
        <v>37</v>
      </c>
      <c r="F161" s="7" t="s">
        <v>416</v>
      </c>
      <c r="G161" s="7" t="s">
        <v>346</v>
      </c>
      <c r="H161" s="7" t="s">
        <v>392</v>
      </c>
      <c r="I161" s="7" t="s">
        <v>163</v>
      </c>
      <c r="J161" s="7" t="s">
        <v>419</v>
      </c>
      <c r="K161" s="7" t="s">
        <v>394</v>
      </c>
      <c r="M161" s="7" t="s">
        <v>348</v>
      </c>
      <c r="N161" s="7" t="s">
        <v>409</v>
      </c>
      <c r="O161" s="7" t="s">
        <v>439</v>
      </c>
      <c r="P161" s="7" t="s">
        <v>172</v>
      </c>
      <c r="Q161" s="7" t="s">
        <v>446</v>
      </c>
      <c r="R161" s="7">
        <v>30</v>
      </c>
      <c r="S161" s="8">
        <v>2.29</v>
      </c>
      <c r="T161" s="8">
        <v>18</v>
      </c>
      <c r="U161" s="8">
        <v>-30</v>
      </c>
      <c r="V161" s="8"/>
      <c r="W161" s="8"/>
    </row>
    <row r="162" spans="1:23" s="7" customFormat="1" x14ac:dyDescent="0.35">
      <c r="A162" s="7" t="s">
        <v>495</v>
      </c>
      <c r="B162" s="7" t="s">
        <v>494</v>
      </c>
      <c r="C162" s="7" t="s">
        <v>441</v>
      </c>
      <c r="D162" s="7">
        <v>2017</v>
      </c>
      <c r="E162" s="7">
        <v>37</v>
      </c>
      <c r="F162" s="7" t="s">
        <v>416</v>
      </c>
      <c r="G162" s="7" t="s">
        <v>346</v>
      </c>
      <c r="H162" s="7" t="s">
        <v>392</v>
      </c>
      <c r="I162" s="7" t="s">
        <v>163</v>
      </c>
      <c r="J162" s="7" t="s">
        <v>419</v>
      </c>
      <c r="K162" s="7" t="s">
        <v>394</v>
      </c>
      <c r="M162" s="7" t="s">
        <v>348</v>
      </c>
      <c r="N162" s="7" t="s">
        <v>409</v>
      </c>
      <c r="O162" s="7" t="s">
        <v>439</v>
      </c>
      <c r="P162" s="7" t="s">
        <v>172</v>
      </c>
      <c r="Q162" s="7" t="s">
        <v>446</v>
      </c>
      <c r="R162" s="7">
        <v>40</v>
      </c>
      <c r="S162" s="8">
        <v>2.8</v>
      </c>
      <c r="T162" s="8">
        <v>24</v>
      </c>
      <c r="U162" s="8">
        <v>-40</v>
      </c>
      <c r="V162" s="8"/>
      <c r="W162" s="8"/>
    </row>
    <row r="163" spans="1:23" s="7" customFormat="1" x14ac:dyDescent="0.35">
      <c r="A163" s="7" t="s">
        <v>497</v>
      </c>
      <c r="B163" s="7" t="s">
        <v>498</v>
      </c>
      <c r="C163" s="7" t="s">
        <v>488</v>
      </c>
      <c r="D163" s="7">
        <v>2006</v>
      </c>
      <c r="E163" s="7">
        <v>38</v>
      </c>
      <c r="F163" s="7" t="s">
        <v>416</v>
      </c>
      <c r="G163" s="7" t="s">
        <v>346</v>
      </c>
      <c r="H163" s="7" t="s">
        <v>502</v>
      </c>
      <c r="I163" s="7" t="s">
        <v>499</v>
      </c>
      <c r="J163" s="7" t="s">
        <v>500</v>
      </c>
      <c r="K163" s="7" t="s">
        <v>394</v>
      </c>
      <c r="M163" s="7" t="s">
        <v>348</v>
      </c>
      <c r="N163" s="7" t="s">
        <v>106</v>
      </c>
      <c r="O163" s="7" t="s">
        <v>205</v>
      </c>
      <c r="P163" s="7" t="s">
        <v>496</v>
      </c>
      <c r="Q163" s="7" t="s">
        <v>237</v>
      </c>
      <c r="R163" s="7">
        <v>0</v>
      </c>
      <c r="S163" s="8">
        <v>1.34</v>
      </c>
      <c r="T163" s="8"/>
      <c r="U163" s="8">
        <v>0</v>
      </c>
      <c r="V163" s="8"/>
      <c r="W163" s="8"/>
    </row>
    <row r="164" spans="1:23" s="7" customFormat="1" x14ac:dyDescent="0.35">
      <c r="A164" s="7" t="s">
        <v>497</v>
      </c>
      <c r="B164" s="7" t="s">
        <v>498</v>
      </c>
      <c r="C164" s="7" t="s">
        <v>488</v>
      </c>
      <c r="D164" s="7">
        <v>2006</v>
      </c>
      <c r="E164" s="7">
        <v>38</v>
      </c>
      <c r="F164" s="7" t="s">
        <v>416</v>
      </c>
      <c r="G164" s="7" t="s">
        <v>346</v>
      </c>
      <c r="H164" s="7" t="s">
        <v>502</v>
      </c>
      <c r="I164" s="7" t="s">
        <v>499</v>
      </c>
      <c r="J164" s="7" t="s">
        <v>500</v>
      </c>
      <c r="K164" s="7" t="s">
        <v>394</v>
      </c>
      <c r="M164" s="7" t="s">
        <v>348</v>
      </c>
      <c r="N164" s="7" t="s">
        <v>106</v>
      </c>
      <c r="O164" s="7" t="s">
        <v>205</v>
      </c>
      <c r="P164" s="7" t="s">
        <v>496</v>
      </c>
      <c r="Q164" s="7" t="s">
        <v>237</v>
      </c>
      <c r="R164" s="7">
        <v>25</v>
      </c>
      <c r="S164" s="8">
        <v>1.36</v>
      </c>
      <c r="T164" s="8"/>
      <c r="U164" s="8">
        <v>0</v>
      </c>
      <c r="V164" s="8"/>
      <c r="W164" s="8"/>
    </row>
    <row r="165" spans="1:23" s="7" customFormat="1" x14ac:dyDescent="0.35">
      <c r="A165" s="7" t="s">
        <v>497</v>
      </c>
      <c r="B165" s="7" t="s">
        <v>498</v>
      </c>
      <c r="C165" s="7" t="s">
        <v>488</v>
      </c>
      <c r="D165" s="7">
        <v>2006</v>
      </c>
      <c r="E165" s="7">
        <v>38</v>
      </c>
      <c r="F165" s="7" t="s">
        <v>416</v>
      </c>
      <c r="G165" s="7" t="s">
        <v>346</v>
      </c>
      <c r="H165" s="7" t="s">
        <v>502</v>
      </c>
      <c r="I165" s="7" t="s">
        <v>499</v>
      </c>
      <c r="J165" s="7" t="s">
        <v>500</v>
      </c>
      <c r="K165" s="7" t="s">
        <v>394</v>
      </c>
      <c r="M165" s="7" t="s">
        <v>348</v>
      </c>
      <c r="N165" s="7" t="s">
        <v>106</v>
      </c>
      <c r="O165" s="7" t="s">
        <v>205</v>
      </c>
      <c r="P165" s="7" t="s">
        <v>496</v>
      </c>
      <c r="Q165" s="7" t="s">
        <v>237</v>
      </c>
      <c r="R165" s="7">
        <v>50</v>
      </c>
      <c r="S165" s="8">
        <v>1.38</v>
      </c>
      <c r="T165" s="8"/>
      <c r="U165" s="8">
        <v>0</v>
      </c>
      <c r="V165" s="8"/>
      <c r="W165" s="8"/>
    </row>
    <row r="166" spans="1:23" s="7" customFormat="1" x14ac:dyDescent="0.35">
      <c r="A166" s="7" t="s">
        <v>497</v>
      </c>
      <c r="B166" s="7" t="s">
        <v>498</v>
      </c>
      <c r="C166" s="7" t="s">
        <v>488</v>
      </c>
      <c r="D166" s="7">
        <v>2006</v>
      </c>
      <c r="E166" s="7">
        <v>38</v>
      </c>
      <c r="F166" s="7" t="s">
        <v>416</v>
      </c>
      <c r="G166" s="7" t="s">
        <v>346</v>
      </c>
      <c r="H166" s="7" t="s">
        <v>502</v>
      </c>
      <c r="I166" s="7" t="s">
        <v>499</v>
      </c>
      <c r="J166" s="7" t="s">
        <v>500</v>
      </c>
      <c r="K166" s="7" t="s">
        <v>394</v>
      </c>
      <c r="M166" s="7" t="s">
        <v>348</v>
      </c>
      <c r="N166" s="7" t="s">
        <v>106</v>
      </c>
      <c r="O166" s="7" t="s">
        <v>205</v>
      </c>
      <c r="P166" s="7" t="s">
        <v>496</v>
      </c>
      <c r="Q166" s="7" t="s">
        <v>237</v>
      </c>
      <c r="R166" s="7">
        <v>75</v>
      </c>
      <c r="S166" s="8">
        <v>1.51</v>
      </c>
      <c r="T166" s="8"/>
      <c r="U166" s="8">
        <v>0</v>
      </c>
      <c r="V166" s="8"/>
      <c r="W166" s="8"/>
    </row>
    <row r="167" spans="1:23" s="7" customFormat="1" x14ac:dyDescent="0.35">
      <c r="A167" s="7" t="s">
        <v>497</v>
      </c>
      <c r="B167" s="7" t="s">
        <v>498</v>
      </c>
      <c r="C167" s="7" t="s">
        <v>488</v>
      </c>
      <c r="D167" s="7">
        <v>2006</v>
      </c>
      <c r="E167" s="7">
        <v>38</v>
      </c>
      <c r="F167" s="7" t="s">
        <v>416</v>
      </c>
      <c r="G167" s="7" t="s">
        <v>346</v>
      </c>
      <c r="H167" s="7" t="s">
        <v>502</v>
      </c>
      <c r="I167" s="7" t="s">
        <v>499</v>
      </c>
      <c r="J167" s="7" t="s">
        <v>500</v>
      </c>
      <c r="K167" s="7" t="s">
        <v>394</v>
      </c>
      <c r="M167" s="7" t="s">
        <v>348</v>
      </c>
      <c r="N167" s="7" t="s">
        <v>106</v>
      </c>
      <c r="O167" s="7" t="s">
        <v>205</v>
      </c>
      <c r="P167" s="7" t="s">
        <v>496</v>
      </c>
      <c r="Q167" s="7" t="s">
        <v>237</v>
      </c>
      <c r="R167" s="7">
        <v>100</v>
      </c>
      <c r="S167" s="8">
        <v>1.83</v>
      </c>
      <c r="T167" s="8"/>
      <c r="U167" s="8">
        <v>0</v>
      </c>
      <c r="V167" s="8"/>
      <c r="W167" s="8"/>
    </row>
    <row r="168" spans="1:23" s="7" customFormat="1" x14ac:dyDescent="0.35">
      <c r="A168" s="7" t="s">
        <v>470</v>
      </c>
      <c r="B168" s="7" t="s">
        <v>503</v>
      </c>
      <c r="C168" s="7" t="s">
        <v>370</v>
      </c>
      <c r="D168" s="7">
        <v>2016</v>
      </c>
      <c r="E168" s="7">
        <v>39</v>
      </c>
      <c r="F168" s="7" t="s">
        <v>416</v>
      </c>
      <c r="G168" s="7" t="s">
        <v>346</v>
      </c>
      <c r="H168" s="7" t="s">
        <v>392</v>
      </c>
      <c r="I168" s="7" t="s">
        <v>504</v>
      </c>
      <c r="J168" s="7" t="s">
        <v>505</v>
      </c>
      <c r="K168" s="7" t="s">
        <v>394</v>
      </c>
      <c r="M168" s="7" t="s">
        <v>348</v>
      </c>
      <c r="N168" s="7" t="s">
        <v>106</v>
      </c>
      <c r="O168" s="7" t="s">
        <v>471</v>
      </c>
      <c r="P168" s="7" t="s">
        <v>472</v>
      </c>
      <c r="Q168" s="7" t="s">
        <v>446</v>
      </c>
      <c r="R168" s="7">
        <v>0</v>
      </c>
      <c r="S168" s="8">
        <v>2.37</v>
      </c>
      <c r="T168" s="8"/>
      <c r="U168" s="8">
        <v>0</v>
      </c>
      <c r="V168" s="8"/>
      <c r="W168" s="8"/>
    </row>
    <row r="169" spans="1:23" s="7" customFormat="1" x14ac:dyDescent="0.35">
      <c r="A169" s="7" t="s">
        <v>470</v>
      </c>
      <c r="B169" s="7" t="s">
        <v>503</v>
      </c>
      <c r="C169" s="7" t="s">
        <v>370</v>
      </c>
      <c r="D169" s="7">
        <v>2016</v>
      </c>
      <c r="E169" s="7">
        <v>39</v>
      </c>
      <c r="F169" s="7" t="s">
        <v>416</v>
      </c>
      <c r="G169" s="7" t="s">
        <v>346</v>
      </c>
      <c r="H169" s="7" t="s">
        <v>392</v>
      </c>
      <c r="I169" s="7" t="s">
        <v>504</v>
      </c>
      <c r="J169" s="7" t="s">
        <v>505</v>
      </c>
      <c r="K169" s="7" t="s">
        <v>394</v>
      </c>
      <c r="M169" s="7" t="s">
        <v>348</v>
      </c>
      <c r="N169" s="7" t="s">
        <v>106</v>
      </c>
      <c r="O169" s="7" t="s">
        <v>471</v>
      </c>
      <c r="P169" s="7" t="s">
        <v>472</v>
      </c>
      <c r="Q169" s="7" t="s">
        <v>446</v>
      </c>
      <c r="R169" s="7">
        <v>25</v>
      </c>
      <c r="S169" s="8">
        <v>2.33</v>
      </c>
      <c r="T169" s="8"/>
      <c r="U169" s="8">
        <v>43</v>
      </c>
      <c r="V169" s="8"/>
      <c r="W169" s="8"/>
    </row>
    <row r="170" spans="1:23" s="7" customFormat="1" x14ac:dyDescent="0.35">
      <c r="A170" s="7" t="s">
        <v>470</v>
      </c>
      <c r="B170" s="7" t="s">
        <v>503</v>
      </c>
      <c r="C170" s="7" t="s">
        <v>370</v>
      </c>
      <c r="D170" s="7">
        <v>2016</v>
      </c>
      <c r="E170" s="7">
        <v>39</v>
      </c>
      <c r="F170" s="7" t="s">
        <v>416</v>
      </c>
      <c r="G170" s="7" t="s">
        <v>346</v>
      </c>
      <c r="H170" s="7" t="s">
        <v>392</v>
      </c>
      <c r="I170" s="7" t="s">
        <v>504</v>
      </c>
      <c r="J170" s="7" t="s">
        <v>505</v>
      </c>
      <c r="K170" s="7" t="s">
        <v>394</v>
      </c>
      <c r="M170" s="7" t="s">
        <v>348</v>
      </c>
      <c r="N170" s="7" t="s">
        <v>106</v>
      </c>
      <c r="O170" s="7" t="s">
        <v>471</v>
      </c>
      <c r="P170" s="7" t="s">
        <v>472</v>
      </c>
      <c r="Q170" s="7" t="s">
        <v>446</v>
      </c>
      <c r="R170" s="7">
        <v>50</v>
      </c>
      <c r="S170" s="8">
        <v>2.0699999999999998</v>
      </c>
      <c r="T170" s="8"/>
      <c r="U170" s="8">
        <v>86</v>
      </c>
      <c r="V170" s="8"/>
      <c r="W170" s="8"/>
    </row>
    <row r="171" spans="1:23" s="7" customFormat="1" x14ac:dyDescent="0.35">
      <c r="A171" s="7" t="s">
        <v>470</v>
      </c>
      <c r="B171" s="7" t="s">
        <v>503</v>
      </c>
      <c r="C171" s="7" t="s">
        <v>370</v>
      </c>
      <c r="D171" s="7">
        <v>2016</v>
      </c>
      <c r="E171" s="7">
        <v>39</v>
      </c>
      <c r="F171" s="7" t="s">
        <v>416</v>
      </c>
      <c r="G171" s="7" t="s">
        <v>346</v>
      </c>
      <c r="H171" s="7" t="s">
        <v>392</v>
      </c>
      <c r="I171" s="7" t="s">
        <v>504</v>
      </c>
      <c r="J171" s="7" t="s">
        <v>505</v>
      </c>
      <c r="K171" s="7" t="s">
        <v>394</v>
      </c>
      <c r="M171" s="7" t="s">
        <v>348</v>
      </c>
      <c r="N171" s="7" t="s">
        <v>106</v>
      </c>
      <c r="O171" s="7" t="s">
        <v>471</v>
      </c>
      <c r="P171" s="7" t="s">
        <v>472</v>
      </c>
      <c r="Q171" s="7" t="s">
        <v>446</v>
      </c>
      <c r="R171" s="7">
        <v>75</v>
      </c>
      <c r="S171" s="8">
        <v>1.91</v>
      </c>
      <c r="T171" s="8"/>
      <c r="U171" s="8">
        <v>129</v>
      </c>
      <c r="V171" s="8"/>
      <c r="W171" s="8"/>
    </row>
    <row r="172" spans="1:23" s="7" customFormat="1" x14ac:dyDescent="0.35">
      <c r="A172" s="7" t="s">
        <v>470</v>
      </c>
      <c r="B172" s="7" t="s">
        <v>503</v>
      </c>
      <c r="C172" s="7" t="s">
        <v>370</v>
      </c>
      <c r="D172" s="7">
        <v>2016</v>
      </c>
      <c r="E172" s="7">
        <v>39</v>
      </c>
      <c r="F172" s="7" t="s">
        <v>416</v>
      </c>
      <c r="G172" s="7" t="s">
        <v>346</v>
      </c>
      <c r="H172" s="7" t="s">
        <v>392</v>
      </c>
      <c r="I172" s="7" t="s">
        <v>504</v>
      </c>
      <c r="J172" s="7" t="s">
        <v>505</v>
      </c>
      <c r="K172" s="7" t="s">
        <v>394</v>
      </c>
      <c r="M172" s="7" t="s">
        <v>348</v>
      </c>
      <c r="N172" s="7" t="s">
        <v>106</v>
      </c>
      <c r="O172" s="7" t="s">
        <v>471</v>
      </c>
      <c r="P172" s="7" t="s">
        <v>472</v>
      </c>
      <c r="Q172" s="7" t="s">
        <v>446</v>
      </c>
      <c r="R172" s="7">
        <v>100</v>
      </c>
      <c r="S172" s="8">
        <v>1.73</v>
      </c>
      <c r="T172" s="8"/>
      <c r="U172" s="8">
        <v>172</v>
      </c>
      <c r="V172" s="8"/>
      <c r="W172" s="8"/>
    </row>
    <row r="173" spans="1:23" s="7" customFormat="1" x14ac:dyDescent="0.35">
      <c r="A173" s="7" t="s">
        <v>470</v>
      </c>
      <c r="B173" s="7" t="s">
        <v>503</v>
      </c>
      <c r="C173" s="7" t="s">
        <v>370</v>
      </c>
      <c r="D173" s="7">
        <v>2017</v>
      </c>
      <c r="E173" s="7">
        <v>40</v>
      </c>
      <c r="F173" s="7" t="s">
        <v>345</v>
      </c>
      <c r="G173" s="7" t="s">
        <v>346</v>
      </c>
      <c r="H173" s="7" t="s">
        <v>392</v>
      </c>
      <c r="K173" s="7" t="s">
        <v>394</v>
      </c>
      <c r="M173" s="7" t="s">
        <v>348</v>
      </c>
      <c r="N173" s="7" t="s">
        <v>106</v>
      </c>
      <c r="O173" s="7" t="s">
        <v>471</v>
      </c>
      <c r="P173" s="7" t="s">
        <v>472</v>
      </c>
      <c r="Q173" s="7" t="s">
        <v>446</v>
      </c>
      <c r="R173" s="7">
        <v>0</v>
      </c>
      <c r="S173" s="8">
        <v>2.35</v>
      </c>
      <c r="T173" s="8"/>
      <c r="U173" s="8">
        <v>0</v>
      </c>
      <c r="V173" s="8"/>
      <c r="W173" s="8"/>
    </row>
    <row r="174" spans="1:23" s="7" customFormat="1" x14ac:dyDescent="0.35">
      <c r="A174" s="7" t="s">
        <v>470</v>
      </c>
      <c r="B174" s="7" t="s">
        <v>503</v>
      </c>
      <c r="C174" s="7" t="s">
        <v>370</v>
      </c>
      <c r="D174" s="7">
        <v>2017</v>
      </c>
      <c r="E174" s="7">
        <v>40</v>
      </c>
      <c r="F174" s="7" t="s">
        <v>345</v>
      </c>
      <c r="G174" s="7" t="s">
        <v>346</v>
      </c>
      <c r="H174" s="7" t="s">
        <v>392</v>
      </c>
      <c r="K174" s="7" t="s">
        <v>394</v>
      </c>
      <c r="M174" s="7" t="s">
        <v>348</v>
      </c>
      <c r="N174" s="7" t="s">
        <v>106</v>
      </c>
      <c r="O174" s="7" t="s">
        <v>471</v>
      </c>
      <c r="P174" s="7" t="s">
        <v>472</v>
      </c>
      <c r="Q174" s="7" t="s">
        <v>446</v>
      </c>
      <c r="R174" s="7">
        <v>75</v>
      </c>
      <c r="S174" s="8">
        <v>1.88</v>
      </c>
      <c r="T174" s="8"/>
      <c r="U174" s="8">
        <v>0</v>
      </c>
      <c r="V174" s="8"/>
      <c r="W174" s="8"/>
    </row>
    <row r="175" spans="1:23" s="7" customFormat="1" x14ac:dyDescent="0.35">
      <c r="A175" s="7" t="s">
        <v>470</v>
      </c>
      <c r="B175" s="7" t="s">
        <v>503</v>
      </c>
      <c r="C175" s="7" t="s">
        <v>370</v>
      </c>
      <c r="D175" s="7">
        <v>2017</v>
      </c>
      <c r="E175" s="7">
        <v>40</v>
      </c>
      <c r="F175" s="7" t="s">
        <v>345</v>
      </c>
      <c r="G175" s="7" t="s">
        <v>346</v>
      </c>
      <c r="H175" s="7" t="s">
        <v>392</v>
      </c>
      <c r="K175" s="7" t="s">
        <v>394</v>
      </c>
      <c r="M175" s="7" t="s">
        <v>348</v>
      </c>
      <c r="N175" s="7" t="s">
        <v>106</v>
      </c>
      <c r="O175" s="7" t="s">
        <v>471</v>
      </c>
      <c r="P175" s="7" t="s">
        <v>472</v>
      </c>
      <c r="Q175" s="7" t="s">
        <v>446</v>
      </c>
      <c r="R175" s="7">
        <v>100</v>
      </c>
      <c r="S175" s="8">
        <v>1.79</v>
      </c>
      <c r="T175" s="8"/>
      <c r="U175" s="8">
        <v>0</v>
      </c>
      <c r="V175" s="8"/>
      <c r="W175" s="8"/>
    </row>
    <row r="176" spans="1:23" s="7" customFormat="1" x14ac:dyDescent="0.35">
      <c r="A176" s="7" t="s">
        <v>470</v>
      </c>
      <c r="B176" s="7" t="s">
        <v>503</v>
      </c>
      <c r="C176" s="7" t="s">
        <v>370</v>
      </c>
      <c r="D176" s="7">
        <v>2017</v>
      </c>
      <c r="E176" s="7">
        <v>40</v>
      </c>
      <c r="F176" s="7" t="s">
        <v>345</v>
      </c>
      <c r="G176" s="7" t="s">
        <v>346</v>
      </c>
      <c r="H176" s="7" t="s">
        <v>392</v>
      </c>
      <c r="K176" s="7" t="s">
        <v>378</v>
      </c>
      <c r="L176" s="7" t="s">
        <v>506</v>
      </c>
      <c r="M176" s="7" t="s">
        <v>348</v>
      </c>
      <c r="N176" s="7" t="s">
        <v>106</v>
      </c>
      <c r="O176" s="7" t="s">
        <v>471</v>
      </c>
      <c r="P176" s="7" t="s">
        <v>472</v>
      </c>
      <c r="Q176" s="7" t="s">
        <v>446</v>
      </c>
      <c r="R176" s="7">
        <v>0</v>
      </c>
      <c r="S176" s="8">
        <v>2.33</v>
      </c>
      <c r="T176" s="8"/>
      <c r="U176" s="8">
        <v>0</v>
      </c>
      <c r="V176" s="8"/>
      <c r="W176" s="8"/>
    </row>
    <row r="177" spans="1:23" s="7" customFormat="1" x14ac:dyDescent="0.35">
      <c r="A177" s="7" t="s">
        <v>470</v>
      </c>
      <c r="B177" s="7" t="s">
        <v>503</v>
      </c>
      <c r="C177" s="7" t="s">
        <v>370</v>
      </c>
      <c r="D177" s="7">
        <v>2017</v>
      </c>
      <c r="E177" s="7">
        <v>40</v>
      </c>
      <c r="F177" s="7" t="s">
        <v>345</v>
      </c>
      <c r="G177" s="7" t="s">
        <v>346</v>
      </c>
      <c r="H177" s="7" t="s">
        <v>392</v>
      </c>
      <c r="K177" s="7" t="s">
        <v>378</v>
      </c>
      <c r="L177" s="7" t="s">
        <v>506</v>
      </c>
      <c r="M177" s="7" t="s">
        <v>348</v>
      </c>
      <c r="N177" s="7" t="s">
        <v>106</v>
      </c>
      <c r="O177" s="7" t="s">
        <v>471</v>
      </c>
      <c r="P177" s="7" t="s">
        <v>472</v>
      </c>
      <c r="Q177" s="7" t="s">
        <v>446</v>
      </c>
      <c r="R177" s="7">
        <v>75</v>
      </c>
      <c r="S177" s="8">
        <v>1.81</v>
      </c>
      <c r="T177" s="8"/>
      <c r="U177" s="8">
        <v>0</v>
      </c>
      <c r="V177" s="8"/>
      <c r="W177" s="8"/>
    </row>
    <row r="178" spans="1:23" s="7" customFormat="1" x14ac:dyDescent="0.35">
      <c r="A178" s="7" t="s">
        <v>470</v>
      </c>
      <c r="B178" s="7" t="s">
        <v>503</v>
      </c>
      <c r="C178" s="7" t="s">
        <v>370</v>
      </c>
      <c r="D178" s="7">
        <v>2017</v>
      </c>
      <c r="E178" s="7">
        <v>40</v>
      </c>
      <c r="F178" s="7" t="s">
        <v>345</v>
      </c>
      <c r="G178" s="7" t="s">
        <v>346</v>
      </c>
      <c r="H178" s="7" t="s">
        <v>392</v>
      </c>
      <c r="K178" s="7" t="s">
        <v>378</v>
      </c>
      <c r="L178" s="7" t="s">
        <v>506</v>
      </c>
      <c r="M178" s="7" t="s">
        <v>348</v>
      </c>
      <c r="N178" s="7" t="s">
        <v>106</v>
      </c>
      <c r="O178" s="7" t="s">
        <v>471</v>
      </c>
      <c r="P178" s="7" t="s">
        <v>472</v>
      </c>
      <c r="Q178" s="7" t="s">
        <v>446</v>
      </c>
      <c r="R178" s="7">
        <v>100</v>
      </c>
      <c r="S178" s="8">
        <v>1.77</v>
      </c>
      <c r="T178" s="8"/>
      <c r="U178" s="8">
        <v>0</v>
      </c>
      <c r="V178" s="8"/>
      <c r="W178" s="8"/>
    </row>
    <row r="179" spans="1:23" s="7" customFormat="1" x14ac:dyDescent="0.35">
      <c r="A179" s="7" t="s">
        <v>507</v>
      </c>
      <c r="B179" s="7" t="s">
        <v>508</v>
      </c>
      <c r="C179" s="7" t="s">
        <v>509</v>
      </c>
      <c r="D179" s="7">
        <v>2015</v>
      </c>
      <c r="E179" s="7">
        <v>41</v>
      </c>
      <c r="F179" s="7" t="s">
        <v>345</v>
      </c>
      <c r="G179" s="7" t="s">
        <v>346</v>
      </c>
      <c r="H179" s="7" t="s">
        <v>511</v>
      </c>
      <c r="K179" s="7" t="s">
        <v>394</v>
      </c>
      <c r="M179" s="7" t="s">
        <v>348</v>
      </c>
      <c r="N179" s="7" t="s">
        <v>417</v>
      </c>
      <c r="O179" s="7" t="s">
        <v>103</v>
      </c>
      <c r="P179" s="7" t="s">
        <v>102</v>
      </c>
      <c r="Q179" s="7" t="s">
        <v>510</v>
      </c>
      <c r="R179" s="7">
        <v>0</v>
      </c>
      <c r="S179" s="8">
        <v>1.47</v>
      </c>
      <c r="T179" s="8"/>
      <c r="U179" s="8">
        <v>0</v>
      </c>
      <c r="V179" s="8"/>
      <c r="W179" s="8"/>
    </row>
    <row r="180" spans="1:23" s="7" customFormat="1" x14ac:dyDescent="0.35">
      <c r="A180" s="7" t="s">
        <v>507</v>
      </c>
      <c r="B180" s="7" t="s">
        <v>508</v>
      </c>
      <c r="C180" s="7" t="s">
        <v>509</v>
      </c>
      <c r="D180" s="7">
        <v>2015</v>
      </c>
      <c r="E180" s="7">
        <v>41</v>
      </c>
      <c r="F180" s="7" t="s">
        <v>345</v>
      </c>
      <c r="G180" s="7" t="s">
        <v>346</v>
      </c>
      <c r="H180" s="7" t="s">
        <v>511</v>
      </c>
      <c r="K180" s="7" t="s">
        <v>394</v>
      </c>
      <c r="M180" s="7" t="s">
        <v>348</v>
      </c>
      <c r="N180" s="7" t="s">
        <v>417</v>
      </c>
      <c r="O180" s="7" t="s">
        <v>103</v>
      </c>
      <c r="P180" s="7" t="s">
        <v>102</v>
      </c>
      <c r="Q180" s="7" t="s">
        <v>510</v>
      </c>
      <c r="R180" s="7">
        <v>10</v>
      </c>
      <c r="S180" s="8">
        <v>1.47</v>
      </c>
      <c r="T180" s="8"/>
      <c r="U180" s="8">
        <v>6</v>
      </c>
      <c r="V180" s="8"/>
      <c r="W180" s="8"/>
    </row>
    <row r="181" spans="1:23" s="7" customFormat="1" x14ac:dyDescent="0.35">
      <c r="A181" s="7" t="s">
        <v>507</v>
      </c>
      <c r="B181" s="7" t="s">
        <v>508</v>
      </c>
      <c r="C181" s="7" t="s">
        <v>509</v>
      </c>
      <c r="D181" s="7">
        <v>2015</v>
      </c>
      <c r="E181" s="7">
        <v>41</v>
      </c>
      <c r="F181" s="7" t="s">
        <v>345</v>
      </c>
      <c r="G181" s="7" t="s">
        <v>346</v>
      </c>
      <c r="H181" s="7" t="s">
        <v>511</v>
      </c>
      <c r="K181" s="7" t="s">
        <v>394</v>
      </c>
      <c r="M181" s="7" t="s">
        <v>348</v>
      </c>
      <c r="N181" s="7" t="s">
        <v>417</v>
      </c>
      <c r="O181" s="7" t="s">
        <v>103</v>
      </c>
      <c r="P181" s="7" t="s">
        <v>102</v>
      </c>
      <c r="Q181" s="7" t="s">
        <v>510</v>
      </c>
      <c r="R181" s="7">
        <v>20</v>
      </c>
      <c r="S181" s="8">
        <v>1.45</v>
      </c>
      <c r="T181" s="8"/>
      <c r="U181" s="8">
        <v>12</v>
      </c>
      <c r="V181" s="8"/>
      <c r="W181" s="8"/>
    </row>
    <row r="182" spans="1:23" s="7" customFormat="1" x14ac:dyDescent="0.35">
      <c r="A182" s="7" t="s">
        <v>507</v>
      </c>
      <c r="B182" s="7" t="s">
        <v>508</v>
      </c>
      <c r="C182" s="7" t="s">
        <v>509</v>
      </c>
      <c r="D182" s="7">
        <v>2015</v>
      </c>
      <c r="E182" s="7">
        <v>41</v>
      </c>
      <c r="F182" s="7" t="s">
        <v>345</v>
      </c>
      <c r="G182" s="7" t="s">
        <v>346</v>
      </c>
      <c r="H182" s="7" t="s">
        <v>511</v>
      </c>
      <c r="K182" s="7" t="s">
        <v>394</v>
      </c>
      <c r="M182" s="7" t="s">
        <v>348</v>
      </c>
      <c r="N182" s="7" t="s">
        <v>417</v>
      </c>
      <c r="O182" s="7" t="s">
        <v>103</v>
      </c>
      <c r="P182" s="7" t="s">
        <v>102</v>
      </c>
      <c r="Q182" s="7" t="s">
        <v>510</v>
      </c>
      <c r="R182" s="7">
        <v>30</v>
      </c>
      <c r="S182" s="8">
        <v>1.51</v>
      </c>
      <c r="T182" s="8"/>
      <c r="U182" s="8">
        <v>18</v>
      </c>
      <c r="V182" s="8"/>
      <c r="W182" s="8"/>
    </row>
    <row r="183" spans="1:23" s="7" customFormat="1" x14ac:dyDescent="0.35">
      <c r="A183" s="7" t="s">
        <v>507</v>
      </c>
      <c r="B183" s="7" t="s">
        <v>508</v>
      </c>
      <c r="C183" s="7" t="s">
        <v>509</v>
      </c>
      <c r="D183" s="7">
        <v>2015</v>
      </c>
      <c r="E183" s="7">
        <v>41</v>
      </c>
      <c r="F183" s="7" t="s">
        <v>345</v>
      </c>
      <c r="G183" s="7" t="s">
        <v>346</v>
      </c>
      <c r="H183" s="7" t="s">
        <v>511</v>
      </c>
      <c r="K183" s="7" t="s">
        <v>394</v>
      </c>
      <c r="M183" s="7" t="s">
        <v>348</v>
      </c>
      <c r="N183" s="7" t="s">
        <v>417</v>
      </c>
      <c r="O183" s="7" t="s">
        <v>103</v>
      </c>
      <c r="P183" s="7" t="s">
        <v>102</v>
      </c>
      <c r="Q183" s="7" t="s">
        <v>510</v>
      </c>
      <c r="R183" s="7">
        <v>40</v>
      </c>
      <c r="S183" s="8">
        <v>1.57</v>
      </c>
      <c r="T183" s="8"/>
      <c r="U183" s="8">
        <v>24</v>
      </c>
      <c r="V183" s="8"/>
      <c r="W183" s="8"/>
    </row>
    <row r="184" spans="1:23" s="7" customFormat="1" x14ac:dyDescent="0.35">
      <c r="A184" s="7" t="s">
        <v>507</v>
      </c>
      <c r="B184" s="7" t="s">
        <v>508</v>
      </c>
      <c r="C184" s="7" t="s">
        <v>509</v>
      </c>
      <c r="D184" s="7">
        <v>2015</v>
      </c>
      <c r="E184" s="7">
        <v>41</v>
      </c>
      <c r="F184" s="7" t="s">
        <v>345</v>
      </c>
      <c r="G184" s="7" t="s">
        <v>346</v>
      </c>
      <c r="H184" s="7" t="s">
        <v>511</v>
      </c>
      <c r="K184" s="7" t="s">
        <v>394</v>
      </c>
      <c r="M184" s="7" t="s">
        <v>348</v>
      </c>
      <c r="N184" s="7" t="s">
        <v>417</v>
      </c>
      <c r="O184" s="7" t="s">
        <v>103</v>
      </c>
      <c r="P184" s="7" t="s">
        <v>102</v>
      </c>
      <c r="Q184" s="7" t="s">
        <v>510</v>
      </c>
      <c r="R184" s="7">
        <v>50</v>
      </c>
      <c r="S184" s="8">
        <v>1.66</v>
      </c>
      <c r="T184" s="8"/>
      <c r="U184" s="8">
        <v>30</v>
      </c>
      <c r="V184" s="8"/>
      <c r="W184" s="8"/>
    </row>
    <row r="185" spans="1:23" s="7" customFormat="1" x14ac:dyDescent="0.35">
      <c r="A185" s="7" t="s">
        <v>513</v>
      </c>
      <c r="B185" s="7" t="s">
        <v>371</v>
      </c>
      <c r="C185" s="7" t="s">
        <v>514</v>
      </c>
      <c r="D185" s="7">
        <v>2009</v>
      </c>
      <c r="E185" s="7">
        <v>42</v>
      </c>
      <c r="F185" s="7" t="s">
        <v>345</v>
      </c>
      <c r="G185" s="7" t="s">
        <v>346</v>
      </c>
      <c r="H185" s="7" t="s">
        <v>512</v>
      </c>
      <c r="K185" s="7" t="s">
        <v>394</v>
      </c>
      <c r="M185" s="7" t="s">
        <v>348</v>
      </c>
      <c r="N185" s="7" t="s">
        <v>380</v>
      </c>
      <c r="O185" s="7" t="s">
        <v>413</v>
      </c>
      <c r="P185" s="7" t="s">
        <v>131</v>
      </c>
      <c r="Q185" s="7" t="s">
        <v>230</v>
      </c>
      <c r="R185" s="7">
        <v>0</v>
      </c>
      <c r="S185" s="8">
        <v>0.83</v>
      </c>
      <c r="T185" s="8">
        <v>0</v>
      </c>
      <c r="U185" s="8">
        <v>0</v>
      </c>
      <c r="V185" s="8"/>
      <c r="W185" s="8"/>
    </row>
    <row r="186" spans="1:23" s="7" customFormat="1" x14ac:dyDescent="0.35">
      <c r="A186" s="7" t="s">
        <v>513</v>
      </c>
      <c r="B186" s="7" t="s">
        <v>371</v>
      </c>
      <c r="C186" s="7" t="s">
        <v>514</v>
      </c>
      <c r="D186" s="7">
        <v>2009</v>
      </c>
      <c r="E186" s="7">
        <v>42</v>
      </c>
      <c r="F186" s="7" t="s">
        <v>345</v>
      </c>
      <c r="G186" s="7" t="s">
        <v>346</v>
      </c>
      <c r="H186" s="7" t="s">
        <v>512</v>
      </c>
      <c r="K186" s="7" t="s">
        <v>394</v>
      </c>
      <c r="M186" s="7" t="s">
        <v>348</v>
      </c>
      <c r="N186" s="7" t="s">
        <v>380</v>
      </c>
      <c r="O186" s="7" t="s">
        <v>413</v>
      </c>
      <c r="P186" s="7" t="s">
        <v>131</v>
      </c>
      <c r="Q186" s="7" t="s">
        <v>230</v>
      </c>
      <c r="R186" s="7">
        <v>5</v>
      </c>
      <c r="S186" s="8">
        <v>0.8</v>
      </c>
      <c r="T186" s="8">
        <v>-0.05</v>
      </c>
      <c r="U186" s="8">
        <v>-16</v>
      </c>
      <c r="V186" s="8"/>
      <c r="W186" s="8"/>
    </row>
    <row r="187" spans="1:23" s="7" customFormat="1" x14ac:dyDescent="0.35">
      <c r="A187" s="7" t="s">
        <v>513</v>
      </c>
      <c r="B187" s="7" t="s">
        <v>371</v>
      </c>
      <c r="C187" s="7" t="s">
        <v>514</v>
      </c>
      <c r="D187" s="7">
        <v>2009</v>
      </c>
      <c r="E187" s="7">
        <v>42</v>
      </c>
      <c r="F187" s="7" t="s">
        <v>345</v>
      </c>
      <c r="G187" s="7" t="s">
        <v>346</v>
      </c>
      <c r="H187" s="7" t="s">
        <v>512</v>
      </c>
      <c r="K187" s="7" t="s">
        <v>394</v>
      </c>
      <c r="M187" s="7" t="s">
        <v>348</v>
      </c>
      <c r="N187" s="7" t="s">
        <v>380</v>
      </c>
      <c r="O187" s="7" t="s">
        <v>413</v>
      </c>
      <c r="P187" s="7" t="s">
        <v>131</v>
      </c>
      <c r="Q187" s="7" t="s">
        <v>230</v>
      </c>
      <c r="R187" s="7">
        <v>10</v>
      </c>
      <c r="S187" s="8">
        <v>0.83</v>
      </c>
      <c r="T187" s="8">
        <v>-0.05</v>
      </c>
      <c r="U187" s="8">
        <v>-32</v>
      </c>
      <c r="V187" s="8"/>
      <c r="W187" s="8"/>
    </row>
    <row r="188" spans="1:23" s="7" customFormat="1" x14ac:dyDescent="0.35">
      <c r="A188" s="7" t="s">
        <v>513</v>
      </c>
      <c r="B188" s="7" t="s">
        <v>371</v>
      </c>
      <c r="C188" s="7" t="s">
        <v>514</v>
      </c>
      <c r="D188" s="7">
        <v>2009</v>
      </c>
      <c r="E188" s="7">
        <v>42</v>
      </c>
      <c r="F188" s="7" t="s">
        <v>345</v>
      </c>
      <c r="G188" s="7" t="s">
        <v>346</v>
      </c>
      <c r="H188" s="7" t="s">
        <v>512</v>
      </c>
      <c r="K188" s="7" t="s">
        <v>394</v>
      </c>
      <c r="M188" s="7" t="s">
        <v>348</v>
      </c>
      <c r="N188" s="7" t="s">
        <v>380</v>
      </c>
      <c r="O188" s="7" t="s">
        <v>413</v>
      </c>
      <c r="P188" s="7" t="s">
        <v>131</v>
      </c>
      <c r="Q188" s="7" t="s">
        <v>230</v>
      </c>
      <c r="R188" s="7">
        <v>15</v>
      </c>
      <c r="S188" s="8">
        <v>0.82</v>
      </c>
      <c r="T188" s="8">
        <v>-1</v>
      </c>
      <c r="U188" s="8">
        <v>-50</v>
      </c>
      <c r="V188" s="8"/>
      <c r="W188" s="8"/>
    </row>
    <row r="189" spans="1:23" s="7" customFormat="1" x14ac:dyDescent="0.35">
      <c r="A189" s="7" t="s">
        <v>516</v>
      </c>
      <c r="B189" s="7" t="s">
        <v>468</v>
      </c>
      <c r="C189" s="7" t="s">
        <v>517</v>
      </c>
      <c r="D189" s="7">
        <v>2013</v>
      </c>
      <c r="E189" s="7">
        <v>43</v>
      </c>
      <c r="F189" s="7" t="s">
        <v>345</v>
      </c>
      <c r="G189" s="7" t="s">
        <v>346</v>
      </c>
      <c r="H189" s="7" t="s">
        <v>515</v>
      </c>
      <c r="K189" s="7" t="s">
        <v>394</v>
      </c>
      <c r="M189" s="7" t="s">
        <v>348</v>
      </c>
      <c r="N189" s="7" t="s">
        <v>417</v>
      </c>
      <c r="O189" s="7" t="s">
        <v>103</v>
      </c>
      <c r="P189" s="7" t="s">
        <v>131</v>
      </c>
      <c r="Q189" s="7" t="s">
        <v>230</v>
      </c>
      <c r="R189" s="7">
        <v>0</v>
      </c>
      <c r="S189" s="8">
        <v>1.67</v>
      </c>
      <c r="T189" s="8">
        <v>0</v>
      </c>
      <c r="U189" s="8">
        <v>0</v>
      </c>
      <c r="V189" s="8"/>
      <c r="W189" s="8"/>
    </row>
    <row r="190" spans="1:23" s="7" customFormat="1" x14ac:dyDescent="0.35">
      <c r="A190" s="7" t="s">
        <v>516</v>
      </c>
      <c r="B190" s="7" t="s">
        <v>468</v>
      </c>
      <c r="C190" s="7" t="s">
        <v>517</v>
      </c>
      <c r="D190" s="7">
        <v>2013</v>
      </c>
      <c r="E190" s="7">
        <v>43</v>
      </c>
      <c r="F190" s="7" t="s">
        <v>345</v>
      </c>
      <c r="G190" s="7" t="s">
        <v>346</v>
      </c>
      <c r="H190" s="7" t="s">
        <v>515</v>
      </c>
      <c r="K190" s="7" t="s">
        <v>394</v>
      </c>
      <c r="M190" s="7" t="s">
        <v>348</v>
      </c>
      <c r="N190" s="7" t="s">
        <v>417</v>
      </c>
      <c r="O190" s="7" t="s">
        <v>103</v>
      </c>
      <c r="P190" s="7" t="s">
        <v>131</v>
      </c>
      <c r="Q190" s="7" t="s">
        <v>230</v>
      </c>
      <c r="R190" s="7">
        <v>15</v>
      </c>
      <c r="S190" s="8">
        <v>1.44</v>
      </c>
      <c r="T190" s="8">
        <v>0</v>
      </c>
      <c r="U190" s="8">
        <v>-13</v>
      </c>
      <c r="V190" s="8"/>
      <c r="W190" s="8"/>
    </row>
    <row r="191" spans="1:23" s="7" customFormat="1" x14ac:dyDescent="0.35">
      <c r="A191" s="7" t="s">
        <v>516</v>
      </c>
      <c r="B191" s="7" t="s">
        <v>468</v>
      </c>
      <c r="C191" s="7" t="s">
        <v>517</v>
      </c>
      <c r="D191" s="7">
        <v>2013</v>
      </c>
      <c r="E191" s="7">
        <v>43</v>
      </c>
      <c r="F191" s="7" t="s">
        <v>345</v>
      </c>
      <c r="G191" s="7" t="s">
        <v>346</v>
      </c>
      <c r="H191" s="7" t="s">
        <v>515</v>
      </c>
      <c r="K191" s="7" t="s">
        <v>394</v>
      </c>
      <c r="M191" s="7" t="s">
        <v>348</v>
      </c>
      <c r="N191" s="7" t="s">
        <v>417</v>
      </c>
      <c r="O191" s="7" t="s">
        <v>103</v>
      </c>
      <c r="P191" s="7" t="s">
        <v>131</v>
      </c>
      <c r="Q191" s="7" t="s">
        <v>230</v>
      </c>
      <c r="R191" s="7">
        <v>30</v>
      </c>
      <c r="S191" s="8">
        <v>1.65</v>
      </c>
      <c r="T191" s="8">
        <v>0</v>
      </c>
      <c r="U191" s="8">
        <v>-27</v>
      </c>
      <c r="V191" s="8"/>
      <c r="W191" s="8"/>
    </row>
    <row r="192" spans="1:23" s="7" customFormat="1" x14ac:dyDescent="0.35">
      <c r="A192" s="7" t="s">
        <v>383</v>
      </c>
      <c r="B192" s="7" t="s">
        <v>384</v>
      </c>
      <c r="C192" s="7" t="s">
        <v>385</v>
      </c>
      <c r="D192" s="7">
        <v>2009</v>
      </c>
      <c r="E192" s="7">
        <v>44</v>
      </c>
      <c r="F192" s="7" t="s">
        <v>345</v>
      </c>
      <c r="G192" s="7" t="s">
        <v>346</v>
      </c>
      <c r="H192" s="7" t="s">
        <v>518</v>
      </c>
      <c r="K192" s="7" t="s">
        <v>394</v>
      </c>
      <c r="M192" s="7" t="s">
        <v>348</v>
      </c>
      <c r="N192" s="7" t="s">
        <v>538</v>
      </c>
      <c r="O192" s="7" t="s">
        <v>386</v>
      </c>
      <c r="P192" s="7" t="s">
        <v>182</v>
      </c>
      <c r="Q192" s="7" t="s">
        <v>230</v>
      </c>
      <c r="R192" s="7">
        <v>0</v>
      </c>
      <c r="S192" s="8">
        <v>1.21</v>
      </c>
      <c r="T192" s="8">
        <v>0</v>
      </c>
      <c r="U192" s="8">
        <v>0</v>
      </c>
      <c r="V192" s="8"/>
      <c r="W192" s="8"/>
    </row>
    <row r="193" spans="1:23" s="7" customFormat="1" x14ac:dyDescent="0.35">
      <c r="A193" s="7" t="s">
        <v>383</v>
      </c>
      <c r="B193" s="7" t="s">
        <v>384</v>
      </c>
      <c r="C193" s="7" t="s">
        <v>385</v>
      </c>
      <c r="D193" s="7">
        <v>2009</v>
      </c>
      <c r="E193" s="7">
        <v>44</v>
      </c>
      <c r="F193" s="7" t="s">
        <v>345</v>
      </c>
      <c r="G193" s="7" t="s">
        <v>346</v>
      </c>
      <c r="H193" s="7" t="s">
        <v>518</v>
      </c>
      <c r="K193" s="7" t="s">
        <v>394</v>
      </c>
      <c r="M193" s="7" t="s">
        <v>348</v>
      </c>
      <c r="N193" s="7" t="s">
        <v>538</v>
      </c>
      <c r="O193" s="7" t="s">
        <v>386</v>
      </c>
      <c r="P193" s="7" t="s">
        <v>182</v>
      </c>
      <c r="Q193" s="7" t="s">
        <v>230</v>
      </c>
      <c r="R193" s="7">
        <v>15</v>
      </c>
      <c r="S193" s="8">
        <v>1.25</v>
      </c>
      <c r="T193" s="8">
        <v>0</v>
      </c>
      <c r="U193" s="8">
        <v>-5</v>
      </c>
      <c r="V193" s="8"/>
      <c r="W193" s="8"/>
    </row>
    <row r="194" spans="1:23" s="7" customFormat="1" x14ac:dyDescent="0.35">
      <c r="A194" s="7" t="s">
        <v>383</v>
      </c>
      <c r="B194" s="7" t="s">
        <v>384</v>
      </c>
      <c r="C194" s="7" t="s">
        <v>385</v>
      </c>
      <c r="D194" s="7">
        <v>2009</v>
      </c>
      <c r="E194" s="7">
        <v>44</v>
      </c>
      <c r="F194" s="7" t="s">
        <v>345</v>
      </c>
      <c r="G194" s="7" t="s">
        <v>346</v>
      </c>
      <c r="H194" s="7" t="s">
        <v>518</v>
      </c>
      <c r="K194" s="7" t="s">
        <v>394</v>
      </c>
      <c r="M194" s="7" t="s">
        <v>348</v>
      </c>
      <c r="N194" s="7" t="s">
        <v>538</v>
      </c>
      <c r="O194" s="7" t="s">
        <v>386</v>
      </c>
      <c r="P194" s="7" t="s">
        <v>182</v>
      </c>
      <c r="Q194" s="7" t="s">
        <v>230</v>
      </c>
      <c r="R194" s="7">
        <v>30</v>
      </c>
      <c r="S194" s="8">
        <v>1.32</v>
      </c>
      <c r="T194" s="8">
        <v>0</v>
      </c>
      <c r="U194" s="8">
        <v>-11</v>
      </c>
      <c r="V194" s="8"/>
      <c r="W194" s="8"/>
    </row>
    <row r="195" spans="1:23" s="7" customFormat="1" x14ac:dyDescent="0.35">
      <c r="A195" s="7" t="s">
        <v>519</v>
      </c>
      <c r="B195" s="7" t="s">
        <v>403</v>
      </c>
      <c r="C195" s="7" t="s">
        <v>404</v>
      </c>
      <c r="D195" s="7">
        <v>2018</v>
      </c>
      <c r="E195" s="7">
        <v>45</v>
      </c>
      <c r="F195" s="7" t="s">
        <v>345</v>
      </c>
      <c r="G195" s="7" t="s">
        <v>346</v>
      </c>
      <c r="H195" s="7" t="s">
        <v>406</v>
      </c>
      <c r="K195" s="7" t="s">
        <v>394</v>
      </c>
      <c r="M195" s="7" t="s">
        <v>348</v>
      </c>
      <c r="N195" s="7" t="s">
        <v>417</v>
      </c>
      <c r="O195" s="7" t="s">
        <v>103</v>
      </c>
      <c r="P195" s="7" t="s">
        <v>102</v>
      </c>
      <c r="Q195" s="7" t="s">
        <v>520</v>
      </c>
      <c r="R195" s="7">
        <v>0</v>
      </c>
      <c r="S195" s="8">
        <v>1.78</v>
      </c>
      <c r="T195" s="8"/>
      <c r="U195" s="8">
        <v>0</v>
      </c>
      <c r="V195" s="8"/>
      <c r="W195" s="8"/>
    </row>
    <row r="196" spans="1:23" s="7" customFormat="1" x14ac:dyDescent="0.35">
      <c r="A196" s="7" t="s">
        <v>519</v>
      </c>
      <c r="B196" s="7" t="s">
        <v>403</v>
      </c>
      <c r="C196" s="7" t="s">
        <v>404</v>
      </c>
      <c r="D196" s="7">
        <v>2018</v>
      </c>
      <c r="E196" s="7">
        <v>45</v>
      </c>
      <c r="F196" s="7" t="s">
        <v>345</v>
      </c>
      <c r="G196" s="7" t="s">
        <v>346</v>
      </c>
      <c r="H196" s="7" t="s">
        <v>406</v>
      </c>
      <c r="K196" s="7" t="s">
        <v>394</v>
      </c>
      <c r="M196" s="7" t="s">
        <v>348</v>
      </c>
      <c r="N196" s="7" t="s">
        <v>417</v>
      </c>
      <c r="O196" s="7" t="s">
        <v>103</v>
      </c>
      <c r="P196" s="7" t="s">
        <v>102</v>
      </c>
      <c r="Q196" s="7" t="s">
        <v>520</v>
      </c>
      <c r="R196" s="7">
        <v>20</v>
      </c>
      <c r="S196" s="8">
        <v>2.2799999999999998</v>
      </c>
      <c r="T196" s="8"/>
      <c r="U196" s="8">
        <v>0</v>
      </c>
      <c r="V196" s="8"/>
      <c r="W196" s="8"/>
    </row>
    <row r="197" spans="1:23" s="7" customFormat="1" x14ac:dyDescent="0.35">
      <c r="A197" s="7" t="s">
        <v>519</v>
      </c>
      <c r="B197" s="7" t="s">
        <v>403</v>
      </c>
      <c r="C197" s="7" t="s">
        <v>404</v>
      </c>
      <c r="D197" s="7">
        <v>2018</v>
      </c>
      <c r="E197" s="7">
        <v>45</v>
      </c>
      <c r="F197" s="7" t="s">
        <v>345</v>
      </c>
      <c r="G197" s="7" t="s">
        <v>346</v>
      </c>
      <c r="H197" s="7" t="s">
        <v>406</v>
      </c>
      <c r="K197" s="7" t="s">
        <v>394</v>
      </c>
      <c r="M197" s="7" t="s">
        <v>348</v>
      </c>
      <c r="N197" s="7" t="s">
        <v>417</v>
      </c>
      <c r="O197" s="7" t="s">
        <v>103</v>
      </c>
      <c r="P197" s="7" t="s">
        <v>102</v>
      </c>
      <c r="Q197" s="7" t="s">
        <v>520</v>
      </c>
      <c r="R197" s="7">
        <v>40</v>
      </c>
      <c r="S197" s="8">
        <v>3.09</v>
      </c>
      <c r="T197" s="8"/>
      <c r="U197" s="8">
        <v>0</v>
      </c>
      <c r="V197" s="8"/>
      <c r="W197" s="8"/>
    </row>
    <row r="198" spans="1:23" s="7" customFormat="1" x14ac:dyDescent="0.35">
      <c r="A198" s="7" t="s">
        <v>519</v>
      </c>
      <c r="B198" s="7" t="s">
        <v>403</v>
      </c>
      <c r="C198" s="7" t="s">
        <v>404</v>
      </c>
      <c r="D198" s="7">
        <v>2018</v>
      </c>
      <c r="E198" s="7">
        <v>45</v>
      </c>
      <c r="F198" s="7" t="s">
        <v>345</v>
      </c>
      <c r="G198" s="7" t="s">
        <v>346</v>
      </c>
      <c r="H198" s="7" t="s">
        <v>406</v>
      </c>
      <c r="K198" s="7" t="s">
        <v>394</v>
      </c>
      <c r="M198" s="7" t="s">
        <v>348</v>
      </c>
      <c r="N198" s="7" t="s">
        <v>417</v>
      </c>
      <c r="O198" s="7" t="s">
        <v>103</v>
      </c>
      <c r="P198" s="7" t="s">
        <v>102</v>
      </c>
      <c r="Q198" s="7" t="s">
        <v>520</v>
      </c>
      <c r="R198" s="7">
        <v>60</v>
      </c>
      <c r="S198" s="8">
        <v>3.49</v>
      </c>
      <c r="T198" s="8"/>
      <c r="U198" s="8">
        <v>0</v>
      </c>
      <c r="V198" s="8"/>
      <c r="W198" s="8"/>
    </row>
    <row r="199" spans="1:23" s="7" customFormat="1" x14ac:dyDescent="0.35">
      <c r="A199" s="7" t="s">
        <v>521</v>
      </c>
      <c r="B199" s="7" t="s">
        <v>522</v>
      </c>
      <c r="C199" s="7" t="s">
        <v>342</v>
      </c>
      <c r="D199" s="7">
        <v>2006</v>
      </c>
      <c r="E199" s="7">
        <v>46</v>
      </c>
      <c r="F199" s="7" t="s">
        <v>345</v>
      </c>
      <c r="G199" s="7" t="s">
        <v>170</v>
      </c>
      <c r="H199" s="7" t="s">
        <v>523</v>
      </c>
      <c r="K199" s="7" t="s">
        <v>394</v>
      </c>
      <c r="M199" s="7" t="s">
        <v>348</v>
      </c>
      <c r="N199" s="7" t="s">
        <v>380</v>
      </c>
      <c r="O199" s="7" t="s">
        <v>413</v>
      </c>
      <c r="P199" s="7" t="s">
        <v>131</v>
      </c>
      <c r="Q199" s="7" t="s">
        <v>464</v>
      </c>
      <c r="R199" s="7">
        <v>0</v>
      </c>
      <c r="S199" s="8">
        <f>1/1.37</f>
        <v>0.72992700729927007</v>
      </c>
      <c r="T199" s="8">
        <v>0</v>
      </c>
      <c r="U199" s="8">
        <v>0</v>
      </c>
      <c r="V199" s="8"/>
      <c r="W199" s="8"/>
    </row>
    <row r="200" spans="1:23" s="7" customFormat="1" x14ac:dyDescent="0.35">
      <c r="A200" s="7" t="s">
        <v>521</v>
      </c>
      <c r="B200" s="7" t="s">
        <v>522</v>
      </c>
      <c r="C200" s="7" t="s">
        <v>342</v>
      </c>
      <c r="D200" s="7">
        <v>2006</v>
      </c>
      <c r="E200" s="7">
        <v>46</v>
      </c>
      <c r="F200" s="7" t="s">
        <v>345</v>
      </c>
      <c r="G200" s="7" t="s">
        <v>170</v>
      </c>
      <c r="H200" s="7" t="s">
        <v>523</v>
      </c>
      <c r="K200" s="7" t="s">
        <v>394</v>
      </c>
      <c r="M200" s="7" t="s">
        <v>348</v>
      </c>
      <c r="N200" s="7" t="s">
        <v>380</v>
      </c>
      <c r="O200" s="7" t="s">
        <v>413</v>
      </c>
      <c r="P200" s="7" t="s">
        <v>131</v>
      </c>
      <c r="Q200" s="7" t="s">
        <v>464</v>
      </c>
      <c r="R200" s="7">
        <v>9</v>
      </c>
      <c r="S200" s="8">
        <f>1/1.32</f>
        <v>0.75757575757575757</v>
      </c>
      <c r="T200" s="8">
        <v>0.5</v>
      </c>
      <c r="U200" s="8">
        <v>-10</v>
      </c>
      <c r="V200" s="8"/>
      <c r="W200" s="8"/>
    </row>
    <row r="201" spans="1:23" s="7" customFormat="1" x14ac:dyDescent="0.35">
      <c r="A201" s="7" t="s">
        <v>521</v>
      </c>
      <c r="B201" s="7" t="s">
        <v>522</v>
      </c>
      <c r="C201" s="7" t="s">
        <v>342</v>
      </c>
      <c r="D201" s="7">
        <v>2006</v>
      </c>
      <c r="E201" s="7">
        <v>46</v>
      </c>
      <c r="F201" s="7" t="s">
        <v>345</v>
      </c>
      <c r="G201" s="7" t="s">
        <v>170</v>
      </c>
      <c r="H201" s="7" t="s">
        <v>523</v>
      </c>
      <c r="K201" s="7" t="s">
        <v>394</v>
      </c>
      <c r="M201" s="7" t="s">
        <v>348</v>
      </c>
      <c r="N201" s="7" t="s">
        <v>380</v>
      </c>
      <c r="O201" s="7" t="s">
        <v>413</v>
      </c>
      <c r="P201" s="7" t="s">
        <v>131</v>
      </c>
      <c r="Q201" s="7" t="s">
        <v>464</v>
      </c>
      <c r="R201" s="7">
        <v>9</v>
      </c>
      <c r="S201" s="8">
        <f>1/1.4</f>
        <v>0.7142857142857143</v>
      </c>
      <c r="T201" s="8">
        <v>0</v>
      </c>
      <c r="U201" s="8">
        <v>-11</v>
      </c>
      <c r="V201" s="8"/>
      <c r="W201" s="8"/>
    </row>
    <row r="202" spans="1:23" s="7" customFormat="1" x14ac:dyDescent="0.35">
      <c r="A202" s="7" t="s">
        <v>521</v>
      </c>
      <c r="B202" s="7" t="s">
        <v>522</v>
      </c>
      <c r="C202" s="7" t="s">
        <v>342</v>
      </c>
      <c r="D202" s="7">
        <v>2006</v>
      </c>
      <c r="E202" s="7">
        <v>46</v>
      </c>
      <c r="F202" s="7" t="s">
        <v>345</v>
      </c>
      <c r="G202" s="7" t="s">
        <v>170</v>
      </c>
      <c r="H202" s="7" t="s">
        <v>523</v>
      </c>
      <c r="K202" s="7" t="s">
        <v>394</v>
      </c>
      <c r="M202" s="7" t="s">
        <v>348</v>
      </c>
      <c r="N202" s="7" t="s">
        <v>380</v>
      </c>
      <c r="O202" s="7" t="s">
        <v>413</v>
      </c>
      <c r="P202" s="7" t="s">
        <v>131</v>
      </c>
      <c r="Q202" s="7" t="s">
        <v>464</v>
      </c>
      <c r="R202" s="7">
        <v>18</v>
      </c>
      <c r="S202" s="8">
        <f>1/1.37</f>
        <v>0.72992700729927007</v>
      </c>
      <c r="T202" s="8">
        <v>-1</v>
      </c>
      <c r="U202" s="8">
        <v>-20</v>
      </c>
      <c r="V202" s="8"/>
      <c r="W202" s="8"/>
    </row>
    <row r="203" spans="1:23" s="7" customFormat="1" x14ac:dyDescent="0.35">
      <c r="A203" s="7" t="s">
        <v>521</v>
      </c>
      <c r="B203" s="7" t="s">
        <v>522</v>
      </c>
      <c r="C203" s="7" t="s">
        <v>342</v>
      </c>
      <c r="D203" s="7">
        <v>2006</v>
      </c>
      <c r="E203" s="7">
        <v>46</v>
      </c>
      <c r="F203" s="7" t="s">
        <v>345</v>
      </c>
      <c r="G203" s="7" t="s">
        <v>170</v>
      </c>
      <c r="H203" s="7" t="s">
        <v>523</v>
      </c>
      <c r="K203" s="7" t="s">
        <v>394</v>
      </c>
      <c r="M203" s="7" t="s">
        <v>348</v>
      </c>
      <c r="N203" s="7" t="s">
        <v>380</v>
      </c>
      <c r="O203" s="7" t="s">
        <v>413</v>
      </c>
      <c r="P203" s="7" t="s">
        <v>131</v>
      </c>
      <c r="Q203" s="7" t="s">
        <v>464</v>
      </c>
      <c r="R203" s="7">
        <v>27</v>
      </c>
      <c r="S203" s="8">
        <f>1/1.34</f>
        <v>0.74626865671641784</v>
      </c>
      <c r="T203" s="8">
        <v>-1</v>
      </c>
      <c r="U203" s="8">
        <v>-30</v>
      </c>
      <c r="V203" s="8"/>
      <c r="W203" s="8"/>
    </row>
    <row r="204" spans="1:23" s="7" customFormat="1" x14ac:dyDescent="0.35">
      <c r="A204" s="7" t="s">
        <v>521</v>
      </c>
      <c r="B204" s="7" t="s">
        <v>398</v>
      </c>
      <c r="C204" s="7" t="s">
        <v>342</v>
      </c>
      <c r="D204" s="7">
        <v>2007</v>
      </c>
      <c r="E204" s="7">
        <v>47</v>
      </c>
      <c r="F204" s="7" t="s">
        <v>345</v>
      </c>
      <c r="G204" s="7" t="s">
        <v>170</v>
      </c>
      <c r="H204" s="7" t="s">
        <v>523</v>
      </c>
      <c r="K204" s="7" t="s">
        <v>394</v>
      </c>
      <c r="M204" s="7" t="s">
        <v>348</v>
      </c>
      <c r="N204" s="7" t="s">
        <v>380</v>
      </c>
      <c r="O204" s="7" t="s">
        <v>525</v>
      </c>
      <c r="P204" s="7" t="s">
        <v>524</v>
      </c>
      <c r="Q204" s="7" t="s">
        <v>230</v>
      </c>
      <c r="R204" s="7">
        <v>0</v>
      </c>
      <c r="S204" s="8">
        <f>1/1.65</f>
        <v>0.60606060606060608</v>
      </c>
      <c r="T204" s="8"/>
      <c r="U204" s="8">
        <v>0</v>
      </c>
      <c r="V204" s="8"/>
      <c r="W204" s="8"/>
    </row>
    <row r="205" spans="1:23" s="7" customFormat="1" x14ac:dyDescent="0.35">
      <c r="A205" s="7" t="s">
        <v>521</v>
      </c>
      <c r="B205" s="7" t="s">
        <v>398</v>
      </c>
      <c r="C205" s="7" t="s">
        <v>342</v>
      </c>
      <c r="D205" s="7">
        <v>2007</v>
      </c>
      <c r="E205" s="7">
        <v>47</v>
      </c>
      <c r="F205" s="7" t="s">
        <v>345</v>
      </c>
      <c r="G205" s="7" t="s">
        <v>170</v>
      </c>
      <c r="H205" s="7" t="s">
        <v>523</v>
      </c>
      <c r="K205" s="7" t="s">
        <v>394</v>
      </c>
      <c r="M205" s="7" t="s">
        <v>348</v>
      </c>
      <c r="N205" s="7" t="s">
        <v>380</v>
      </c>
      <c r="O205" s="7" t="s">
        <v>525</v>
      </c>
      <c r="P205" s="7" t="s">
        <v>524</v>
      </c>
      <c r="Q205" s="7" t="s">
        <v>230</v>
      </c>
      <c r="R205" s="7">
        <v>9</v>
      </c>
      <c r="S205" s="8">
        <f>1/1.64</f>
        <v>0.6097560975609756</v>
      </c>
      <c r="T205" s="8"/>
      <c r="U205" s="8">
        <v>-20</v>
      </c>
      <c r="V205" s="8"/>
      <c r="W205" s="8"/>
    </row>
    <row r="206" spans="1:23" s="7" customFormat="1" x14ac:dyDescent="0.35">
      <c r="A206" s="7" t="s">
        <v>521</v>
      </c>
      <c r="B206" s="7" t="s">
        <v>398</v>
      </c>
      <c r="C206" s="7" t="s">
        <v>342</v>
      </c>
      <c r="D206" s="7">
        <v>2007</v>
      </c>
      <c r="E206" s="7">
        <v>47</v>
      </c>
      <c r="F206" s="7" t="s">
        <v>345</v>
      </c>
      <c r="G206" s="7" t="s">
        <v>170</v>
      </c>
      <c r="H206" s="7" t="s">
        <v>523</v>
      </c>
      <c r="K206" s="7" t="s">
        <v>394</v>
      </c>
      <c r="M206" s="7" t="s">
        <v>348</v>
      </c>
      <c r="N206" s="7" t="s">
        <v>380</v>
      </c>
      <c r="O206" s="7" t="s">
        <v>525</v>
      </c>
      <c r="P206" s="7" t="s">
        <v>524</v>
      </c>
      <c r="Q206" s="7" t="s">
        <v>230</v>
      </c>
      <c r="R206" s="7">
        <v>18</v>
      </c>
      <c r="S206" s="8">
        <f>1/1.31</f>
        <v>0.76335877862595414</v>
      </c>
      <c r="T206" s="8"/>
      <c r="U206" s="8">
        <v>-30</v>
      </c>
      <c r="V206" s="8"/>
      <c r="W206" s="8"/>
    </row>
    <row r="207" spans="1:23" s="7" customFormat="1" x14ac:dyDescent="0.35">
      <c r="A207" s="7" t="s">
        <v>526</v>
      </c>
      <c r="B207" s="7" t="s">
        <v>522</v>
      </c>
      <c r="C207" s="7" t="s">
        <v>342</v>
      </c>
      <c r="D207" s="7">
        <v>2005</v>
      </c>
      <c r="E207" s="7">
        <v>48</v>
      </c>
      <c r="F207" s="7" t="s">
        <v>345</v>
      </c>
      <c r="G207" s="7" t="s">
        <v>170</v>
      </c>
      <c r="H207" s="7" t="s">
        <v>535</v>
      </c>
      <c r="K207" s="7" t="s">
        <v>394</v>
      </c>
      <c r="M207" s="7" t="s">
        <v>348</v>
      </c>
      <c r="N207" s="7" t="s">
        <v>380</v>
      </c>
      <c r="O207" s="7" t="s">
        <v>285</v>
      </c>
      <c r="P207" s="7" t="s">
        <v>349</v>
      </c>
      <c r="Q207" s="7" t="s">
        <v>520</v>
      </c>
      <c r="R207" s="7">
        <v>0</v>
      </c>
      <c r="S207" s="8">
        <v>1.1200000000000001</v>
      </c>
      <c r="T207" s="8">
        <v>0</v>
      </c>
      <c r="U207" s="8">
        <v>0</v>
      </c>
      <c r="V207" s="8"/>
      <c r="W207" s="8"/>
    </row>
    <row r="208" spans="1:23" s="7" customFormat="1" x14ac:dyDescent="0.35">
      <c r="A208" s="7" t="s">
        <v>526</v>
      </c>
      <c r="B208" s="7" t="s">
        <v>522</v>
      </c>
      <c r="C208" s="7" t="s">
        <v>342</v>
      </c>
      <c r="D208" s="7">
        <v>2005</v>
      </c>
      <c r="E208" s="7">
        <v>48</v>
      </c>
      <c r="F208" s="7" t="s">
        <v>345</v>
      </c>
      <c r="G208" s="7" t="s">
        <v>170</v>
      </c>
      <c r="H208" s="7" t="s">
        <v>535</v>
      </c>
      <c r="K208" s="7" t="s">
        <v>394</v>
      </c>
      <c r="M208" s="7" t="s">
        <v>348</v>
      </c>
      <c r="N208" s="7" t="s">
        <v>380</v>
      </c>
      <c r="O208" s="7" t="s">
        <v>285</v>
      </c>
      <c r="P208" s="7" t="s">
        <v>349</v>
      </c>
      <c r="Q208" s="7" t="s">
        <v>520</v>
      </c>
      <c r="R208" s="7">
        <v>20</v>
      </c>
      <c r="S208" s="8">
        <v>1.1299999999999999</v>
      </c>
      <c r="T208" s="8">
        <v>0</v>
      </c>
      <c r="U208" s="8">
        <v>0</v>
      </c>
      <c r="V208" s="8"/>
      <c r="W208" s="8"/>
    </row>
    <row r="209" spans="1:23" s="7" customFormat="1" x14ac:dyDescent="0.35">
      <c r="A209" s="7" t="s">
        <v>526</v>
      </c>
      <c r="B209" s="7" t="s">
        <v>522</v>
      </c>
      <c r="C209" s="7" t="s">
        <v>342</v>
      </c>
      <c r="D209" s="7">
        <v>2005</v>
      </c>
      <c r="E209" s="7">
        <v>48</v>
      </c>
      <c r="F209" s="7" t="s">
        <v>345</v>
      </c>
      <c r="G209" s="7" t="s">
        <v>170</v>
      </c>
      <c r="H209" s="7" t="s">
        <v>535</v>
      </c>
      <c r="K209" s="7" t="s">
        <v>394</v>
      </c>
      <c r="M209" s="7" t="s">
        <v>348</v>
      </c>
      <c r="N209" s="7" t="s">
        <v>380</v>
      </c>
      <c r="O209" s="7" t="s">
        <v>285</v>
      </c>
      <c r="P209" s="7" t="s">
        <v>349</v>
      </c>
      <c r="Q209" s="7" t="s">
        <v>520</v>
      </c>
      <c r="R209" s="7">
        <v>35</v>
      </c>
      <c r="S209" s="8">
        <v>1.1599999999999999</v>
      </c>
      <c r="T209" s="8">
        <v>0</v>
      </c>
      <c r="U209" s="8">
        <v>0</v>
      </c>
      <c r="V209" s="8"/>
      <c r="W209" s="8"/>
    </row>
    <row r="210" spans="1:23" s="7" customFormat="1" x14ac:dyDescent="0.35">
      <c r="A210" s="7" t="s">
        <v>443</v>
      </c>
      <c r="B210" s="7" t="s">
        <v>528</v>
      </c>
      <c r="C210" s="7" t="s">
        <v>370</v>
      </c>
      <c r="D210" s="7">
        <v>2018</v>
      </c>
      <c r="E210" s="7">
        <v>50</v>
      </c>
      <c r="F210" s="7" t="s">
        <v>345</v>
      </c>
      <c r="G210" s="7" t="s">
        <v>170</v>
      </c>
      <c r="H210" s="7" t="s">
        <v>527</v>
      </c>
      <c r="K210" s="7" t="s">
        <v>394</v>
      </c>
      <c r="M210" s="7" t="s">
        <v>348</v>
      </c>
      <c r="N210" s="7" t="s">
        <v>106</v>
      </c>
      <c r="O210" s="7" t="s">
        <v>444</v>
      </c>
      <c r="P210" s="7" t="s">
        <v>445</v>
      </c>
      <c r="Q210" s="7" t="s">
        <v>230</v>
      </c>
      <c r="R210" s="7">
        <v>0</v>
      </c>
      <c r="S210" s="8">
        <f>1/0.7064</f>
        <v>1.4156285390713477</v>
      </c>
      <c r="T210" s="8">
        <v>0</v>
      </c>
      <c r="U210" s="8">
        <v>0</v>
      </c>
      <c r="V210" s="8"/>
      <c r="W210" s="8"/>
    </row>
    <row r="211" spans="1:23" s="7" customFormat="1" x14ac:dyDescent="0.35">
      <c r="A211" s="7" t="s">
        <v>443</v>
      </c>
      <c r="B211" s="7" t="s">
        <v>528</v>
      </c>
      <c r="C211" s="7" t="s">
        <v>370</v>
      </c>
      <c r="D211" s="7">
        <v>2018</v>
      </c>
      <c r="E211" s="7">
        <v>50</v>
      </c>
      <c r="F211" s="7" t="s">
        <v>345</v>
      </c>
      <c r="G211" s="7" t="s">
        <v>170</v>
      </c>
      <c r="H211" s="7" t="s">
        <v>527</v>
      </c>
      <c r="K211" s="7" t="s">
        <v>394</v>
      </c>
      <c r="M211" s="7" t="s">
        <v>348</v>
      </c>
      <c r="N211" s="7" t="s">
        <v>106</v>
      </c>
      <c r="O211" s="7" t="s">
        <v>444</v>
      </c>
      <c r="P211" s="7" t="s">
        <v>445</v>
      </c>
      <c r="Q211" s="7" t="s">
        <v>230</v>
      </c>
      <c r="R211" s="7">
        <v>25</v>
      </c>
      <c r="S211" s="8">
        <f>1/0.7109</f>
        <v>1.4066676044450697</v>
      </c>
      <c r="T211" s="8">
        <v>2</v>
      </c>
      <c r="U211" s="8">
        <v>-2</v>
      </c>
      <c r="V211" s="8"/>
      <c r="W211" s="8"/>
    </row>
    <row r="212" spans="1:23" s="7" customFormat="1" x14ac:dyDescent="0.35">
      <c r="A212" s="7" t="s">
        <v>443</v>
      </c>
      <c r="B212" s="7" t="s">
        <v>528</v>
      </c>
      <c r="C212" s="7" t="s">
        <v>370</v>
      </c>
      <c r="D212" s="7">
        <v>2018</v>
      </c>
      <c r="E212" s="7">
        <v>50</v>
      </c>
      <c r="F212" s="7" t="s">
        <v>345</v>
      </c>
      <c r="G212" s="7" t="s">
        <v>170</v>
      </c>
      <c r="H212" s="7" t="s">
        <v>527</v>
      </c>
      <c r="K212" s="7" t="s">
        <v>394</v>
      </c>
      <c r="M212" s="7" t="s">
        <v>348</v>
      </c>
      <c r="N212" s="7" t="s">
        <v>106</v>
      </c>
      <c r="O212" s="7" t="s">
        <v>444</v>
      </c>
      <c r="P212" s="7" t="s">
        <v>445</v>
      </c>
      <c r="Q212" s="7" t="s">
        <v>230</v>
      </c>
      <c r="R212" s="7">
        <v>50</v>
      </c>
      <c r="S212" s="8">
        <f>1/0.6891</f>
        <v>1.4511681903932665</v>
      </c>
      <c r="T212" s="8">
        <v>4</v>
      </c>
      <c r="U212" s="8">
        <v>-5</v>
      </c>
      <c r="V212" s="8"/>
      <c r="W212" s="8"/>
    </row>
    <row r="213" spans="1:23" s="7" customFormat="1" x14ac:dyDescent="0.35">
      <c r="A213" s="7" t="s">
        <v>443</v>
      </c>
      <c r="B213" s="7" t="s">
        <v>528</v>
      </c>
      <c r="C213" s="7" t="s">
        <v>370</v>
      </c>
      <c r="D213" s="7">
        <v>2018</v>
      </c>
      <c r="E213" s="7">
        <v>50</v>
      </c>
      <c r="F213" s="7" t="s">
        <v>345</v>
      </c>
      <c r="G213" s="7" t="s">
        <v>170</v>
      </c>
      <c r="H213" s="7" t="s">
        <v>527</v>
      </c>
      <c r="K213" s="7" t="s">
        <v>394</v>
      </c>
      <c r="M213" s="7" t="s">
        <v>348</v>
      </c>
      <c r="N213" s="7" t="s">
        <v>106</v>
      </c>
      <c r="O213" s="7" t="s">
        <v>444</v>
      </c>
      <c r="P213" s="7" t="s">
        <v>445</v>
      </c>
      <c r="Q213" s="7" t="s">
        <v>230</v>
      </c>
      <c r="R213" s="7">
        <v>100</v>
      </c>
      <c r="S213" s="8">
        <f>1/0.6519</f>
        <v>1.5339776039269826</v>
      </c>
      <c r="T213" s="8">
        <v>8</v>
      </c>
      <c r="U213" s="8">
        <v>-10</v>
      </c>
      <c r="V213" s="8"/>
      <c r="W213" s="8"/>
    </row>
    <row r="214" spans="1:23" s="7" customFormat="1" x14ac:dyDescent="0.35">
      <c r="A214" s="7" t="s">
        <v>531</v>
      </c>
      <c r="B214" s="7" t="s">
        <v>532</v>
      </c>
      <c r="C214" s="7" t="s">
        <v>533</v>
      </c>
      <c r="D214" s="7">
        <v>2012</v>
      </c>
      <c r="E214" s="7">
        <v>51</v>
      </c>
      <c r="F214" s="7" t="s">
        <v>345</v>
      </c>
      <c r="G214" s="7" t="s">
        <v>170</v>
      </c>
      <c r="H214" s="7" t="s">
        <v>534</v>
      </c>
      <c r="K214" s="7" t="s">
        <v>394</v>
      </c>
      <c r="M214" s="7" t="s">
        <v>348</v>
      </c>
      <c r="N214" s="7" t="s">
        <v>417</v>
      </c>
      <c r="O214" s="7" t="s">
        <v>530</v>
      </c>
      <c r="P214" s="9" t="s">
        <v>529</v>
      </c>
      <c r="Q214" s="9" t="s">
        <v>520</v>
      </c>
      <c r="R214" s="7">
        <v>0</v>
      </c>
      <c r="S214" s="8">
        <v>2.69</v>
      </c>
      <c r="T214" s="8">
        <v>0</v>
      </c>
      <c r="U214" s="8">
        <v>0</v>
      </c>
      <c r="V214" s="8"/>
      <c r="W214" s="8"/>
    </row>
    <row r="215" spans="1:23" s="7" customFormat="1" x14ac:dyDescent="0.35">
      <c r="A215" s="7" t="s">
        <v>531</v>
      </c>
      <c r="B215" s="7" t="s">
        <v>532</v>
      </c>
      <c r="C215" s="7" t="s">
        <v>533</v>
      </c>
      <c r="D215" s="7">
        <v>2012</v>
      </c>
      <c r="E215" s="7">
        <v>51</v>
      </c>
      <c r="F215" s="7" t="s">
        <v>345</v>
      </c>
      <c r="G215" s="7" t="s">
        <v>170</v>
      </c>
      <c r="H215" s="7" t="s">
        <v>534</v>
      </c>
      <c r="K215" s="7" t="s">
        <v>394</v>
      </c>
      <c r="M215" s="7" t="s">
        <v>348</v>
      </c>
      <c r="N215" s="7" t="s">
        <v>417</v>
      </c>
      <c r="O215" s="7" t="s">
        <v>530</v>
      </c>
      <c r="P215" s="9" t="s">
        <v>529</v>
      </c>
      <c r="Q215" s="9" t="s">
        <v>520</v>
      </c>
      <c r="R215" s="7">
        <v>6</v>
      </c>
      <c r="S215" s="8">
        <v>2.5299999999999998</v>
      </c>
      <c r="T215" s="8">
        <v>7</v>
      </c>
      <c r="U215" s="8">
        <v>-0.5</v>
      </c>
      <c r="V215" s="8"/>
      <c r="W215" s="8"/>
    </row>
    <row r="216" spans="1:23" s="7" customFormat="1" x14ac:dyDescent="0.35">
      <c r="A216" s="7" t="s">
        <v>531</v>
      </c>
      <c r="B216" s="7" t="s">
        <v>532</v>
      </c>
      <c r="C216" s="7" t="s">
        <v>533</v>
      </c>
      <c r="D216" s="7">
        <v>2012</v>
      </c>
      <c r="E216" s="7">
        <v>51</v>
      </c>
      <c r="F216" s="7" t="s">
        <v>345</v>
      </c>
      <c r="G216" s="7" t="s">
        <v>170</v>
      </c>
      <c r="H216" s="7" t="s">
        <v>534</v>
      </c>
      <c r="K216" s="7" t="s">
        <v>394</v>
      </c>
      <c r="M216" s="7" t="s">
        <v>348</v>
      </c>
      <c r="N216" s="7" t="s">
        <v>417</v>
      </c>
      <c r="O216" s="7" t="s">
        <v>530</v>
      </c>
      <c r="P216" s="9" t="s">
        <v>529</v>
      </c>
      <c r="Q216" s="9" t="s">
        <v>520</v>
      </c>
      <c r="R216" s="7">
        <v>12</v>
      </c>
      <c r="S216" s="8">
        <v>2.62</v>
      </c>
      <c r="T216" s="8">
        <v>10</v>
      </c>
      <c r="U216" s="8">
        <v>-1.5</v>
      </c>
      <c r="V216" s="8"/>
      <c r="W216" s="8"/>
    </row>
    <row r="217" spans="1:23" s="7" customFormat="1" x14ac:dyDescent="0.35">
      <c r="A217" s="7" t="s">
        <v>531</v>
      </c>
      <c r="B217" s="7" t="s">
        <v>532</v>
      </c>
      <c r="C217" s="7" t="s">
        <v>533</v>
      </c>
      <c r="D217" s="7">
        <v>2012</v>
      </c>
      <c r="E217" s="7">
        <v>51</v>
      </c>
      <c r="F217" s="7" t="s">
        <v>345</v>
      </c>
      <c r="G217" s="7" t="s">
        <v>170</v>
      </c>
      <c r="H217" s="7" t="s">
        <v>534</v>
      </c>
      <c r="K217" s="7" t="s">
        <v>394</v>
      </c>
      <c r="M217" s="7" t="s">
        <v>348</v>
      </c>
      <c r="N217" s="7" t="s">
        <v>417</v>
      </c>
      <c r="O217" s="7" t="s">
        <v>530</v>
      </c>
      <c r="P217" s="9" t="s">
        <v>529</v>
      </c>
      <c r="Q217" s="9" t="s">
        <v>520</v>
      </c>
      <c r="R217" s="7">
        <v>24</v>
      </c>
      <c r="S217" s="8">
        <v>2.6</v>
      </c>
      <c r="T217" s="8">
        <v>17</v>
      </c>
      <c r="U217" s="8">
        <v>-3</v>
      </c>
      <c r="V217" s="8"/>
      <c r="W217" s="8"/>
    </row>
    <row r="218" spans="1:23" s="7" customFormat="1" ht="17.25" customHeight="1" x14ac:dyDescent="0.35">
      <c r="A218" s="7" t="s">
        <v>542</v>
      </c>
      <c r="B218" s="7" t="s">
        <v>532</v>
      </c>
      <c r="C218" s="7" t="s">
        <v>485</v>
      </c>
      <c r="D218" s="7">
        <v>2016</v>
      </c>
      <c r="E218" s="7">
        <v>52</v>
      </c>
      <c r="F218" s="7" t="s">
        <v>345</v>
      </c>
      <c r="G218" s="7" t="s">
        <v>170</v>
      </c>
      <c r="H218" s="7" t="s">
        <v>442</v>
      </c>
      <c r="K218" s="7" t="s">
        <v>394</v>
      </c>
      <c r="M218" s="7" t="s">
        <v>348</v>
      </c>
      <c r="N218" s="7" t="s">
        <v>537</v>
      </c>
      <c r="O218" s="7" t="s">
        <v>539</v>
      </c>
      <c r="P218" s="7" t="s">
        <v>540</v>
      </c>
      <c r="Q218" s="9" t="s">
        <v>230</v>
      </c>
      <c r="R218" s="7">
        <v>0</v>
      </c>
      <c r="S218" s="8">
        <v>0.7</v>
      </c>
      <c r="T218" s="8"/>
      <c r="U218" s="8">
        <v>0</v>
      </c>
      <c r="V218" s="8"/>
      <c r="W218" s="8"/>
    </row>
    <row r="219" spans="1:23" s="7" customFormat="1" x14ac:dyDescent="0.35">
      <c r="A219" s="7" t="s">
        <v>542</v>
      </c>
      <c r="B219" s="7" t="s">
        <v>532</v>
      </c>
      <c r="C219" s="7" t="s">
        <v>485</v>
      </c>
      <c r="D219" s="7">
        <v>2016</v>
      </c>
      <c r="E219" s="7">
        <v>52</v>
      </c>
      <c r="F219" s="7" t="s">
        <v>345</v>
      </c>
      <c r="G219" s="7" t="s">
        <v>170</v>
      </c>
      <c r="H219" s="7" t="s">
        <v>442</v>
      </c>
      <c r="K219" s="7" t="s">
        <v>394</v>
      </c>
      <c r="M219" s="7" t="s">
        <v>348</v>
      </c>
      <c r="N219" s="7" t="s">
        <v>537</v>
      </c>
      <c r="O219" s="7" t="s">
        <v>539</v>
      </c>
      <c r="P219" s="7" t="s">
        <v>540</v>
      </c>
      <c r="Q219" s="9" t="s">
        <v>230</v>
      </c>
      <c r="R219" s="7">
        <v>7</v>
      </c>
      <c r="S219" s="8">
        <v>0.77</v>
      </c>
      <c r="T219" s="8"/>
      <c r="U219" s="8">
        <v>0</v>
      </c>
      <c r="V219" s="8"/>
      <c r="W219" s="8"/>
    </row>
    <row r="220" spans="1:23" s="7" customFormat="1" x14ac:dyDescent="0.35">
      <c r="A220" s="7" t="s">
        <v>542</v>
      </c>
      <c r="B220" s="7" t="s">
        <v>532</v>
      </c>
      <c r="C220" s="7" t="s">
        <v>485</v>
      </c>
      <c r="D220" s="7">
        <v>2016</v>
      </c>
      <c r="E220" s="7">
        <v>52</v>
      </c>
      <c r="F220" s="7" t="s">
        <v>345</v>
      </c>
      <c r="G220" s="7" t="s">
        <v>170</v>
      </c>
      <c r="H220" s="7" t="s">
        <v>442</v>
      </c>
      <c r="K220" s="7" t="s">
        <v>394</v>
      </c>
      <c r="M220" s="7" t="s">
        <v>348</v>
      </c>
      <c r="N220" s="7" t="s">
        <v>537</v>
      </c>
      <c r="O220" s="7" t="s">
        <v>539</v>
      </c>
      <c r="P220" s="7" t="s">
        <v>540</v>
      </c>
      <c r="Q220" s="9" t="s">
        <v>230</v>
      </c>
      <c r="R220" s="7">
        <v>14</v>
      </c>
      <c r="S220" s="8">
        <v>0.79</v>
      </c>
      <c r="T220" s="8"/>
      <c r="U220" s="8">
        <v>0</v>
      </c>
      <c r="V220" s="8"/>
      <c r="W220" s="8"/>
    </row>
    <row r="221" spans="1:23" s="7" customFormat="1" x14ac:dyDescent="0.35">
      <c r="A221" s="7" t="s">
        <v>542</v>
      </c>
      <c r="B221" s="7" t="s">
        <v>532</v>
      </c>
      <c r="C221" s="7" t="s">
        <v>485</v>
      </c>
      <c r="D221" s="7">
        <v>2016</v>
      </c>
      <c r="E221" s="7">
        <v>52</v>
      </c>
      <c r="F221" s="7" t="s">
        <v>345</v>
      </c>
      <c r="G221" s="7" t="s">
        <v>170</v>
      </c>
      <c r="H221" s="7" t="s">
        <v>442</v>
      </c>
      <c r="K221" s="7" t="s">
        <v>394</v>
      </c>
      <c r="M221" s="7" t="s">
        <v>348</v>
      </c>
      <c r="N221" s="7" t="s">
        <v>537</v>
      </c>
      <c r="O221" s="7" t="s">
        <v>539</v>
      </c>
      <c r="P221" s="7" t="s">
        <v>540</v>
      </c>
      <c r="Q221" s="9" t="s">
        <v>230</v>
      </c>
      <c r="R221" s="7">
        <v>28</v>
      </c>
      <c r="S221" s="8">
        <v>1.01</v>
      </c>
      <c r="T221" s="8"/>
      <c r="U221" s="8">
        <v>0</v>
      </c>
      <c r="V221" s="8"/>
      <c r="W221" s="8"/>
    </row>
    <row r="222" spans="1:23" s="7" customFormat="1" x14ac:dyDescent="0.35">
      <c r="A222" s="7" t="s">
        <v>542</v>
      </c>
      <c r="B222" s="7" t="s">
        <v>532</v>
      </c>
      <c r="C222" s="7" t="s">
        <v>485</v>
      </c>
      <c r="D222" s="7">
        <v>2016</v>
      </c>
      <c r="E222" s="7">
        <v>52</v>
      </c>
      <c r="F222" s="7" t="s">
        <v>345</v>
      </c>
      <c r="G222" s="7" t="s">
        <v>170</v>
      </c>
      <c r="H222" s="7" t="s">
        <v>442</v>
      </c>
      <c r="K222" s="7" t="s">
        <v>394</v>
      </c>
      <c r="M222" s="7" t="s">
        <v>348</v>
      </c>
      <c r="N222" s="7" t="s">
        <v>537</v>
      </c>
      <c r="O222" s="7" t="s">
        <v>539</v>
      </c>
      <c r="P222" s="7" t="s">
        <v>540</v>
      </c>
      <c r="Q222" s="9" t="s">
        <v>230</v>
      </c>
      <c r="R222" s="7">
        <v>56</v>
      </c>
      <c r="S222" s="8">
        <v>1.03</v>
      </c>
      <c r="T222" s="8"/>
      <c r="U222" s="8">
        <v>0</v>
      </c>
      <c r="V222" s="8"/>
      <c r="W222" s="8"/>
    </row>
    <row r="223" spans="1:23" s="7" customFormat="1" x14ac:dyDescent="0.35">
      <c r="A223" s="7" t="s">
        <v>544</v>
      </c>
      <c r="B223" s="7" t="s">
        <v>453</v>
      </c>
      <c r="C223" s="7" t="s">
        <v>545</v>
      </c>
      <c r="D223" s="7">
        <v>2013</v>
      </c>
      <c r="E223" s="7">
        <v>53</v>
      </c>
      <c r="F223" s="7" t="s">
        <v>345</v>
      </c>
      <c r="G223" s="7" t="s">
        <v>170</v>
      </c>
      <c r="H223" s="7" t="s">
        <v>534</v>
      </c>
      <c r="K223" s="7" t="s">
        <v>394</v>
      </c>
      <c r="M223" s="7" t="s">
        <v>348</v>
      </c>
      <c r="N223" s="7" t="s">
        <v>538</v>
      </c>
      <c r="O223" s="7" t="s">
        <v>543</v>
      </c>
      <c r="P223" s="7" t="s">
        <v>196</v>
      </c>
      <c r="Q223" s="9" t="s">
        <v>520</v>
      </c>
      <c r="R223" s="7">
        <v>0</v>
      </c>
      <c r="S223" s="8">
        <v>2.25</v>
      </c>
      <c r="T223" s="8">
        <v>0</v>
      </c>
      <c r="U223" s="8">
        <v>0</v>
      </c>
      <c r="V223" s="8"/>
      <c r="W223" s="8"/>
    </row>
    <row r="224" spans="1:23" s="7" customFormat="1" x14ac:dyDescent="0.35">
      <c r="A224" s="7" t="s">
        <v>544</v>
      </c>
      <c r="B224" s="7" t="s">
        <v>453</v>
      </c>
      <c r="C224" s="7" t="s">
        <v>545</v>
      </c>
      <c r="D224" s="7">
        <v>2013</v>
      </c>
      <c r="E224" s="7">
        <v>53</v>
      </c>
      <c r="F224" s="7" t="s">
        <v>345</v>
      </c>
      <c r="G224" s="7" t="s">
        <v>170</v>
      </c>
      <c r="H224" s="7" t="s">
        <v>534</v>
      </c>
      <c r="K224" s="7" t="s">
        <v>394</v>
      </c>
      <c r="M224" s="7" t="s">
        <v>348</v>
      </c>
      <c r="N224" s="7" t="s">
        <v>538</v>
      </c>
      <c r="O224" s="7" t="s">
        <v>543</v>
      </c>
      <c r="P224" s="7" t="s">
        <v>196</v>
      </c>
      <c r="Q224" s="9" t="s">
        <v>520</v>
      </c>
      <c r="R224" s="7">
        <v>17</v>
      </c>
      <c r="S224" s="8">
        <v>1.98</v>
      </c>
      <c r="T224" s="8">
        <v>0</v>
      </c>
      <c r="U224" s="8">
        <v>0</v>
      </c>
      <c r="V224" s="8"/>
      <c r="W224" s="8"/>
    </row>
    <row r="225" spans="1:23" s="7" customFormat="1" x14ac:dyDescent="0.35">
      <c r="A225" s="7" t="s">
        <v>544</v>
      </c>
      <c r="B225" s="7" t="s">
        <v>453</v>
      </c>
      <c r="C225" s="7" t="s">
        <v>545</v>
      </c>
      <c r="D225" s="7">
        <v>2013</v>
      </c>
      <c r="E225" s="7">
        <v>53</v>
      </c>
      <c r="F225" s="7" t="s">
        <v>345</v>
      </c>
      <c r="G225" s="7" t="s">
        <v>170</v>
      </c>
      <c r="H225" s="7" t="s">
        <v>534</v>
      </c>
      <c r="K225" s="7" t="s">
        <v>394</v>
      </c>
      <c r="M225" s="7" t="s">
        <v>348</v>
      </c>
      <c r="N225" s="7" t="s">
        <v>538</v>
      </c>
      <c r="O225" s="7" t="s">
        <v>543</v>
      </c>
      <c r="P225" s="7" t="s">
        <v>196</v>
      </c>
      <c r="Q225" s="9" t="s">
        <v>520</v>
      </c>
      <c r="R225" s="7">
        <v>34</v>
      </c>
      <c r="S225" s="8">
        <v>2.23</v>
      </c>
      <c r="T225" s="8">
        <v>0</v>
      </c>
      <c r="U225" s="8">
        <v>0</v>
      </c>
      <c r="V225" s="8"/>
      <c r="W225" s="8"/>
    </row>
    <row r="226" spans="1:23" s="7" customFormat="1" x14ac:dyDescent="0.35">
      <c r="A226" s="7" t="s">
        <v>544</v>
      </c>
      <c r="B226" s="7" t="s">
        <v>453</v>
      </c>
      <c r="C226" s="7" t="s">
        <v>545</v>
      </c>
      <c r="D226" s="7">
        <v>2013</v>
      </c>
      <c r="E226" s="7">
        <v>53</v>
      </c>
      <c r="F226" s="7" t="s">
        <v>345</v>
      </c>
      <c r="G226" s="7" t="s">
        <v>170</v>
      </c>
      <c r="H226" s="7" t="s">
        <v>534</v>
      </c>
      <c r="K226" s="7" t="s">
        <v>394</v>
      </c>
      <c r="M226" s="7" t="s">
        <v>348</v>
      </c>
      <c r="N226" s="7" t="s">
        <v>538</v>
      </c>
      <c r="O226" s="7" t="s">
        <v>543</v>
      </c>
      <c r="P226" s="7" t="s">
        <v>196</v>
      </c>
      <c r="Q226" s="9" t="s">
        <v>520</v>
      </c>
      <c r="R226" s="7">
        <v>49</v>
      </c>
      <c r="S226" s="8">
        <v>2.27</v>
      </c>
      <c r="T226" s="8">
        <v>0</v>
      </c>
      <c r="U226" s="8">
        <v>0</v>
      </c>
      <c r="V226" s="8"/>
      <c r="W226" s="8"/>
    </row>
    <row r="227" spans="1:23" s="7" customFormat="1" x14ac:dyDescent="0.35">
      <c r="A227" s="7" t="s">
        <v>546</v>
      </c>
      <c r="B227" s="7" t="s">
        <v>522</v>
      </c>
      <c r="C227" s="7" t="s">
        <v>547</v>
      </c>
      <c r="D227" s="7">
        <v>2014</v>
      </c>
      <c r="E227" s="7">
        <v>54</v>
      </c>
      <c r="F227" s="7" t="s">
        <v>345</v>
      </c>
      <c r="G227" s="7" t="s">
        <v>170</v>
      </c>
      <c r="H227" s="7" t="s">
        <v>442</v>
      </c>
      <c r="K227" s="7" t="s">
        <v>394</v>
      </c>
      <c r="M227" s="7" t="s">
        <v>348</v>
      </c>
      <c r="N227" s="7" t="s">
        <v>409</v>
      </c>
      <c r="O227" s="7" t="s">
        <v>466</v>
      </c>
      <c r="P227" s="7" t="s">
        <v>172</v>
      </c>
      <c r="Q227" s="9" t="s">
        <v>467</v>
      </c>
      <c r="R227" s="7">
        <v>0</v>
      </c>
      <c r="S227" s="8">
        <v>1.61</v>
      </c>
      <c r="T227" s="8">
        <v>0</v>
      </c>
      <c r="U227" s="7">
        <v>0</v>
      </c>
      <c r="V227" s="8"/>
      <c r="W227" s="8"/>
    </row>
    <row r="228" spans="1:23" s="7" customFormat="1" x14ac:dyDescent="0.35">
      <c r="A228" s="7" t="s">
        <v>546</v>
      </c>
      <c r="B228" s="7" t="s">
        <v>522</v>
      </c>
      <c r="C228" s="7" t="s">
        <v>547</v>
      </c>
      <c r="D228" s="7">
        <v>2014</v>
      </c>
      <c r="E228" s="7">
        <v>54</v>
      </c>
      <c r="F228" s="7" t="s">
        <v>345</v>
      </c>
      <c r="G228" s="7" t="s">
        <v>170</v>
      </c>
      <c r="H228" s="7" t="s">
        <v>442</v>
      </c>
      <c r="K228" s="7" t="s">
        <v>394</v>
      </c>
      <c r="M228" s="7" t="s">
        <v>348</v>
      </c>
      <c r="N228" s="7" t="s">
        <v>409</v>
      </c>
      <c r="O228" s="7" t="s">
        <v>466</v>
      </c>
      <c r="P228" s="7" t="s">
        <v>172</v>
      </c>
      <c r="Q228" s="9" t="s">
        <v>467</v>
      </c>
      <c r="R228" s="7">
        <v>25</v>
      </c>
      <c r="S228" s="8">
        <v>1.62</v>
      </c>
      <c r="T228" s="8">
        <v>45</v>
      </c>
      <c r="U228" s="7">
        <v>0</v>
      </c>
      <c r="V228" s="8"/>
      <c r="W228" s="8"/>
    </row>
    <row r="229" spans="1:23" s="7" customFormat="1" x14ac:dyDescent="0.35">
      <c r="A229" s="7" t="s">
        <v>546</v>
      </c>
      <c r="B229" s="7" t="s">
        <v>522</v>
      </c>
      <c r="C229" s="7" t="s">
        <v>547</v>
      </c>
      <c r="D229" s="7">
        <v>2014</v>
      </c>
      <c r="E229" s="7">
        <v>54</v>
      </c>
      <c r="F229" s="7" t="s">
        <v>345</v>
      </c>
      <c r="G229" s="7" t="s">
        <v>170</v>
      </c>
      <c r="H229" s="7" t="s">
        <v>442</v>
      </c>
      <c r="K229" s="7" t="s">
        <v>394</v>
      </c>
      <c r="M229" s="7" t="s">
        <v>348</v>
      </c>
      <c r="N229" s="7" t="s">
        <v>409</v>
      </c>
      <c r="O229" s="7" t="s">
        <v>466</v>
      </c>
      <c r="P229" s="7" t="s">
        <v>172</v>
      </c>
      <c r="Q229" s="9" t="s">
        <v>467</v>
      </c>
      <c r="R229" s="7">
        <v>50</v>
      </c>
      <c r="S229" s="8">
        <v>1.61</v>
      </c>
      <c r="T229" s="8">
        <v>90</v>
      </c>
      <c r="U229" s="7">
        <v>0</v>
      </c>
      <c r="V229" s="8"/>
      <c r="W229" s="8"/>
    </row>
    <row r="230" spans="1:23" s="7" customFormat="1" x14ac:dyDescent="0.35">
      <c r="A230" s="7" t="s">
        <v>546</v>
      </c>
      <c r="B230" s="7" t="s">
        <v>522</v>
      </c>
      <c r="C230" s="7" t="s">
        <v>547</v>
      </c>
      <c r="D230" s="7">
        <v>2014</v>
      </c>
      <c r="E230" s="7">
        <v>54</v>
      </c>
      <c r="F230" s="7" t="s">
        <v>345</v>
      </c>
      <c r="G230" s="7" t="s">
        <v>170</v>
      </c>
      <c r="H230" s="7" t="s">
        <v>442</v>
      </c>
      <c r="K230" s="7" t="s">
        <v>394</v>
      </c>
      <c r="M230" s="7" t="s">
        <v>348</v>
      </c>
      <c r="N230" s="7" t="s">
        <v>409</v>
      </c>
      <c r="O230" s="7" t="s">
        <v>466</v>
      </c>
      <c r="P230" s="7" t="s">
        <v>172</v>
      </c>
      <c r="Q230" s="9" t="s">
        <v>467</v>
      </c>
      <c r="R230" s="7">
        <v>75</v>
      </c>
      <c r="S230" s="8">
        <v>1.66</v>
      </c>
      <c r="T230" s="8">
        <v>135</v>
      </c>
      <c r="U230" s="7">
        <v>0</v>
      </c>
      <c r="V230" s="8"/>
      <c r="W230" s="8"/>
    </row>
    <row r="231" spans="1:23" s="7" customFormat="1" x14ac:dyDescent="0.35">
      <c r="A231" s="7" t="s">
        <v>546</v>
      </c>
      <c r="B231" s="7" t="s">
        <v>522</v>
      </c>
      <c r="C231" s="7" t="s">
        <v>547</v>
      </c>
      <c r="D231" s="7">
        <v>2014</v>
      </c>
      <c r="E231" s="7">
        <v>54</v>
      </c>
      <c r="F231" s="7" t="s">
        <v>345</v>
      </c>
      <c r="G231" s="7" t="s">
        <v>170</v>
      </c>
      <c r="H231" s="7" t="s">
        <v>442</v>
      </c>
      <c r="K231" s="7" t="s">
        <v>394</v>
      </c>
      <c r="M231" s="7" t="s">
        <v>348</v>
      </c>
      <c r="N231" s="7" t="s">
        <v>409</v>
      </c>
      <c r="O231" s="7" t="s">
        <v>466</v>
      </c>
      <c r="P231" s="7" t="s">
        <v>172</v>
      </c>
      <c r="Q231" s="9" t="s">
        <v>467</v>
      </c>
      <c r="R231" s="7">
        <v>100</v>
      </c>
      <c r="S231" s="8">
        <v>1.79</v>
      </c>
      <c r="T231" s="8">
        <v>180</v>
      </c>
      <c r="U231" s="7">
        <v>0</v>
      </c>
      <c r="V231" s="8"/>
      <c r="W231" s="8"/>
    </row>
    <row r="232" spans="1:23" s="7" customFormat="1" x14ac:dyDescent="0.35">
      <c r="A232" s="7" t="s">
        <v>550</v>
      </c>
      <c r="B232" s="7" t="s">
        <v>551</v>
      </c>
      <c r="C232" s="7" t="s">
        <v>488</v>
      </c>
      <c r="D232" s="7">
        <v>2001</v>
      </c>
      <c r="E232" s="7">
        <v>55</v>
      </c>
      <c r="F232" s="7" t="s">
        <v>345</v>
      </c>
      <c r="G232" s="7" t="s">
        <v>170</v>
      </c>
      <c r="H232" s="7" t="s">
        <v>442</v>
      </c>
      <c r="K232" s="7" t="s">
        <v>394</v>
      </c>
      <c r="M232" s="7" t="s">
        <v>348</v>
      </c>
      <c r="N232" s="7" t="s">
        <v>106</v>
      </c>
      <c r="O232" s="7" t="s">
        <v>205</v>
      </c>
      <c r="P232" s="7" t="s">
        <v>496</v>
      </c>
      <c r="Q232" s="9" t="s">
        <v>520</v>
      </c>
      <c r="R232" s="7">
        <v>0</v>
      </c>
      <c r="S232" s="8">
        <v>2.1</v>
      </c>
      <c r="T232" s="8"/>
      <c r="U232" s="7">
        <v>0</v>
      </c>
      <c r="V232" s="8"/>
      <c r="W232" s="8"/>
    </row>
    <row r="233" spans="1:23" s="7" customFormat="1" x14ac:dyDescent="0.35">
      <c r="A233" s="7" t="s">
        <v>550</v>
      </c>
      <c r="B233" s="7" t="s">
        <v>551</v>
      </c>
      <c r="C233" s="7" t="s">
        <v>488</v>
      </c>
      <c r="D233" s="7">
        <v>2001</v>
      </c>
      <c r="E233" s="7">
        <v>55</v>
      </c>
      <c r="F233" s="7" t="s">
        <v>345</v>
      </c>
      <c r="G233" s="7" t="s">
        <v>170</v>
      </c>
      <c r="H233" s="7" t="s">
        <v>442</v>
      </c>
      <c r="K233" s="7" t="s">
        <v>394</v>
      </c>
      <c r="M233" s="7" t="s">
        <v>348</v>
      </c>
      <c r="N233" s="7" t="s">
        <v>106</v>
      </c>
      <c r="O233" s="7" t="s">
        <v>205</v>
      </c>
      <c r="P233" s="7" t="s">
        <v>496</v>
      </c>
      <c r="Q233" s="9" t="s">
        <v>520</v>
      </c>
      <c r="R233" s="7">
        <v>25</v>
      </c>
      <c r="S233" s="8">
        <v>2.06</v>
      </c>
      <c r="T233" s="8"/>
      <c r="U233" s="7">
        <v>-3</v>
      </c>
      <c r="V233" s="8"/>
      <c r="W233" s="8"/>
    </row>
    <row r="234" spans="1:23" s="7" customFormat="1" x14ac:dyDescent="0.35">
      <c r="A234" s="7" t="s">
        <v>550</v>
      </c>
      <c r="B234" s="7" t="s">
        <v>551</v>
      </c>
      <c r="C234" s="7" t="s">
        <v>488</v>
      </c>
      <c r="D234" s="7">
        <v>2001</v>
      </c>
      <c r="E234" s="7">
        <v>55</v>
      </c>
      <c r="F234" s="7" t="s">
        <v>345</v>
      </c>
      <c r="G234" s="7" t="s">
        <v>170</v>
      </c>
      <c r="H234" s="7" t="s">
        <v>442</v>
      </c>
      <c r="K234" s="7" t="s">
        <v>394</v>
      </c>
      <c r="M234" s="7" t="s">
        <v>348</v>
      </c>
      <c r="N234" s="7" t="s">
        <v>106</v>
      </c>
      <c r="O234" s="7" t="s">
        <v>205</v>
      </c>
      <c r="P234" s="7" t="s">
        <v>496</v>
      </c>
      <c r="Q234" s="9" t="s">
        <v>520</v>
      </c>
      <c r="R234" s="7">
        <v>50</v>
      </c>
      <c r="S234" s="8">
        <v>2.12</v>
      </c>
      <c r="T234" s="8"/>
      <c r="U234" s="7">
        <v>-7</v>
      </c>
      <c r="V234" s="8"/>
      <c r="W234" s="8"/>
    </row>
    <row r="235" spans="1:23" s="7" customFormat="1" x14ac:dyDescent="0.35">
      <c r="A235" s="7" t="s">
        <v>550</v>
      </c>
      <c r="B235" s="7" t="s">
        <v>551</v>
      </c>
      <c r="C235" s="7" t="s">
        <v>488</v>
      </c>
      <c r="D235" s="7">
        <v>2001</v>
      </c>
      <c r="E235" s="7">
        <v>55</v>
      </c>
      <c r="F235" s="7" t="s">
        <v>345</v>
      </c>
      <c r="G235" s="7" t="s">
        <v>170</v>
      </c>
      <c r="H235" s="7" t="s">
        <v>442</v>
      </c>
      <c r="K235" s="7" t="s">
        <v>394</v>
      </c>
      <c r="M235" s="7" t="s">
        <v>348</v>
      </c>
      <c r="N235" s="7" t="s">
        <v>106</v>
      </c>
      <c r="O235" s="7" t="s">
        <v>205</v>
      </c>
      <c r="P235" s="7" t="s">
        <v>496</v>
      </c>
      <c r="Q235" s="9" t="s">
        <v>520</v>
      </c>
      <c r="R235" s="7">
        <v>75</v>
      </c>
      <c r="S235" s="8">
        <v>2.56</v>
      </c>
      <c r="T235" s="8"/>
      <c r="U235" s="7">
        <v>-11</v>
      </c>
      <c r="V235" s="8"/>
      <c r="W235" s="8"/>
    </row>
    <row r="236" spans="1:23" s="7" customFormat="1" x14ac:dyDescent="0.35">
      <c r="A236" s="7" t="s">
        <v>550</v>
      </c>
      <c r="B236" s="7" t="s">
        <v>551</v>
      </c>
      <c r="C236" s="7" t="s">
        <v>488</v>
      </c>
      <c r="D236" s="7">
        <v>2001</v>
      </c>
      <c r="E236" s="7">
        <v>55</v>
      </c>
      <c r="F236" s="7" t="s">
        <v>345</v>
      </c>
      <c r="G236" s="7" t="s">
        <v>170</v>
      </c>
      <c r="H236" s="7" t="s">
        <v>442</v>
      </c>
      <c r="K236" s="7" t="s">
        <v>394</v>
      </c>
      <c r="M236" s="7" t="s">
        <v>348</v>
      </c>
      <c r="N236" s="7" t="s">
        <v>106</v>
      </c>
      <c r="O236" s="7" t="s">
        <v>205</v>
      </c>
      <c r="P236" s="7" t="s">
        <v>496</v>
      </c>
      <c r="Q236" s="9" t="s">
        <v>520</v>
      </c>
      <c r="R236" s="7">
        <v>100</v>
      </c>
      <c r="S236" s="8">
        <v>2.5099999999999998</v>
      </c>
      <c r="T236" s="8"/>
      <c r="U236" s="7">
        <v>-14</v>
      </c>
      <c r="V236" s="8"/>
      <c r="W236" s="8"/>
    </row>
    <row r="237" spans="1:23" s="7" customFormat="1" x14ac:dyDescent="0.35">
      <c r="A237" s="7" t="s">
        <v>550</v>
      </c>
      <c r="B237" s="7" t="s">
        <v>551</v>
      </c>
      <c r="C237" s="7" t="s">
        <v>488</v>
      </c>
      <c r="D237" s="7">
        <v>2001</v>
      </c>
      <c r="E237" s="7">
        <v>55</v>
      </c>
      <c r="F237" s="7" t="s">
        <v>345</v>
      </c>
      <c r="G237" s="7" t="s">
        <v>170</v>
      </c>
      <c r="H237" s="7" t="s">
        <v>442</v>
      </c>
      <c r="K237" s="7" t="s">
        <v>394</v>
      </c>
      <c r="M237" s="7" t="s">
        <v>348</v>
      </c>
      <c r="N237" s="7" t="s">
        <v>106</v>
      </c>
      <c r="O237" s="7" t="s">
        <v>204</v>
      </c>
      <c r="P237" s="7" t="s">
        <v>206</v>
      </c>
      <c r="Q237" s="9" t="s">
        <v>520</v>
      </c>
      <c r="R237" s="7">
        <v>0</v>
      </c>
      <c r="S237" s="8">
        <v>2.14</v>
      </c>
      <c r="T237" s="8"/>
      <c r="U237" s="7">
        <v>0</v>
      </c>
      <c r="V237" s="8"/>
      <c r="W237" s="8"/>
    </row>
    <row r="238" spans="1:23" s="7" customFormat="1" x14ac:dyDescent="0.35">
      <c r="A238" s="7" t="s">
        <v>550</v>
      </c>
      <c r="B238" s="7" t="s">
        <v>551</v>
      </c>
      <c r="C238" s="7" t="s">
        <v>488</v>
      </c>
      <c r="D238" s="7">
        <v>2001</v>
      </c>
      <c r="E238" s="7">
        <v>55</v>
      </c>
      <c r="F238" s="7" t="s">
        <v>345</v>
      </c>
      <c r="G238" s="7" t="s">
        <v>170</v>
      </c>
      <c r="H238" s="7" t="s">
        <v>442</v>
      </c>
      <c r="K238" s="7" t="s">
        <v>394</v>
      </c>
      <c r="M238" s="7" t="s">
        <v>348</v>
      </c>
      <c r="N238" s="7" t="s">
        <v>106</v>
      </c>
      <c r="O238" s="7" t="s">
        <v>204</v>
      </c>
      <c r="P238" s="7" t="s">
        <v>206</v>
      </c>
      <c r="Q238" s="9" t="s">
        <v>520</v>
      </c>
      <c r="R238" s="7">
        <v>25</v>
      </c>
      <c r="S238" s="8">
        <v>2.31</v>
      </c>
      <c r="T238" s="8"/>
      <c r="U238" s="7">
        <v>-3</v>
      </c>
      <c r="V238" s="8"/>
      <c r="W238" s="8"/>
    </row>
    <row r="239" spans="1:23" s="7" customFormat="1" x14ac:dyDescent="0.35">
      <c r="A239" s="7" t="s">
        <v>550</v>
      </c>
      <c r="B239" s="7" t="s">
        <v>551</v>
      </c>
      <c r="C239" s="7" t="s">
        <v>488</v>
      </c>
      <c r="D239" s="7">
        <v>2001</v>
      </c>
      <c r="E239" s="7">
        <v>55</v>
      </c>
      <c r="F239" s="7" t="s">
        <v>345</v>
      </c>
      <c r="G239" s="7" t="s">
        <v>170</v>
      </c>
      <c r="H239" s="7" t="s">
        <v>442</v>
      </c>
      <c r="K239" s="7" t="s">
        <v>394</v>
      </c>
      <c r="M239" s="7" t="s">
        <v>348</v>
      </c>
      <c r="N239" s="7" t="s">
        <v>106</v>
      </c>
      <c r="O239" s="7" t="s">
        <v>204</v>
      </c>
      <c r="P239" s="7" t="s">
        <v>206</v>
      </c>
      <c r="Q239" s="9" t="s">
        <v>520</v>
      </c>
      <c r="R239" s="7">
        <v>50</v>
      </c>
      <c r="S239" s="8">
        <v>2.5</v>
      </c>
      <c r="T239" s="8"/>
      <c r="U239" s="7">
        <v>-7</v>
      </c>
      <c r="V239" s="8"/>
      <c r="W239" s="8"/>
    </row>
    <row r="240" spans="1:23" s="7" customFormat="1" x14ac:dyDescent="0.35">
      <c r="A240" s="7" t="s">
        <v>550</v>
      </c>
      <c r="B240" s="7" t="s">
        <v>551</v>
      </c>
      <c r="C240" s="7" t="s">
        <v>488</v>
      </c>
      <c r="D240" s="7">
        <v>2001</v>
      </c>
      <c r="E240" s="7">
        <v>55</v>
      </c>
      <c r="F240" s="7" t="s">
        <v>345</v>
      </c>
      <c r="G240" s="7" t="s">
        <v>170</v>
      </c>
      <c r="H240" s="7" t="s">
        <v>442</v>
      </c>
      <c r="K240" s="7" t="s">
        <v>394</v>
      </c>
      <c r="M240" s="7" t="s">
        <v>348</v>
      </c>
      <c r="N240" s="7" t="s">
        <v>106</v>
      </c>
      <c r="O240" s="7" t="s">
        <v>204</v>
      </c>
      <c r="P240" s="7" t="s">
        <v>206</v>
      </c>
      <c r="Q240" s="9" t="s">
        <v>520</v>
      </c>
      <c r="R240" s="7">
        <v>75</v>
      </c>
      <c r="S240" s="8">
        <v>2.2400000000000002</v>
      </c>
      <c r="T240" s="8"/>
      <c r="U240" s="7">
        <v>-11</v>
      </c>
      <c r="V240" s="8"/>
      <c r="W240" s="8"/>
    </row>
    <row r="241" spans="1:23" s="7" customFormat="1" x14ac:dyDescent="0.35">
      <c r="A241" s="7" t="s">
        <v>550</v>
      </c>
      <c r="B241" s="7" t="s">
        <v>551</v>
      </c>
      <c r="C241" s="7" t="s">
        <v>488</v>
      </c>
      <c r="D241" s="7">
        <v>2001</v>
      </c>
      <c r="E241" s="7">
        <v>55</v>
      </c>
      <c r="F241" s="7" t="s">
        <v>345</v>
      </c>
      <c r="G241" s="7" t="s">
        <v>170</v>
      </c>
      <c r="H241" s="7" t="s">
        <v>442</v>
      </c>
      <c r="K241" s="7" t="s">
        <v>394</v>
      </c>
      <c r="M241" s="7" t="s">
        <v>348</v>
      </c>
      <c r="N241" s="7" t="s">
        <v>106</v>
      </c>
      <c r="O241" s="7" t="s">
        <v>204</v>
      </c>
      <c r="P241" s="7" t="s">
        <v>206</v>
      </c>
      <c r="Q241" s="9" t="s">
        <v>520</v>
      </c>
      <c r="R241" s="7">
        <v>100</v>
      </c>
      <c r="S241" s="8">
        <v>2.2799999999999998</v>
      </c>
      <c r="T241" s="8"/>
      <c r="U241" s="7">
        <v>-14</v>
      </c>
      <c r="V241" s="8"/>
      <c r="W241" s="8"/>
    </row>
    <row r="242" spans="1:23" s="7" customFormat="1" x14ac:dyDescent="0.35">
      <c r="A242" s="7" t="s">
        <v>553</v>
      </c>
      <c r="B242" s="7" t="s">
        <v>554</v>
      </c>
      <c r="C242" s="7" t="s">
        <v>555</v>
      </c>
      <c r="D242" s="7">
        <v>2012</v>
      </c>
      <c r="E242" s="7">
        <v>56</v>
      </c>
      <c r="F242" s="7" t="s">
        <v>345</v>
      </c>
      <c r="G242" s="7" t="s">
        <v>170</v>
      </c>
      <c r="H242" s="7" t="s">
        <v>552</v>
      </c>
      <c r="K242" s="7" t="s">
        <v>394</v>
      </c>
      <c r="M242" s="7" t="s">
        <v>348</v>
      </c>
      <c r="N242" s="7" t="s">
        <v>417</v>
      </c>
      <c r="O242" s="7" t="s">
        <v>103</v>
      </c>
      <c r="P242" s="7" t="s">
        <v>102</v>
      </c>
      <c r="Q242" s="9" t="s">
        <v>556</v>
      </c>
      <c r="R242" s="7">
        <v>0</v>
      </c>
      <c r="S242" s="8">
        <v>1.06</v>
      </c>
      <c r="T242" s="8"/>
      <c r="U242" s="7">
        <v>0</v>
      </c>
      <c r="V242" s="8"/>
      <c r="W242" s="8"/>
    </row>
    <row r="243" spans="1:23" s="7" customFormat="1" x14ac:dyDescent="0.35">
      <c r="A243" s="7" t="s">
        <v>553</v>
      </c>
      <c r="B243" s="7" t="s">
        <v>554</v>
      </c>
      <c r="C243" s="7" t="s">
        <v>555</v>
      </c>
      <c r="D243" s="7">
        <v>2012</v>
      </c>
      <c r="E243" s="7">
        <v>56</v>
      </c>
      <c r="F243" s="7" t="s">
        <v>345</v>
      </c>
      <c r="G243" s="7" t="s">
        <v>170</v>
      </c>
      <c r="H243" s="7" t="s">
        <v>552</v>
      </c>
      <c r="K243" s="7" t="s">
        <v>394</v>
      </c>
      <c r="M243" s="7" t="s">
        <v>348</v>
      </c>
      <c r="N243" s="7" t="s">
        <v>417</v>
      </c>
      <c r="O243" s="7" t="s">
        <v>103</v>
      </c>
      <c r="P243" s="7" t="s">
        <v>102</v>
      </c>
      <c r="Q243" s="9" t="s">
        <v>556</v>
      </c>
      <c r="R243" s="7">
        <v>25</v>
      </c>
      <c r="S243" s="8">
        <v>1.07</v>
      </c>
      <c r="T243" s="8"/>
      <c r="U243" s="7">
        <v>-1</v>
      </c>
      <c r="V243" s="8"/>
      <c r="W243" s="8"/>
    </row>
    <row r="244" spans="1:23" s="7" customFormat="1" x14ac:dyDescent="0.35">
      <c r="A244" s="7" t="s">
        <v>553</v>
      </c>
      <c r="B244" s="7" t="s">
        <v>554</v>
      </c>
      <c r="C244" s="7" t="s">
        <v>555</v>
      </c>
      <c r="D244" s="7">
        <v>2012</v>
      </c>
      <c r="E244" s="7">
        <v>56</v>
      </c>
      <c r="F244" s="7" t="s">
        <v>345</v>
      </c>
      <c r="G244" s="7" t="s">
        <v>170</v>
      </c>
      <c r="H244" s="7" t="s">
        <v>552</v>
      </c>
      <c r="K244" s="7" t="s">
        <v>394</v>
      </c>
      <c r="M244" s="7" t="s">
        <v>348</v>
      </c>
      <c r="N244" s="7" t="s">
        <v>417</v>
      </c>
      <c r="O244" s="7" t="s">
        <v>103</v>
      </c>
      <c r="P244" s="7" t="s">
        <v>102</v>
      </c>
      <c r="Q244" s="9" t="s">
        <v>556</v>
      </c>
      <c r="R244" s="7">
        <v>50</v>
      </c>
      <c r="S244" s="8">
        <v>1.17</v>
      </c>
      <c r="T244" s="8"/>
      <c r="U244" s="7">
        <v>-2</v>
      </c>
      <c r="V244" s="8"/>
      <c r="W244" s="8"/>
    </row>
    <row r="245" spans="1:23" s="7" customFormat="1" x14ac:dyDescent="0.35">
      <c r="A245" s="7" t="s">
        <v>553</v>
      </c>
      <c r="B245" s="7" t="s">
        <v>554</v>
      </c>
      <c r="C245" s="7" t="s">
        <v>555</v>
      </c>
      <c r="D245" s="7">
        <v>2012</v>
      </c>
      <c r="E245" s="7">
        <v>56</v>
      </c>
      <c r="F245" s="7" t="s">
        <v>345</v>
      </c>
      <c r="G245" s="7" t="s">
        <v>170</v>
      </c>
      <c r="H245" s="7" t="s">
        <v>552</v>
      </c>
      <c r="K245" s="7" t="s">
        <v>394</v>
      </c>
      <c r="M245" s="7" t="s">
        <v>348</v>
      </c>
      <c r="N245" s="7" t="s">
        <v>417</v>
      </c>
      <c r="O245" s="7" t="s">
        <v>103</v>
      </c>
      <c r="P245" s="7" t="s">
        <v>102</v>
      </c>
      <c r="Q245" s="9" t="s">
        <v>556</v>
      </c>
      <c r="R245" s="7">
        <v>75</v>
      </c>
      <c r="S245" s="8">
        <v>1.97</v>
      </c>
      <c r="T245" s="8"/>
      <c r="U245" s="7">
        <v>-15</v>
      </c>
      <c r="V245" s="8"/>
      <c r="W245" s="8"/>
    </row>
    <row r="246" spans="1:23" s="7" customFormat="1" x14ac:dyDescent="0.35">
      <c r="A246" s="7" t="s">
        <v>553</v>
      </c>
      <c r="B246" s="7" t="s">
        <v>554</v>
      </c>
      <c r="C246" s="7" t="s">
        <v>555</v>
      </c>
      <c r="D246" s="7">
        <v>2012</v>
      </c>
      <c r="E246" s="7">
        <v>56</v>
      </c>
      <c r="F246" s="7" t="s">
        <v>345</v>
      </c>
      <c r="G246" s="7" t="s">
        <v>170</v>
      </c>
      <c r="H246" s="7" t="s">
        <v>552</v>
      </c>
      <c r="K246" s="7" t="s">
        <v>394</v>
      </c>
      <c r="M246" s="7" t="s">
        <v>348</v>
      </c>
      <c r="N246" s="7" t="s">
        <v>417</v>
      </c>
      <c r="O246" s="7" t="s">
        <v>103</v>
      </c>
      <c r="P246" s="7" t="s">
        <v>102</v>
      </c>
      <c r="Q246" s="9" t="s">
        <v>556</v>
      </c>
      <c r="R246" s="7">
        <v>100</v>
      </c>
      <c r="S246" s="8">
        <v>2.97</v>
      </c>
      <c r="T246" s="8"/>
      <c r="U246" s="7">
        <v>-5</v>
      </c>
      <c r="V246" s="8"/>
      <c r="W246" s="8"/>
    </row>
    <row r="247" spans="1:23" s="7" customFormat="1" x14ac:dyDescent="0.35">
      <c r="A247" s="7" t="s">
        <v>559</v>
      </c>
      <c r="B247" s="7" t="s">
        <v>503</v>
      </c>
      <c r="C247" s="7" t="s">
        <v>560</v>
      </c>
      <c r="D247" s="7">
        <v>2005</v>
      </c>
      <c r="E247" s="7">
        <v>57</v>
      </c>
      <c r="F247" s="7" t="s">
        <v>345</v>
      </c>
      <c r="G247" s="7" t="s">
        <v>170</v>
      </c>
      <c r="H247" s="7" t="s">
        <v>534</v>
      </c>
      <c r="K247" s="7" t="s">
        <v>394</v>
      </c>
      <c r="M247" s="7" t="s">
        <v>348</v>
      </c>
      <c r="N247" s="7" t="s">
        <v>538</v>
      </c>
      <c r="O247" s="7" t="s">
        <v>558</v>
      </c>
      <c r="P247" s="7" t="s">
        <v>557</v>
      </c>
      <c r="Q247" s="9" t="s">
        <v>556</v>
      </c>
      <c r="R247" s="7">
        <v>0</v>
      </c>
      <c r="S247" s="8">
        <v>1.39</v>
      </c>
      <c r="T247" s="8">
        <v>0</v>
      </c>
      <c r="U247" s="7">
        <v>0</v>
      </c>
      <c r="V247" s="8"/>
      <c r="W247" s="8"/>
    </row>
    <row r="248" spans="1:23" s="7" customFormat="1" x14ac:dyDescent="0.35">
      <c r="A248" s="7" t="s">
        <v>559</v>
      </c>
      <c r="B248" s="7" t="s">
        <v>503</v>
      </c>
      <c r="C248" s="7" t="s">
        <v>560</v>
      </c>
      <c r="D248" s="7">
        <v>2005</v>
      </c>
      <c r="E248" s="7">
        <v>57</v>
      </c>
      <c r="F248" s="7" t="s">
        <v>345</v>
      </c>
      <c r="G248" s="7" t="s">
        <v>170</v>
      </c>
      <c r="H248" s="7" t="s">
        <v>534</v>
      </c>
      <c r="K248" s="7" t="s">
        <v>394</v>
      </c>
      <c r="M248" s="7" t="s">
        <v>348</v>
      </c>
      <c r="N248" s="7" t="s">
        <v>538</v>
      </c>
      <c r="O248" s="7" t="s">
        <v>558</v>
      </c>
      <c r="P248" s="7" t="s">
        <v>557</v>
      </c>
      <c r="Q248" s="9" t="s">
        <v>556</v>
      </c>
      <c r="R248" s="7">
        <v>63</v>
      </c>
      <c r="S248" s="8">
        <v>1.1299999999999999</v>
      </c>
      <c r="T248" s="8">
        <v>9</v>
      </c>
      <c r="U248" s="8">
        <v>-7</v>
      </c>
      <c r="V248" s="8"/>
      <c r="W248" s="8"/>
    </row>
    <row r="249" spans="1:23" s="7" customFormat="1" x14ac:dyDescent="0.35">
      <c r="A249" s="7" t="s">
        <v>559</v>
      </c>
      <c r="B249" s="7" t="s">
        <v>503</v>
      </c>
      <c r="C249" s="7" t="s">
        <v>560</v>
      </c>
      <c r="D249" s="7">
        <v>2005</v>
      </c>
      <c r="E249" s="7">
        <v>57</v>
      </c>
      <c r="F249" s="7" t="s">
        <v>345</v>
      </c>
      <c r="G249" s="7" t="s">
        <v>170</v>
      </c>
      <c r="H249" s="7" t="s">
        <v>534</v>
      </c>
      <c r="K249" s="7" t="s">
        <v>394</v>
      </c>
      <c r="M249" s="7" t="s">
        <v>348</v>
      </c>
      <c r="N249" s="7" t="s">
        <v>538</v>
      </c>
      <c r="O249" s="7" t="s">
        <v>558</v>
      </c>
      <c r="P249" s="7" t="s">
        <v>557</v>
      </c>
      <c r="Q249" s="9" t="s">
        <v>556</v>
      </c>
      <c r="R249" s="7">
        <v>76</v>
      </c>
      <c r="S249" s="8">
        <v>1</v>
      </c>
      <c r="T249" s="8">
        <v>9</v>
      </c>
      <c r="U249" s="8">
        <v>-16</v>
      </c>
      <c r="V249" s="8"/>
      <c r="W249" s="8"/>
    </row>
    <row r="250" spans="1:23" s="7" customFormat="1" x14ac:dyDescent="0.35">
      <c r="A250" s="7" t="s">
        <v>559</v>
      </c>
      <c r="B250" s="7" t="s">
        <v>503</v>
      </c>
      <c r="C250" s="7" t="s">
        <v>560</v>
      </c>
      <c r="D250" s="7">
        <v>2005</v>
      </c>
      <c r="E250" s="7">
        <v>57</v>
      </c>
      <c r="F250" s="7" t="s">
        <v>345</v>
      </c>
      <c r="G250" s="7" t="s">
        <v>170</v>
      </c>
      <c r="H250" s="7" t="s">
        <v>534</v>
      </c>
      <c r="K250" s="7" t="s">
        <v>394</v>
      </c>
      <c r="M250" s="7" t="s">
        <v>348</v>
      </c>
      <c r="N250" s="7" t="s">
        <v>538</v>
      </c>
      <c r="O250" s="7" t="s">
        <v>558</v>
      </c>
      <c r="P250" s="7" t="s">
        <v>557</v>
      </c>
      <c r="Q250" s="9" t="s">
        <v>556</v>
      </c>
      <c r="R250" s="7">
        <v>89</v>
      </c>
      <c r="S250" s="8">
        <v>1.22</v>
      </c>
      <c r="T250" s="8">
        <v>9</v>
      </c>
      <c r="U250" s="8">
        <v>-20</v>
      </c>
      <c r="V250" s="8"/>
      <c r="W250" s="8"/>
    </row>
    <row r="251" spans="1:23" s="7" customFormat="1" x14ac:dyDescent="0.35">
      <c r="A251" s="7" t="s">
        <v>559</v>
      </c>
      <c r="B251" s="7" t="s">
        <v>503</v>
      </c>
      <c r="C251" s="7" t="s">
        <v>366</v>
      </c>
      <c r="D251" s="7">
        <v>2008</v>
      </c>
      <c r="E251" s="7">
        <v>58</v>
      </c>
      <c r="F251" s="7" t="s">
        <v>345</v>
      </c>
      <c r="G251" s="7" t="s">
        <v>170</v>
      </c>
      <c r="H251" s="7" t="s">
        <v>534</v>
      </c>
      <c r="K251" s="7" t="s">
        <v>394</v>
      </c>
      <c r="M251" s="7" t="s">
        <v>372</v>
      </c>
      <c r="N251" s="7" t="s">
        <v>538</v>
      </c>
      <c r="O251" s="7" t="s">
        <v>562</v>
      </c>
      <c r="P251" s="7" t="s">
        <v>561</v>
      </c>
      <c r="Q251" s="9" t="s">
        <v>229</v>
      </c>
      <c r="R251" s="7">
        <v>0</v>
      </c>
      <c r="S251" s="8">
        <v>1.1299999999999999</v>
      </c>
      <c r="T251" s="8"/>
      <c r="U251" s="8">
        <v>0</v>
      </c>
      <c r="V251" s="8"/>
      <c r="W251" s="8"/>
    </row>
    <row r="252" spans="1:23" s="7" customFormat="1" x14ac:dyDescent="0.35">
      <c r="A252" s="7" t="s">
        <v>559</v>
      </c>
      <c r="B252" s="7" t="s">
        <v>503</v>
      </c>
      <c r="C252" s="7" t="s">
        <v>366</v>
      </c>
      <c r="D252" s="7">
        <v>2008</v>
      </c>
      <c r="E252" s="7">
        <v>58</v>
      </c>
      <c r="F252" s="7" t="s">
        <v>416</v>
      </c>
      <c r="G252" s="7" t="s">
        <v>170</v>
      </c>
      <c r="H252" s="7" t="s">
        <v>534</v>
      </c>
      <c r="I252" s="7" t="s">
        <v>563</v>
      </c>
      <c r="K252" s="7" t="s">
        <v>394</v>
      </c>
      <c r="M252" s="7" t="s">
        <v>372</v>
      </c>
      <c r="N252" s="7" t="s">
        <v>538</v>
      </c>
      <c r="O252" s="7" t="s">
        <v>562</v>
      </c>
      <c r="P252" s="7" t="s">
        <v>561</v>
      </c>
      <c r="Q252" s="9" t="s">
        <v>229</v>
      </c>
      <c r="R252" s="7">
        <v>73</v>
      </c>
      <c r="S252" s="8">
        <v>1.54</v>
      </c>
      <c r="T252" s="8"/>
      <c r="U252" s="8">
        <v>-36</v>
      </c>
      <c r="V252" s="8"/>
      <c r="W252" s="8"/>
    </row>
    <row r="253" spans="1:23" s="7" customFormat="1" x14ac:dyDescent="0.35">
      <c r="A253" s="7" t="s">
        <v>559</v>
      </c>
      <c r="B253" s="7" t="s">
        <v>503</v>
      </c>
      <c r="C253" s="7" t="s">
        <v>366</v>
      </c>
      <c r="D253" s="7">
        <v>2008</v>
      </c>
      <c r="E253" s="7">
        <v>58</v>
      </c>
      <c r="F253" s="7" t="s">
        <v>416</v>
      </c>
      <c r="G253" s="7" t="s">
        <v>170</v>
      </c>
      <c r="H253" s="7" t="s">
        <v>534</v>
      </c>
      <c r="I253" s="7" t="s">
        <v>564</v>
      </c>
      <c r="K253" s="7" t="s">
        <v>394</v>
      </c>
      <c r="M253" s="7" t="s">
        <v>372</v>
      </c>
      <c r="N253" s="7" t="s">
        <v>538</v>
      </c>
      <c r="O253" s="7" t="s">
        <v>562</v>
      </c>
      <c r="P253" s="7" t="s">
        <v>561</v>
      </c>
      <c r="Q253" s="9" t="s">
        <v>229</v>
      </c>
      <c r="R253" s="7">
        <v>73</v>
      </c>
      <c r="S253" s="8">
        <v>1.94</v>
      </c>
      <c r="T253" s="8"/>
      <c r="U253" s="8">
        <v>-36</v>
      </c>
      <c r="V253" s="8"/>
      <c r="W253" s="8"/>
    </row>
    <row r="254" spans="1:23" s="7" customFormat="1" x14ac:dyDescent="0.35">
      <c r="A254" s="7" t="s">
        <v>486</v>
      </c>
      <c r="B254" s="7" t="s">
        <v>565</v>
      </c>
      <c r="C254" s="7" t="s">
        <v>488</v>
      </c>
      <c r="D254" s="7">
        <v>2016</v>
      </c>
      <c r="E254" s="7">
        <v>59</v>
      </c>
      <c r="F254" s="7" t="s">
        <v>345</v>
      </c>
      <c r="G254" s="7" t="s">
        <v>170</v>
      </c>
      <c r="H254" s="7" t="s">
        <v>566</v>
      </c>
      <c r="K254" s="7" t="s">
        <v>394</v>
      </c>
      <c r="M254" s="7" t="s">
        <v>348</v>
      </c>
      <c r="N254" s="7" t="s">
        <v>409</v>
      </c>
      <c r="O254" s="7" t="s">
        <v>474</v>
      </c>
      <c r="P254" s="7" t="s">
        <v>567</v>
      </c>
      <c r="Q254" s="9" t="s">
        <v>467</v>
      </c>
      <c r="R254" s="7">
        <v>0</v>
      </c>
      <c r="S254" s="8">
        <v>1.62</v>
      </c>
      <c r="T254" s="8"/>
      <c r="U254" s="8">
        <v>0</v>
      </c>
      <c r="V254" s="8"/>
      <c r="W254" s="8"/>
    </row>
    <row r="255" spans="1:23" s="7" customFormat="1" x14ac:dyDescent="0.35">
      <c r="A255" s="7" t="s">
        <v>486</v>
      </c>
      <c r="B255" s="7" t="s">
        <v>565</v>
      </c>
      <c r="C255" s="7" t="s">
        <v>488</v>
      </c>
      <c r="D255" s="7">
        <v>2016</v>
      </c>
      <c r="E255" s="7">
        <v>59</v>
      </c>
      <c r="F255" s="7" t="s">
        <v>345</v>
      </c>
      <c r="G255" s="7" t="s">
        <v>170</v>
      </c>
      <c r="H255" s="7" t="s">
        <v>566</v>
      </c>
      <c r="K255" s="7" t="s">
        <v>394</v>
      </c>
      <c r="M255" s="7" t="s">
        <v>348</v>
      </c>
      <c r="N255" s="7" t="s">
        <v>409</v>
      </c>
      <c r="O255" s="7" t="s">
        <v>474</v>
      </c>
      <c r="P255" s="7" t="s">
        <v>567</v>
      </c>
      <c r="Q255" s="9" t="s">
        <v>467</v>
      </c>
      <c r="R255" s="7">
        <v>25</v>
      </c>
      <c r="S255" s="8">
        <v>1.5</v>
      </c>
      <c r="T255" s="8"/>
      <c r="U255" s="8">
        <v>0</v>
      </c>
      <c r="V255" s="8"/>
      <c r="W255" s="8"/>
    </row>
    <row r="256" spans="1:23" s="7" customFormat="1" x14ac:dyDescent="0.35">
      <c r="A256" s="7" t="s">
        <v>486</v>
      </c>
      <c r="B256" s="7" t="s">
        <v>565</v>
      </c>
      <c r="C256" s="7" t="s">
        <v>488</v>
      </c>
      <c r="D256" s="7">
        <v>2016</v>
      </c>
      <c r="E256" s="7">
        <v>59</v>
      </c>
      <c r="F256" s="7" t="s">
        <v>345</v>
      </c>
      <c r="G256" s="7" t="s">
        <v>170</v>
      </c>
      <c r="H256" s="7" t="s">
        <v>566</v>
      </c>
      <c r="K256" s="7" t="s">
        <v>394</v>
      </c>
      <c r="M256" s="7" t="s">
        <v>348</v>
      </c>
      <c r="N256" s="7" t="s">
        <v>409</v>
      </c>
      <c r="O256" s="7" t="s">
        <v>474</v>
      </c>
      <c r="P256" s="7" t="s">
        <v>567</v>
      </c>
      <c r="Q256" s="9" t="s">
        <v>467</v>
      </c>
      <c r="R256" s="7">
        <v>50</v>
      </c>
      <c r="S256" s="8">
        <v>1.47</v>
      </c>
      <c r="T256" s="8"/>
      <c r="U256" s="8">
        <v>0</v>
      </c>
      <c r="V256" s="8"/>
      <c r="W256" s="8"/>
    </row>
    <row r="257" spans="1:23" s="7" customFormat="1" x14ac:dyDescent="0.35">
      <c r="A257" s="7" t="s">
        <v>486</v>
      </c>
      <c r="B257" s="7" t="s">
        <v>565</v>
      </c>
      <c r="C257" s="7" t="s">
        <v>488</v>
      </c>
      <c r="D257" s="7">
        <v>2016</v>
      </c>
      <c r="E257" s="7">
        <v>59</v>
      </c>
      <c r="F257" s="7" t="s">
        <v>345</v>
      </c>
      <c r="G257" s="7" t="s">
        <v>170</v>
      </c>
      <c r="H257" s="7" t="s">
        <v>566</v>
      </c>
      <c r="K257" s="7" t="s">
        <v>394</v>
      </c>
      <c r="M257" s="7" t="s">
        <v>348</v>
      </c>
      <c r="N257" s="7" t="s">
        <v>409</v>
      </c>
      <c r="O257" s="7" t="s">
        <v>474</v>
      </c>
      <c r="P257" s="7" t="s">
        <v>567</v>
      </c>
      <c r="Q257" s="9" t="s">
        <v>467</v>
      </c>
      <c r="R257" s="7">
        <v>75</v>
      </c>
      <c r="S257" s="8">
        <v>1.66</v>
      </c>
      <c r="T257" s="8"/>
      <c r="U257" s="8">
        <v>0</v>
      </c>
      <c r="V257" s="8"/>
      <c r="W257" s="8"/>
    </row>
    <row r="258" spans="1:23" s="7" customFormat="1" x14ac:dyDescent="0.35">
      <c r="A258" s="7" t="s">
        <v>486</v>
      </c>
      <c r="B258" s="7" t="s">
        <v>565</v>
      </c>
      <c r="C258" s="7" t="s">
        <v>488</v>
      </c>
      <c r="D258" s="7">
        <v>2016</v>
      </c>
      <c r="E258" s="7">
        <v>59</v>
      </c>
      <c r="F258" s="7" t="s">
        <v>345</v>
      </c>
      <c r="G258" s="7" t="s">
        <v>170</v>
      </c>
      <c r="H258" s="7" t="s">
        <v>566</v>
      </c>
      <c r="K258" s="7" t="s">
        <v>394</v>
      </c>
      <c r="M258" s="7" t="s">
        <v>348</v>
      </c>
      <c r="N258" s="7" t="s">
        <v>409</v>
      </c>
      <c r="O258" s="7" t="s">
        <v>474</v>
      </c>
      <c r="P258" s="7" t="s">
        <v>567</v>
      </c>
      <c r="Q258" s="9" t="s">
        <v>467</v>
      </c>
      <c r="R258" s="7">
        <v>100</v>
      </c>
      <c r="S258" s="8">
        <v>1.7</v>
      </c>
      <c r="T258" s="8"/>
      <c r="U258" s="8">
        <v>0</v>
      </c>
      <c r="V258" s="8"/>
      <c r="W258" s="8"/>
    </row>
    <row r="259" spans="1:23" s="7" customFormat="1" x14ac:dyDescent="0.35">
      <c r="A259" s="7" t="s">
        <v>570</v>
      </c>
      <c r="B259" s="7" t="s">
        <v>571</v>
      </c>
      <c r="C259" s="7" t="s">
        <v>517</v>
      </c>
      <c r="D259" s="7">
        <v>2018</v>
      </c>
      <c r="E259" s="7">
        <v>60</v>
      </c>
      <c r="F259" s="7" t="s">
        <v>345</v>
      </c>
      <c r="G259" s="7" t="s">
        <v>170</v>
      </c>
      <c r="H259" s="7" t="s">
        <v>535</v>
      </c>
      <c r="K259" s="7" t="s">
        <v>394</v>
      </c>
      <c r="M259" s="7" t="s">
        <v>372</v>
      </c>
      <c r="N259" s="7" t="s">
        <v>380</v>
      </c>
      <c r="O259" s="7" t="s">
        <v>413</v>
      </c>
      <c r="P259" s="7" t="s">
        <v>131</v>
      </c>
      <c r="Q259" s="9" t="s">
        <v>464</v>
      </c>
      <c r="R259" s="7">
        <v>0</v>
      </c>
      <c r="S259" s="8">
        <v>0.86</v>
      </c>
      <c r="T259" s="8"/>
      <c r="U259" s="8">
        <v>0</v>
      </c>
      <c r="V259" s="8"/>
      <c r="W259" s="8"/>
    </row>
    <row r="260" spans="1:23" s="7" customFormat="1" x14ac:dyDescent="0.35">
      <c r="A260" s="7" t="s">
        <v>570</v>
      </c>
      <c r="B260" s="7" t="s">
        <v>571</v>
      </c>
      <c r="C260" s="7" t="s">
        <v>517</v>
      </c>
      <c r="D260" s="7">
        <v>2018</v>
      </c>
      <c r="E260" s="7">
        <v>60</v>
      </c>
      <c r="F260" s="7" t="s">
        <v>345</v>
      </c>
      <c r="G260" s="7" t="s">
        <v>170</v>
      </c>
      <c r="H260" s="7" t="s">
        <v>535</v>
      </c>
      <c r="K260" s="7" t="s">
        <v>394</v>
      </c>
      <c r="M260" s="7" t="s">
        <v>372</v>
      </c>
      <c r="N260" s="7" t="s">
        <v>380</v>
      </c>
      <c r="O260" s="7" t="s">
        <v>413</v>
      </c>
      <c r="P260" s="7" t="s">
        <v>131</v>
      </c>
      <c r="Q260" s="9" t="s">
        <v>464</v>
      </c>
      <c r="R260" s="7">
        <v>50</v>
      </c>
      <c r="S260" s="8">
        <v>1.02</v>
      </c>
      <c r="T260" s="8"/>
      <c r="U260" s="8">
        <v>0</v>
      </c>
      <c r="V260" s="8"/>
      <c r="W260" s="8"/>
    </row>
    <row r="261" spans="1:23" s="7" customFormat="1" x14ac:dyDescent="0.35">
      <c r="A261" s="7" t="s">
        <v>570</v>
      </c>
      <c r="B261" s="7" t="s">
        <v>571</v>
      </c>
      <c r="C261" s="7" t="s">
        <v>517</v>
      </c>
      <c r="D261" s="7">
        <v>2018</v>
      </c>
      <c r="E261" s="7">
        <v>60</v>
      </c>
      <c r="F261" s="7" t="s">
        <v>345</v>
      </c>
      <c r="G261" s="7" t="s">
        <v>170</v>
      </c>
      <c r="H261" s="7" t="s">
        <v>535</v>
      </c>
      <c r="K261" s="7" t="s">
        <v>394</v>
      </c>
      <c r="M261" s="7" t="s">
        <v>372</v>
      </c>
      <c r="N261" s="7" t="s">
        <v>380</v>
      </c>
      <c r="O261" s="7" t="s">
        <v>413</v>
      </c>
      <c r="P261" s="7" t="s">
        <v>131</v>
      </c>
      <c r="Q261" s="9" t="s">
        <v>464</v>
      </c>
      <c r="R261" s="7">
        <v>50</v>
      </c>
      <c r="S261" s="8">
        <v>0.98</v>
      </c>
      <c r="T261" s="8"/>
      <c r="U261" s="8">
        <v>0</v>
      </c>
      <c r="V261" s="8"/>
      <c r="W261" s="8"/>
    </row>
    <row r="262" spans="1:23" s="7" customFormat="1" x14ac:dyDescent="0.35">
      <c r="A262" s="7" t="s">
        <v>570</v>
      </c>
      <c r="B262" s="7" t="s">
        <v>571</v>
      </c>
      <c r="C262" s="7" t="s">
        <v>517</v>
      </c>
      <c r="D262" s="7">
        <v>2018</v>
      </c>
      <c r="E262" s="7">
        <v>60</v>
      </c>
      <c r="F262" s="7" t="s">
        <v>345</v>
      </c>
      <c r="G262" s="7" t="s">
        <v>170</v>
      </c>
      <c r="H262" s="7" t="s">
        <v>535</v>
      </c>
      <c r="K262" s="7" t="s">
        <v>394</v>
      </c>
      <c r="M262" s="7" t="s">
        <v>372</v>
      </c>
      <c r="N262" s="7" t="s">
        <v>537</v>
      </c>
      <c r="O262" s="7" t="s">
        <v>569</v>
      </c>
      <c r="P262" s="7" t="s">
        <v>568</v>
      </c>
      <c r="Q262" s="7" t="s">
        <v>229</v>
      </c>
      <c r="R262" s="7">
        <v>0</v>
      </c>
      <c r="S262" s="8">
        <v>1.24</v>
      </c>
      <c r="T262" s="8"/>
      <c r="U262" s="8">
        <v>0</v>
      </c>
      <c r="V262" s="8"/>
      <c r="W262" s="8"/>
    </row>
    <row r="263" spans="1:23" s="7" customFormat="1" x14ac:dyDescent="0.35">
      <c r="A263" s="7" t="s">
        <v>570</v>
      </c>
      <c r="B263" s="7" t="s">
        <v>571</v>
      </c>
      <c r="C263" s="7" t="s">
        <v>517</v>
      </c>
      <c r="D263" s="7">
        <v>2018</v>
      </c>
      <c r="E263" s="7">
        <v>60</v>
      </c>
      <c r="F263" s="7" t="s">
        <v>345</v>
      </c>
      <c r="G263" s="7" t="s">
        <v>170</v>
      </c>
      <c r="H263" s="7" t="s">
        <v>535</v>
      </c>
      <c r="K263" s="7" t="s">
        <v>394</v>
      </c>
      <c r="M263" s="7" t="s">
        <v>372</v>
      </c>
      <c r="N263" s="7" t="s">
        <v>537</v>
      </c>
      <c r="O263" s="7" t="s">
        <v>569</v>
      </c>
      <c r="P263" s="7" t="s">
        <v>568</v>
      </c>
      <c r="Q263" s="7" t="s">
        <v>229</v>
      </c>
      <c r="R263" s="7">
        <v>50</v>
      </c>
      <c r="S263" s="8">
        <v>1.26</v>
      </c>
      <c r="T263" s="8"/>
      <c r="U263" s="8">
        <v>0</v>
      </c>
      <c r="V263" s="8"/>
      <c r="W263" s="8"/>
    </row>
    <row r="264" spans="1:23" s="7" customFormat="1" x14ac:dyDescent="0.35">
      <c r="A264" s="7" t="s">
        <v>570</v>
      </c>
      <c r="B264" s="7" t="s">
        <v>571</v>
      </c>
      <c r="C264" s="7" t="s">
        <v>517</v>
      </c>
      <c r="D264" s="7">
        <v>2018</v>
      </c>
      <c r="E264" s="7">
        <v>60</v>
      </c>
      <c r="F264" s="7" t="s">
        <v>345</v>
      </c>
      <c r="G264" s="7" t="s">
        <v>170</v>
      </c>
      <c r="H264" s="7" t="s">
        <v>535</v>
      </c>
      <c r="K264" s="7" t="s">
        <v>394</v>
      </c>
      <c r="M264" s="7" t="s">
        <v>372</v>
      </c>
      <c r="N264" s="7" t="s">
        <v>537</v>
      </c>
      <c r="O264" s="7" t="s">
        <v>569</v>
      </c>
      <c r="P264" s="7" t="s">
        <v>568</v>
      </c>
      <c r="Q264" s="7" t="s">
        <v>229</v>
      </c>
      <c r="R264" s="7">
        <v>50</v>
      </c>
      <c r="S264" s="8">
        <v>1.24</v>
      </c>
      <c r="T264" s="8"/>
      <c r="U264" s="8">
        <v>0</v>
      </c>
      <c r="V264" s="8"/>
      <c r="W264" s="8"/>
    </row>
    <row r="265" spans="1:23" s="7" customFormat="1" x14ac:dyDescent="0.35">
      <c r="A265" s="7" t="s">
        <v>572</v>
      </c>
      <c r="B265" s="7" t="s">
        <v>398</v>
      </c>
      <c r="C265" s="7" t="s">
        <v>573</v>
      </c>
      <c r="D265" s="7">
        <v>2011</v>
      </c>
      <c r="E265" s="7">
        <v>61</v>
      </c>
      <c r="F265" s="7" t="s">
        <v>345</v>
      </c>
      <c r="G265" s="7" t="s">
        <v>11</v>
      </c>
      <c r="H265" s="10" t="s">
        <v>70</v>
      </c>
      <c r="K265" s="7" t="s">
        <v>378</v>
      </c>
      <c r="L265" s="7" t="s">
        <v>574</v>
      </c>
      <c r="M265" s="7" t="s">
        <v>348</v>
      </c>
      <c r="N265" s="7" t="s">
        <v>31</v>
      </c>
      <c r="O265" s="7" t="s">
        <v>32</v>
      </c>
      <c r="P265" s="7" t="s">
        <v>405</v>
      </c>
      <c r="Q265" s="7" t="s">
        <v>229</v>
      </c>
      <c r="R265" s="7">
        <v>0</v>
      </c>
      <c r="S265" s="8">
        <v>1.51</v>
      </c>
      <c r="T265" s="8"/>
      <c r="U265" s="8">
        <v>0</v>
      </c>
      <c r="V265" s="8"/>
      <c r="W265" s="8"/>
    </row>
    <row r="266" spans="1:23" s="7" customFormat="1" x14ac:dyDescent="0.35">
      <c r="A266" s="7" t="s">
        <v>572</v>
      </c>
      <c r="B266" s="7" t="s">
        <v>398</v>
      </c>
      <c r="C266" s="7" t="s">
        <v>573</v>
      </c>
      <c r="D266" s="7">
        <v>2011</v>
      </c>
      <c r="E266" s="7">
        <v>61</v>
      </c>
      <c r="F266" s="7" t="s">
        <v>345</v>
      </c>
      <c r="G266" s="7" t="s">
        <v>11</v>
      </c>
      <c r="H266" s="10" t="s">
        <v>70</v>
      </c>
      <c r="K266" s="7" t="s">
        <v>378</v>
      </c>
      <c r="L266" s="7" t="s">
        <v>574</v>
      </c>
      <c r="M266" s="7" t="s">
        <v>348</v>
      </c>
      <c r="N266" s="7" t="s">
        <v>31</v>
      </c>
      <c r="O266" s="7" t="s">
        <v>32</v>
      </c>
      <c r="P266" s="7" t="s">
        <v>405</v>
      </c>
      <c r="Q266" s="7" t="s">
        <v>229</v>
      </c>
      <c r="R266" s="7">
        <v>25</v>
      </c>
      <c r="S266" s="8">
        <v>1.46</v>
      </c>
      <c r="T266" s="8"/>
      <c r="U266" s="8">
        <v>-10</v>
      </c>
      <c r="V266" s="8"/>
      <c r="W266" s="8"/>
    </row>
    <row r="267" spans="1:23" s="7" customFormat="1" x14ac:dyDescent="0.35">
      <c r="A267" s="7" t="s">
        <v>572</v>
      </c>
      <c r="B267" s="7" t="s">
        <v>398</v>
      </c>
      <c r="C267" s="7" t="s">
        <v>573</v>
      </c>
      <c r="D267" s="7">
        <v>2011</v>
      </c>
      <c r="E267" s="7">
        <v>61</v>
      </c>
      <c r="F267" s="7" t="s">
        <v>345</v>
      </c>
      <c r="G267" s="7" t="s">
        <v>11</v>
      </c>
      <c r="H267" s="10" t="s">
        <v>70</v>
      </c>
      <c r="K267" s="7" t="s">
        <v>378</v>
      </c>
      <c r="L267" s="7" t="s">
        <v>574</v>
      </c>
      <c r="M267" s="7" t="s">
        <v>348</v>
      </c>
      <c r="N267" s="7" t="s">
        <v>31</v>
      </c>
      <c r="O267" s="7" t="s">
        <v>32</v>
      </c>
      <c r="P267" s="7" t="s">
        <v>405</v>
      </c>
      <c r="Q267" s="7" t="s">
        <v>229</v>
      </c>
      <c r="R267" s="7">
        <v>50</v>
      </c>
      <c r="S267" s="8">
        <v>1.81</v>
      </c>
      <c r="T267" s="8"/>
      <c r="U267" s="8">
        <v>-3</v>
      </c>
      <c r="V267" s="8"/>
      <c r="W267" s="8"/>
    </row>
    <row r="268" spans="1:23" s="7" customFormat="1" x14ac:dyDescent="0.35">
      <c r="A268" s="7" t="s">
        <v>572</v>
      </c>
      <c r="B268" s="7" t="s">
        <v>398</v>
      </c>
      <c r="C268" s="7" t="s">
        <v>573</v>
      </c>
      <c r="D268" s="7">
        <v>2011</v>
      </c>
      <c r="E268" s="7">
        <v>61</v>
      </c>
      <c r="F268" s="7" t="s">
        <v>345</v>
      </c>
      <c r="G268" s="7" t="s">
        <v>11</v>
      </c>
      <c r="H268" s="10" t="s">
        <v>70</v>
      </c>
      <c r="K268" s="7" t="s">
        <v>378</v>
      </c>
      <c r="L268" s="7" t="s">
        <v>574</v>
      </c>
      <c r="M268" s="7" t="s">
        <v>348</v>
      </c>
      <c r="N268" s="7" t="s">
        <v>31</v>
      </c>
      <c r="O268" s="7" t="s">
        <v>32</v>
      </c>
      <c r="P268" s="7" t="s">
        <v>405</v>
      </c>
      <c r="Q268" s="7" t="s">
        <v>229</v>
      </c>
      <c r="R268" s="7">
        <v>75</v>
      </c>
      <c r="S268" s="8">
        <v>1.72</v>
      </c>
      <c r="T268" s="8"/>
      <c r="U268" s="8">
        <v>-4</v>
      </c>
      <c r="V268" s="8"/>
      <c r="W268" s="8"/>
    </row>
    <row r="269" spans="1:23" s="7" customFormat="1" x14ac:dyDescent="0.35">
      <c r="A269" s="7" t="s">
        <v>572</v>
      </c>
      <c r="B269" s="7" t="s">
        <v>398</v>
      </c>
      <c r="C269" s="7" t="s">
        <v>573</v>
      </c>
      <c r="D269" s="7">
        <v>2011</v>
      </c>
      <c r="E269" s="7">
        <v>61</v>
      </c>
      <c r="F269" s="7" t="s">
        <v>345</v>
      </c>
      <c r="G269" s="7" t="s">
        <v>11</v>
      </c>
      <c r="H269" s="10" t="s">
        <v>70</v>
      </c>
      <c r="K269" s="7" t="s">
        <v>378</v>
      </c>
      <c r="L269" s="7" t="s">
        <v>574</v>
      </c>
      <c r="M269" s="7" t="s">
        <v>348</v>
      </c>
      <c r="N269" s="7" t="s">
        <v>31</v>
      </c>
      <c r="O269" s="7" t="s">
        <v>32</v>
      </c>
      <c r="P269" s="7" t="s">
        <v>405</v>
      </c>
      <c r="Q269" s="7" t="s">
        <v>229</v>
      </c>
      <c r="R269" s="7">
        <v>100</v>
      </c>
      <c r="S269" s="8">
        <v>1.91</v>
      </c>
      <c r="T269" s="8"/>
      <c r="U269" s="8">
        <v>-5</v>
      </c>
      <c r="V269" s="8"/>
      <c r="W269" s="8"/>
    </row>
    <row r="270" spans="1:23" s="7" customFormat="1" x14ac:dyDescent="0.35">
      <c r="A270" s="7" t="s">
        <v>575</v>
      </c>
      <c r="B270" s="7" t="s">
        <v>576</v>
      </c>
      <c r="C270" s="7" t="s">
        <v>573</v>
      </c>
      <c r="D270" s="7">
        <v>2009</v>
      </c>
      <c r="E270" s="7">
        <v>62</v>
      </c>
      <c r="F270" s="7" t="s">
        <v>345</v>
      </c>
      <c r="G270" s="7" t="s">
        <v>11</v>
      </c>
      <c r="H270" s="10" t="s">
        <v>577</v>
      </c>
      <c r="K270" s="7" t="s">
        <v>378</v>
      </c>
      <c r="L270" s="7" t="s">
        <v>377</v>
      </c>
      <c r="M270" s="7" t="s">
        <v>348</v>
      </c>
      <c r="N270" s="7" t="s">
        <v>31</v>
      </c>
      <c r="O270" s="7" t="s">
        <v>32</v>
      </c>
      <c r="P270" s="7" t="s">
        <v>405</v>
      </c>
      <c r="Q270" s="7" t="s">
        <v>230</v>
      </c>
      <c r="R270" s="7">
        <v>0</v>
      </c>
      <c r="S270" s="8">
        <v>1.1499999999999999</v>
      </c>
      <c r="T270" s="8"/>
      <c r="U270" s="8">
        <v>0</v>
      </c>
      <c r="V270" s="8"/>
      <c r="W270" s="8"/>
    </row>
    <row r="271" spans="1:23" s="7" customFormat="1" x14ac:dyDescent="0.35">
      <c r="A271" s="7" t="s">
        <v>575</v>
      </c>
      <c r="B271" s="7" t="s">
        <v>576</v>
      </c>
      <c r="C271" s="7" t="s">
        <v>573</v>
      </c>
      <c r="D271" s="7">
        <v>2009</v>
      </c>
      <c r="E271" s="7">
        <v>62</v>
      </c>
      <c r="F271" s="7" t="s">
        <v>345</v>
      </c>
      <c r="G271" s="7" t="s">
        <v>11</v>
      </c>
      <c r="H271" s="10" t="s">
        <v>577</v>
      </c>
      <c r="K271" s="7" t="s">
        <v>378</v>
      </c>
      <c r="L271" s="7" t="s">
        <v>377</v>
      </c>
      <c r="M271" s="7" t="s">
        <v>348</v>
      </c>
      <c r="N271" s="7" t="s">
        <v>31</v>
      </c>
      <c r="O271" s="7" t="s">
        <v>32</v>
      </c>
      <c r="P271" s="7" t="s">
        <v>405</v>
      </c>
      <c r="Q271" s="7" t="s">
        <v>230</v>
      </c>
      <c r="R271" s="7">
        <v>50</v>
      </c>
      <c r="S271" s="8">
        <v>1.17</v>
      </c>
      <c r="T271" s="8"/>
      <c r="U271" s="8">
        <v>1</v>
      </c>
      <c r="V271" s="8"/>
      <c r="W271" s="8"/>
    </row>
    <row r="272" spans="1:23" s="7" customFormat="1" x14ac:dyDescent="0.35">
      <c r="A272" s="7" t="s">
        <v>575</v>
      </c>
      <c r="B272" s="7" t="s">
        <v>576</v>
      </c>
      <c r="C272" s="7" t="s">
        <v>573</v>
      </c>
      <c r="D272" s="7">
        <v>2009</v>
      </c>
      <c r="E272" s="7">
        <v>62</v>
      </c>
      <c r="F272" s="7" t="s">
        <v>345</v>
      </c>
      <c r="G272" s="7" t="s">
        <v>11</v>
      </c>
      <c r="H272" s="10" t="s">
        <v>577</v>
      </c>
      <c r="K272" s="7" t="s">
        <v>378</v>
      </c>
      <c r="L272" s="7" t="s">
        <v>377</v>
      </c>
      <c r="M272" s="7" t="s">
        <v>348</v>
      </c>
      <c r="N272" s="7" t="s">
        <v>31</v>
      </c>
      <c r="O272" s="7" t="s">
        <v>32</v>
      </c>
      <c r="P272" s="7" t="s">
        <v>405</v>
      </c>
      <c r="Q272" s="7" t="s">
        <v>230</v>
      </c>
      <c r="R272" s="7">
        <v>100</v>
      </c>
      <c r="S272" s="8">
        <v>1.1599999999999999</v>
      </c>
      <c r="T272" s="8"/>
      <c r="U272" s="8">
        <v>1</v>
      </c>
      <c r="V272" s="8"/>
      <c r="W272" s="8"/>
    </row>
    <row r="273" spans="1:23" s="7" customFormat="1" x14ac:dyDescent="0.35">
      <c r="A273" s="7" t="s">
        <v>579</v>
      </c>
      <c r="B273" s="7" t="s">
        <v>503</v>
      </c>
      <c r="C273" s="7" t="s">
        <v>580</v>
      </c>
      <c r="D273" s="7">
        <v>2017</v>
      </c>
      <c r="E273" s="7">
        <v>63</v>
      </c>
      <c r="F273" s="7" t="s">
        <v>345</v>
      </c>
      <c r="G273" s="7" t="s">
        <v>11</v>
      </c>
      <c r="H273" s="7" t="s">
        <v>578</v>
      </c>
      <c r="K273" s="7" t="s">
        <v>378</v>
      </c>
      <c r="L273" s="7" t="s">
        <v>574</v>
      </c>
      <c r="M273" s="7" t="s">
        <v>348</v>
      </c>
      <c r="N273" s="7" t="s">
        <v>31</v>
      </c>
      <c r="O273" s="7" t="s">
        <v>32</v>
      </c>
      <c r="P273" s="7" t="s">
        <v>405</v>
      </c>
      <c r="Q273" s="7" t="s">
        <v>229</v>
      </c>
      <c r="R273" s="7">
        <v>0</v>
      </c>
      <c r="S273" s="8">
        <v>1.29</v>
      </c>
      <c r="T273" s="8"/>
      <c r="U273" s="8">
        <v>0</v>
      </c>
      <c r="V273" s="8"/>
      <c r="W273" s="8"/>
    </row>
    <row r="274" spans="1:23" s="7" customFormat="1" x14ac:dyDescent="0.35">
      <c r="A274" s="7" t="s">
        <v>579</v>
      </c>
      <c r="B274" s="7" t="s">
        <v>503</v>
      </c>
      <c r="C274" s="7" t="s">
        <v>580</v>
      </c>
      <c r="D274" s="7">
        <v>2017</v>
      </c>
      <c r="E274" s="7">
        <v>63</v>
      </c>
      <c r="F274" s="7" t="s">
        <v>345</v>
      </c>
      <c r="G274" s="7" t="s">
        <v>11</v>
      </c>
      <c r="H274" s="7" t="s">
        <v>578</v>
      </c>
      <c r="K274" s="7" t="s">
        <v>378</v>
      </c>
      <c r="L274" s="7" t="s">
        <v>574</v>
      </c>
      <c r="M274" s="7" t="s">
        <v>348</v>
      </c>
      <c r="N274" s="7" t="s">
        <v>31</v>
      </c>
      <c r="O274" s="7" t="s">
        <v>32</v>
      </c>
      <c r="P274" s="7" t="s">
        <v>405</v>
      </c>
      <c r="Q274" s="7" t="s">
        <v>229</v>
      </c>
      <c r="R274" s="7">
        <v>50</v>
      </c>
      <c r="S274" s="8">
        <v>1.3</v>
      </c>
      <c r="T274" s="8"/>
      <c r="U274" s="8">
        <v>0</v>
      </c>
      <c r="V274" s="8"/>
      <c r="W274" s="8"/>
    </row>
    <row r="275" spans="1:23" s="7" customFormat="1" x14ac:dyDescent="0.35">
      <c r="A275" s="7" t="s">
        <v>579</v>
      </c>
      <c r="B275" s="7" t="s">
        <v>503</v>
      </c>
      <c r="C275" s="7" t="s">
        <v>580</v>
      </c>
      <c r="D275" s="7">
        <v>2017</v>
      </c>
      <c r="E275" s="7">
        <v>63</v>
      </c>
      <c r="F275" s="7" t="s">
        <v>345</v>
      </c>
      <c r="G275" s="7" t="s">
        <v>11</v>
      </c>
      <c r="H275" s="7" t="s">
        <v>578</v>
      </c>
      <c r="K275" s="7" t="s">
        <v>378</v>
      </c>
      <c r="L275" s="7" t="s">
        <v>574</v>
      </c>
      <c r="M275" s="7" t="s">
        <v>348</v>
      </c>
      <c r="N275" s="7" t="s">
        <v>31</v>
      </c>
      <c r="O275" s="7" t="s">
        <v>32</v>
      </c>
      <c r="P275" s="7" t="s">
        <v>405</v>
      </c>
      <c r="Q275" s="7" t="s">
        <v>229</v>
      </c>
      <c r="R275" s="7">
        <v>75</v>
      </c>
      <c r="S275" s="8">
        <v>1.35</v>
      </c>
      <c r="T275" s="8"/>
      <c r="U275" s="8">
        <v>0</v>
      </c>
      <c r="V275" s="8"/>
      <c r="W275" s="8"/>
    </row>
    <row r="276" spans="1:23" s="7" customFormat="1" x14ac:dyDescent="0.35">
      <c r="A276" s="7" t="s">
        <v>579</v>
      </c>
      <c r="B276" s="7" t="s">
        <v>503</v>
      </c>
      <c r="C276" s="7" t="s">
        <v>580</v>
      </c>
      <c r="D276" s="7">
        <v>2017</v>
      </c>
      <c r="E276" s="7">
        <v>63</v>
      </c>
      <c r="F276" s="7" t="s">
        <v>345</v>
      </c>
      <c r="G276" s="7" t="s">
        <v>11</v>
      </c>
      <c r="H276" s="7" t="s">
        <v>578</v>
      </c>
      <c r="K276" s="7" t="s">
        <v>378</v>
      </c>
      <c r="L276" s="7" t="s">
        <v>574</v>
      </c>
      <c r="M276" s="7" t="s">
        <v>348</v>
      </c>
      <c r="N276" s="7" t="s">
        <v>31</v>
      </c>
      <c r="O276" s="7" t="s">
        <v>32</v>
      </c>
      <c r="P276" s="7" t="s">
        <v>405</v>
      </c>
      <c r="Q276" s="7" t="s">
        <v>229</v>
      </c>
      <c r="R276" s="7">
        <v>100</v>
      </c>
      <c r="S276" s="8">
        <v>1.43</v>
      </c>
      <c r="T276" s="8"/>
      <c r="U276" s="8">
        <v>0</v>
      </c>
      <c r="V276" s="8"/>
      <c r="W276" s="8"/>
    </row>
    <row r="277" spans="1:23" s="7" customFormat="1" x14ac:dyDescent="0.35">
      <c r="A277" s="7" t="s">
        <v>581</v>
      </c>
      <c r="B277" s="7" t="s">
        <v>582</v>
      </c>
      <c r="C277" s="7" t="s">
        <v>366</v>
      </c>
      <c r="D277" s="7">
        <v>2015</v>
      </c>
      <c r="E277" s="7">
        <v>64</v>
      </c>
      <c r="F277" s="7" t="s">
        <v>345</v>
      </c>
      <c r="G277" s="7" t="s">
        <v>11</v>
      </c>
      <c r="H277" s="7" t="s">
        <v>4</v>
      </c>
      <c r="K277" s="7" t="s">
        <v>394</v>
      </c>
      <c r="M277" s="7" t="s">
        <v>348</v>
      </c>
      <c r="N277" s="7" t="s">
        <v>380</v>
      </c>
      <c r="O277" s="7" t="s">
        <v>413</v>
      </c>
      <c r="P277" s="7" t="s">
        <v>131</v>
      </c>
      <c r="Q277" s="7" t="s">
        <v>520</v>
      </c>
      <c r="R277" s="7">
        <v>0</v>
      </c>
      <c r="S277" s="8">
        <v>1.2</v>
      </c>
      <c r="T277" s="8">
        <v>0</v>
      </c>
      <c r="U277" s="8">
        <v>0</v>
      </c>
      <c r="V277" s="8"/>
      <c r="W277" s="8"/>
    </row>
    <row r="278" spans="1:23" s="7" customFormat="1" x14ac:dyDescent="0.35">
      <c r="A278" s="7" t="s">
        <v>581</v>
      </c>
      <c r="B278" s="7" t="s">
        <v>582</v>
      </c>
      <c r="C278" s="7" t="s">
        <v>366</v>
      </c>
      <c r="D278" s="7">
        <v>2015</v>
      </c>
      <c r="E278" s="7">
        <v>64</v>
      </c>
      <c r="F278" s="7" t="s">
        <v>345</v>
      </c>
      <c r="G278" s="7" t="s">
        <v>11</v>
      </c>
      <c r="H278" s="7" t="s">
        <v>4</v>
      </c>
      <c r="K278" s="7" t="s">
        <v>394</v>
      </c>
      <c r="M278" s="7" t="s">
        <v>348</v>
      </c>
      <c r="N278" s="7" t="s">
        <v>380</v>
      </c>
      <c r="O278" s="7" t="s">
        <v>413</v>
      </c>
      <c r="P278" s="7" t="s">
        <v>131</v>
      </c>
      <c r="Q278" s="7" t="s">
        <v>520</v>
      </c>
      <c r="R278" s="7">
        <v>35</v>
      </c>
      <c r="S278" s="8">
        <v>1</v>
      </c>
      <c r="T278" s="8">
        <v>-50</v>
      </c>
      <c r="U278" s="8">
        <v>34</v>
      </c>
      <c r="V278" s="8"/>
      <c r="W278" s="8"/>
    </row>
    <row r="279" spans="1:23" s="7" customFormat="1" x14ac:dyDescent="0.35">
      <c r="A279" s="7" t="s">
        <v>581</v>
      </c>
      <c r="B279" s="7" t="s">
        <v>582</v>
      </c>
      <c r="C279" s="7" t="s">
        <v>366</v>
      </c>
      <c r="D279" s="7">
        <v>2015</v>
      </c>
      <c r="E279" s="7">
        <v>64</v>
      </c>
      <c r="F279" s="7" t="s">
        <v>345</v>
      </c>
      <c r="G279" s="7" t="s">
        <v>11</v>
      </c>
      <c r="H279" s="7" t="s">
        <v>4</v>
      </c>
      <c r="K279" s="7" t="s">
        <v>394</v>
      </c>
      <c r="M279" s="7" t="s">
        <v>348</v>
      </c>
      <c r="N279" s="7" t="s">
        <v>380</v>
      </c>
      <c r="O279" s="7" t="s">
        <v>413</v>
      </c>
      <c r="P279" s="7" t="s">
        <v>131</v>
      </c>
      <c r="Q279" s="7" t="s">
        <v>520</v>
      </c>
      <c r="R279" s="7">
        <v>75</v>
      </c>
      <c r="S279" s="8">
        <v>1</v>
      </c>
      <c r="T279" s="8">
        <v>-100</v>
      </c>
      <c r="U279" s="8">
        <v>25</v>
      </c>
      <c r="V279" s="8"/>
      <c r="W279" s="8"/>
    </row>
    <row r="280" spans="1:23" s="7" customFormat="1" x14ac:dyDescent="0.35">
      <c r="A280" s="7" t="s">
        <v>583</v>
      </c>
      <c r="B280" s="7" t="s">
        <v>584</v>
      </c>
      <c r="C280" s="7" t="s">
        <v>545</v>
      </c>
      <c r="D280" s="7">
        <v>2018</v>
      </c>
      <c r="E280" s="7">
        <v>65</v>
      </c>
      <c r="F280" s="7" t="s">
        <v>345</v>
      </c>
      <c r="G280" s="7" t="s">
        <v>11</v>
      </c>
      <c r="H280" s="7" t="s">
        <v>4</v>
      </c>
      <c r="K280" s="7" t="s">
        <v>394</v>
      </c>
      <c r="M280" s="7" t="s">
        <v>348</v>
      </c>
      <c r="N280" s="7" t="s">
        <v>409</v>
      </c>
      <c r="O280" s="7" t="s">
        <v>439</v>
      </c>
      <c r="P280" s="7" t="s">
        <v>172</v>
      </c>
      <c r="Q280" s="7" t="s">
        <v>230</v>
      </c>
      <c r="R280" s="7">
        <v>0</v>
      </c>
      <c r="S280" s="8">
        <v>3.21</v>
      </c>
      <c r="T280" s="8">
        <v>0</v>
      </c>
      <c r="U280" s="8">
        <v>0</v>
      </c>
      <c r="V280" s="8"/>
      <c r="W280" s="8"/>
    </row>
    <row r="281" spans="1:23" s="7" customFormat="1" x14ac:dyDescent="0.35">
      <c r="A281" s="7" t="s">
        <v>583</v>
      </c>
      <c r="B281" s="7" t="s">
        <v>584</v>
      </c>
      <c r="C281" s="7" t="s">
        <v>545</v>
      </c>
      <c r="D281" s="7">
        <v>2018</v>
      </c>
      <c r="E281" s="7">
        <v>65</v>
      </c>
      <c r="F281" s="7" t="s">
        <v>345</v>
      </c>
      <c r="G281" s="7" t="s">
        <v>11</v>
      </c>
      <c r="H281" s="7" t="s">
        <v>4</v>
      </c>
      <c r="K281" s="7" t="s">
        <v>394</v>
      </c>
      <c r="M281" s="7" t="s">
        <v>348</v>
      </c>
      <c r="N281" s="7" t="s">
        <v>409</v>
      </c>
      <c r="O281" s="7" t="s">
        <v>439</v>
      </c>
      <c r="P281" s="7" t="s">
        <v>172</v>
      </c>
      <c r="Q281" s="7" t="s">
        <v>230</v>
      </c>
      <c r="R281" s="7">
        <v>25</v>
      </c>
      <c r="S281" s="8">
        <v>2.89</v>
      </c>
      <c r="T281" s="8">
        <v>-50</v>
      </c>
      <c r="U281" s="8">
        <v>3</v>
      </c>
      <c r="V281" s="8"/>
      <c r="W281" s="8"/>
    </row>
    <row r="282" spans="1:23" s="7" customFormat="1" x14ac:dyDescent="0.35">
      <c r="A282" s="7" t="s">
        <v>583</v>
      </c>
      <c r="B282" s="7" t="s">
        <v>584</v>
      </c>
      <c r="C282" s="7" t="s">
        <v>545</v>
      </c>
      <c r="D282" s="7">
        <v>2018</v>
      </c>
      <c r="E282" s="7">
        <v>65</v>
      </c>
      <c r="F282" s="7" t="s">
        <v>345</v>
      </c>
      <c r="G282" s="7" t="s">
        <v>11</v>
      </c>
      <c r="H282" s="7" t="s">
        <v>4</v>
      </c>
      <c r="K282" s="7" t="s">
        <v>394</v>
      </c>
      <c r="M282" s="7" t="s">
        <v>348</v>
      </c>
      <c r="N282" s="7" t="s">
        <v>409</v>
      </c>
      <c r="O282" s="7" t="s">
        <v>439</v>
      </c>
      <c r="P282" s="7" t="s">
        <v>172</v>
      </c>
      <c r="Q282" s="7" t="s">
        <v>230</v>
      </c>
      <c r="R282" s="7">
        <v>50</v>
      </c>
      <c r="S282" s="8">
        <v>2.69</v>
      </c>
      <c r="T282" s="8">
        <v>-100</v>
      </c>
      <c r="U282" s="8">
        <v>4</v>
      </c>
      <c r="V282" s="8"/>
      <c r="W282" s="8"/>
    </row>
    <row r="283" spans="1:23" s="7" customFormat="1" x14ac:dyDescent="0.35">
      <c r="A283" s="7" t="s">
        <v>583</v>
      </c>
      <c r="B283" s="7" t="s">
        <v>584</v>
      </c>
      <c r="C283" s="7" t="s">
        <v>545</v>
      </c>
      <c r="D283" s="7">
        <v>2018</v>
      </c>
      <c r="E283" s="7">
        <v>65</v>
      </c>
      <c r="F283" s="7" t="s">
        <v>345</v>
      </c>
      <c r="G283" s="7" t="s">
        <v>11</v>
      </c>
      <c r="H283" s="7" t="s">
        <v>4</v>
      </c>
      <c r="K283" s="7" t="s">
        <v>394</v>
      </c>
      <c r="M283" s="7" t="s">
        <v>348</v>
      </c>
      <c r="N283" s="7" t="s">
        <v>409</v>
      </c>
      <c r="O283" s="7" t="s">
        <v>439</v>
      </c>
      <c r="P283" s="7" t="s">
        <v>172</v>
      </c>
      <c r="Q283" s="7" t="s">
        <v>230</v>
      </c>
      <c r="R283" s="7">
        <v>100</v>
      </c>
      <c r="S283" s="8">
        <v>2.72</v>
      </c>
      <c r="T283" s="8">
        <v>-100</v>
      </c>
      <c r="U283" s="8">
        <v>1</v>
      </c>
      <c r="V283" s="8"/>
      <c r="W283" s="8"/>
    </row>
    <row r="284" spans="1:23" s="7" customFormat="1" x14ac:dyDescent="0.35">
      <c r="A284" s="7" t="s">
        <v>585</v>
      </c>
      <c r="B284" s="7" t="s">
        <v>522</v>
      </c>
      <c r="C284" s="7" t="s">
        <v>385</v>
      </c>
      <c r="D284" s="7">
        <v>2017</v>
      </c>
      <c r="E284" s="7">
        <v>66</v>
      </c>
      <c r="F284" s="7" t="s">
        <v>345</v>
      </c>
      <c r="G284" s="7" t="s">
        <v>11</v>
      </c>
      <c r="H284" s="7" t="s">
        <v>30</v>
      </c>
      <c r="K284" s="7" t="s">
        <v>394</v>
      </c>
      <c r="M284" s="7" t="s">
        <v>348</v>
      </c>
      <c r="N284" s="7" t="s">
        <v>409</v>
      </c>
      <c r="O284" s="7" t="s">
        <v>439</v>
      </c>
      <c r="P284" s="7" t="s">
        <v>172</v>
      </c>
      <c r="Q284" s="7" t="s">
        <v>230</v>
      </c>
      <c r="R284" s="7">
        <v>0</v>
      </c>
      <c r="S284" s="8">
        <v>2.12</v>
      </c>
      <c r="T284" s="8">
        <v>0</v>
      </c>
      <c r="U284" s="8">
        <v>0</v>
      </c>
      <c r="V284" s="8"/>
      <c r="W284" s="8"/>
    </row>
    <row r="285" spans="1:23" s="7" customFormat="1" x14ac:dyDescent="0.35">
      <c r="A285" s="7" t="s">
        <v>585</v>
      </c>
      <c r="B285" s="7" t="s">
        <v>522</v>
      </c>
      <c r="C285" s="7" t="s">
        <v>385</v>
      </c>
      <c r="D285" s="7">
        <v>2017</v>
      </c>
      <c r="E285" s="7">
        <v>66</v>
      </c>
      <c r="F285" s="7" t="s">
        <v>345</v>
      </c>
      <c r="G285" s="7" t="s">
        <v>11</v>
      </c>
      <c r="H285" s="7" t="s">
        <v>30</v>
      </c>
      <c r="K285" s="7" t="s">
        <v>394</v>
      </c>
      <c r="M285" s="7" t="s">
        <v>348</v>
      </c>
      <c r="N285" s="7" t="s">
        <v>409</v>
      </c>
      <c r="O285" s="7" t="s">
        <v>439</v>
      </c>
      <c r="P285" s="7" t="s">
        <v>172</v>
      </c>
      <c r="Q285" s="7" t="s">
        <v>230</v>
      </c>
      <c r="R285" s="7">
        <v>20</v>
      </c>
      <c r="S285" s="8">
        <v>2.0099999999999998</v>
      </c>
      <c r="T285" s="8">
        <v>50</v>
      </c>
      <c r="U285" s="8">
        <v>4</v>
      </c>
      <c r="V285" s="8"/>
      <c r="W285" s="8"/>
    </row>
    <row r="286" spans="1:23" s="7" customFormat="1" x14ac:dyDescent="0.35">
      <c r="A286" s="7" t="s">
        <v>585</v>
      </c>
      <c r="B286" s="7" t="s">
        <v>522</v>
      </c>
      <c r="C286" s="7" t="s">
        <v>385</v>
      </c>
      <c r="D286" s="7">
        <v>2017</v>
      </c>
      <c r="E286" s="7">
        <v>66</v>
      </c>
      <c r="F286" s="7" t="s">
        <v>345</v>
      </c>
      <c r="G286" s="7" t="s">
        <v>11</v>
      </c>
      <c r="H286" s="7" t="s">
        <v>30</v>
      </c>
      <c r="K286" s="7" t="s">
        <v>394</v>
      </c>
      <c r="M286" s="7" t="s">
        <v>348</v>
      </c>
      <c r="N286" s="7" t="s">
        <v>409</v>
      </c>
      <c r="O286" s="7" t="s">
        <v>439</v>
      </c>
      <c r="P286" s="7" t="s">
        <v>172</v>
      </c>
      <c r="Q286" s="7" t="s">
        <v>230</v>
      </c>
      <c r="R286" s="7">
        <v>40</v>
      </c>
      <c r="S286" s="8">
        <v>2.56</v>
      </c>
      <c r="T286" s="8">
        <v>100</v>
      </c>
      <c r="U286" s="8">
        <v>8</v>
      </c>
      <c r="V286" s="8"/>
      <c r="W286" s="8"/>
    </row>
    <row r="287" spans="1:23" s="7" customFormat="1" x14ac:dyDescent="0.35">
      <c r="A287" s="7" t="s">
        <v>585</v>
      </c>
      <c r="B287" s="7" t="s">
        <v>522</v>
      </c>
      <c r="C287" s="7" t="s">
        <v>385</v>
      </c>
      <c r="D287" s="7">
        <v>2017</v>
      </c>
      <c r="E287" s="7">
        <v>66</v>
      </c>
      <c r="F287" s="7" t="s">
        <v>345</v>
      </c>
      <c r="G287" s="7" t="s">
        <v>11</v>
      </c>
      <c r="H287" s="7" t="s">
        <v>30</v>
      </c>
      <c r="K287" s="7" t="s">
        <v>394</v>
      </c>
      <c r="M287" s="7" t="s">
        <v>348</v>
      </c>
      <c r="N287" s="7" t="s">
        <v>409</v>
      </c>
      <c r="O287" s="7" t="s">
        <v>439</v>
      </c>
      <c r="P287" s="7" t="s">
        <v>172</v>
      </c>
      <c r="Q287" s="7" t="s">
        <v>230</v>
      </c>
      <c r="R287" s="7">
        <v>60</v>
      </c>
      <c r="S287" s="8">
        <v>2.61</v>
      </c>
      <c r="T287" s="8">
        <v>150</v>
      </c>
      <c r="U287" s="8">
        <v>12</v>
      </c>
      <c r="V287" s="8"/>
      <c r="W287" s="8"/>
    </row>
    <row r="288" spans="1:23" s="7" customFormat="1" x14ac:dyDescent="0.35">
      <c r="A288" s="7" t="s">
        <v>585</v>
      </c>
      <c r="B288" s="7" t="s">
        <v>522</v>
      </c>
      <c r="C288" s="7" t="s">
        <v>385</v>
      </c>
      <c r="D288" s="7">
        <v>2017</v>
      </c>
      <c r="E288" s="7">
        <v>66</v>
      </c>
      <c r="F288" s="7" t="s">
        <v>345</v>
      </c>
      <c r="G288" s="7" t="s">
        <v>11</v>
      </c>
      <c r="H288" s="7" t="s">
        <v>30</v>
      </c>
      <c r="K288" s="7" t="s">
        <v>394</v>
      </c>
      <c r="M288" s="7" t="s">
        <v>348</v>
      </c>
      <c r="N288" s="7" t="s">
        <v>409</v>
      </c>
      <c r="O288" s="7" t="s">
        <v>439</v>
      </c>
      <c r="P288" s="7" t="s">
        <v>172</v>
      </c>
      <c r="Q288" s="7" t="s">
        <v>230</v>
      </c>
      <c r="R288" s="7">
        <v>80</v>
      </c>
      <c r="S288" s="8">
        <v>4.0199999999999996</v>
      </c>
      <c r="T288" s="8">
        <v>200</v>
      </c>
      <c r="U288" s="8">
        <v>15</v>
      </c>
      <c r="V288" s="8"/>
      <c r="W288" s="8"/>
    </row>
    <row r="289" spans="1:23" s="7" customFormat="1" x14ac:dyDescent="0.35">
      <c r="A289" s="7" t="s">
        <v>585</v>
      </c>
      <c r="B289" s="7" t="s">
        <v>522</v>
      </c>
      <c r="C289" s="7" t="s">
        <v>385</v>
      </c>
      <c r="D289" s="7">
        <v>2017</v>
      </c>
      <c r="E289" s="7">
        <v>66</v>
      </c>
      <c r="F289" s="7" t="s">
        <v>345</v>
      </c>
      <c r="G289" s="7" t="s">
        <v>11</v>
      </c>
      <c r="H289" s="7" t="s">
        <v>30</v>
      </c>
      <c r="K289" s="7" t="s">
        <v>394</v>
      </c>
      <c r="M289" s="7" t="s">
        <v>348</v>
      </c>
      <c r="N289" s="7" t="s">
        <v>409</v>
      </c>
      <c r="O289" s="7" t="s">
        <v>439</v>
      </c>
      <c r="P289" s="7" t="s">
        <v>172</v>
      </c>
      <c r="Q289" s="7" t="s">
        <v>230</v>
      </c>
      <c r="R289" s="7">
        <v>100</v>
      </c>
      <c r="S289" s="8">
        <v>4.51</v>
      </c>
      <c r="T289" s="8">
        <v>250</v>
      </c>
      <c r="U289" s="8">
        <v>20</v>
      </c>
      <c r="V289" s="8"/>
      <c r="W289" s="8"/>
    </row>
    <row r="290" spans="1:23" s="7" customFormat="1" x14ac:dyDescent="0.35">
      <c r="A290" s="7" t="s">
        <v>586</v>
      </c>
      <c r="B290" s="7" t="s">
        <v>587</v>
      </c>
      <c r="C290" s="7" t="s">
        <v>573</v>
      </c>
      <c r="D290" s="7">
        <v>2013</v>
      </c>
      <c r="E290" s="7">
        <v>67</v>
      </c>
      <c r="F290" s="7" t="s">
        <v>345</v>
      </c>
      <c r="G290" s="7" t="s">
        <v>11</v>
      </c>
      <c r="H290" s="7" t="s">
        <v>588</v>
      </c>
      <c r="M290" s="7" t="s">
        <v>348</v>
      </c>
      <c r="N290" s="7" t="s">
        <v>31</v>
      </c>
      <c r="O290" s="7" t="s">
        <v>32</v>
      </c>
      <c r="P290" s="7" t="s">
        <v>405</v>
      </c>
      <c r="Q290" s="7" t="s">
        <v>237</v>
      </c>
      <c r="R290" s="7">
        <v>0</v>
      </c>
      <c r="S290" s="8">
        <v>6.19</v>
      </c>
      <c r="T290" s="8">
        <v>0</v>
      </c>
      <c r="U290" s="8">
        <v>0</v>
      </c>
      <c r="V290" s="8"/>
      <c r="W290" s="8"/>
    </row>
    <row r="291" spans="1:23" s="7" customFormat="1" x14ac:dyDescent="0.35">
      <c r="A291" s="7" t="s">
        <v>586</v>
      </c>
      <c r="B291" s="7" t="s">
        <v>587</v>
      </c>
      <c r="C291" s="7" t="s">
        <v>573</v>
      </c>
      <c r="D291" s="7">
        <v>2013</v>
      </c>
      <c r="E291" s="7">
        <v>67</v>
      </c>
      <c r="F291" s="7" t="s">
        <v>345</v>
      </c>
      <c r="G291" s="7" t="s">
        <v>11</v>
      </c>
      <c r="H291" s="7" t="s">
        <v>588</v>
      </c>
      <c r="M291" s="7" t="s">
        <v>348</v>
      </c>
      <c r="N291" s="7" t="s">
        <v>31</v>
      </c>
      <c r="O291" s="7" t="s">
        <v>32</v>
      </c>
      <c r="P291" s="7" t="s">
        <v>405</v>
      </c>
      <c r="Q291" s="7" t="s">
        <v>237</v>
      </c>
      <c r="R291" s="7">
        <v>15</v>
      </c>
      <c r="S291" s="8">
        <v>4.42</v>
      </c>
      <c r="T291" s="8">
        <v>38</v>
      </c>
      <c r="U291" s="8">
        <v>-2</v>
      </c>
      <c r="V291" s="8"/>
      <c r="W291" s="8"/>
    </row>
    <row r="292" spans="1:23" s="7" customFormat="1" x14ac:dyDescent="0.35">
      <c r="A292" s="7" t="s">
        <v>586</v>
      </c>
      <c r="B292" s="7" t="s">
        <v>587</v>
      </c>
      <c r="C292" s="7" t="s">
        <v>573</v>
      </c>
      <c r="D292" s="7">
        <v>2013</v>
      </c>
      <c r="E292" s="7">
        <v>67</v>
      </c>
      <c r="F292" s="7" t="s">
        <v>345</v>
      </c>
      <c r="G292" s="7" t="s">
        <v>11</v>
      </c>
      <c r="H292" s="7" t="s">
        <v>588</v>
      </c>
      <c r="M292" s="7" t="s">
        <v>348</v>
      </c>
      <c r="N292" s="7" t="s">
        <v>31</v>
      </c>
      <c r="O292" s="7" t="s">
        <v>32</v>
      </c>
      <c r="P292" s="7" t="s">
        <v>405</v>
      </c>
      <c r="Q292" s="7" t="s">
        <v>237</v>
      </c>
      <c r="R292" s="7">
        <v>25</v>
      </c>
      <c r="S292" s="8">
        <v>3.83</v>
      </c>
      <c r="T292" s="8">
        <v>0</v>
      </c>
      <c r="U292" s="8">
        <v>-4</v>
      </c>
      <c r="V292" s="8"/>
      <c r="W292" s="8"/>
    </row>
    <row r="293" spans="1:23" s="7" customFormat="1" x14ac:dyDescent="0.35">
      <c r="A293" s="7" t="s">
        <v>586</v>
      </c>
      <c r="B293" s="7" t="s">
        <v>587</v>
      </c>
      <c r="C293" s="7" t="s">
        <v>573</v>
      </c>
      <c r="D293" s="7">
        <v>2013</v>
      </c>
      <c r="E293" s="7">
        <v>67</v>
      </c>
      <c r="F293" s="7" t="s">
        <v>345</v>
      </c>
      <c r="G293" s="7" t="s">
        <v>11</v>
      </c>
      <c r="H293" s="7" t="s">
        <v>588</v>
      </c>
      <c r="M293" s="7" t="s">
        <v>348</v>
      </c>
      <c r="N293" s="7" t="s">
        <v>31</v>
      </c>
      <c r="O293" s="7" t="s">
        <v>32</v>
      </c>
      <c r="P293" s="7" t="s">
        <v>405</v>
      </c>
      <c r="Q293" s="7" t="s">
        <v>237</v>
      </c>
      <c r="R293" s="7">
        <v>35</v>
      </c>
      <c r="S293" s="8">
        <v>10.08</v>
      </c>
      <c r="T293" s="8">
        <v>26</v>
      </c>
      <c r="U293" s="8">
        <v>-1.5</v>
      </c>
      <c r="V293" s="8"/>
      <c r="W293" s="8"/>
    </row>
    <row r="294" spans="1:23" s="7" customFormat="1" x14ac:dyDescent="0.35">
      <c r="A294" s="7" t="s">
        <v>586</v>
      </c>
      <c r="B294" s="7" t="s">
        <v>587</v>
      </c>
      <c r="C294" s="7" t="s">
        <v>573</v>
      </c>
      <c r="D294" s="7">
        <v>2013</v>
      </c>
      <c r="E294" s="7">
        <v>67</v>
      </c>
      <c r="F294" s="7" t="s">
        <v>345</v>
      </c>
      <c r="G294" s="7" t="s">
        <v>11</v>
      </c>
      <c r="H294" s="7" t="s">
        <v>588</v>
      </c>
      <c r="M294" s="7" t="s">
        <v>348</v>
      </c>
      <c r="N294" s="7" t="s">
        <v>31</v>
      </c>
      <c r="O294" s="7" t="s">
        <v>32</v>
      </c>
      <c r="P294" s="7" t="s">
        <v>405</v>
      </c>
      <c r="Q294" s="7" t="s">
        <v>237</v>
      </c>
      <c r="R294" s="7">
        <v>50</v>
      </c>
      <c r="S294" s="8">
        <v>5.95</v>
      </c>
      <c r="T294" s="8">
        <v>38</v>
      </c>
      <c r="U294" s="8">
        <v>-2</v>
      </c>
      <c r="V294" s="8"/>
      <c r="W294" s="8"/>
    </row>
    <row r="295" spans="1:23" s="7" customFormat="1" x14ac:dyDescent="0.35">
      <c r="A295" s="7" t="s">
        <v>589</v>
      </c>
      <c r="B295" s="7" t="s">
        <v>590</v>
      </c>
      <c r="C295" s="7" t="s">
        <v>591</v>
      </c>
      <c r="D295" s="7">
        <v>2016</v>
      </c>
      <c r="E295" s="7">
        <v>68</v>
      </c>
      <c r="F295" s="7" t="s">
        <v>416</v>
      </c>
      <c r="G295" s="7" t="s">
        <v>11</v>
      </c>
      <c r="H295" s="7" t="s">
        <v>592</v>
      </c>
      <c r="I295" s="7" t="s">
        <v>317</v>
      </c>
      <c r="J295" s="7" t="s">
        <v>593</v>
      </c>
      <c r="M295" s="7" t="s">
        <v>348</v>
      </c>
      <c r="N295" s="7" t="s">
        <v>31</v>
      </c>
      <c r="O295" s="7" t="s">
        <v>32</v>
      </c>
      <c r="P295" s="7" t="s">
        <v>405</v>
      </c>
      <c r="Q295" s="7" t="s">
        <v>229</v>
      </c>
      <c r="R295" s="7">
        <v>0</v>
      </c>
      <c r="S295" s="8">
        <v>2.0299999999999998</v>
      </c>
      <c r="T295" s="8"/>
      <c r="U295" s="8">
        <v>0</v>
      </c>
      <c r="V295" s="8"/>
      <c r="W295" s="8"/>
    </row>
    <row r="296" spans="1:23" s="7" customFormat="1" x14ac:dyDescent="0.35">
      <c r="A296" s="7" t="s">
        <v>589</v>
      </c>
      <c r="B296" s="7" t="s">
        <v>590</v>
      </c>
      <c r="C296" s="7" t="s">
        <v>591</v>
      </c>
      <c r="D296" s="7">
        <v>2016</v>
      </c>
      <c r="E296" s="7">
        <v>68</v>
      </c>
      <c r="F296" s="7" t="s">
        <v>416</v>
      </c>
      <c r="G296" s="7" t="s">
        <v>11</v>
      </c>
      <c r="H296" s="7" t="s">
        <v>592</v>
      </c>
      <c r="I296" s="7" t="s">
        <v>317</v>
      </c>
      <c r="J296" s="7" t="s">
        <v>593</v>
      </c>
      <c r="M296" s="7" t="s">
        <v>348</v>
      </c>
      <c r="N296" s="7" t="s">
        <v>31</v>
      </c>
      <c r="O296" s="7" t="s">
        <v>32</v>
      </c>
      <c r="P296" s="7" t="s">
        <v>405</v>
      </c>
      <c r="Q296" s="7" t="s">
        <v>229</v>
      </c>
      <c r="R296" s="7">
        <v>100</v>
      </c>
      <c r="S296" s="8">
        <v>1.06</v>
      </c>
      <c r="T296" s="8"/>
      <c r="U296" s="8">
        <v>-13</v>
      </c>
      <c r="V296" s="8"/>
      <c r="W296" s="8"/>
    </row>
    <row r="297" spans="1:23" s="7" customFormat="1" x14ac:dyDescent="0.35">
      <c r="A297" s="7" t="s">
        <v>589</v>
      </c>
      <c r="B297" s="7" t="s">
        <v>590</v>
      </c>
      <c r="C297" s="7" t="s">
        <v>591</v>
      </c>
      <c r="D297" s="7">
        <v>2016</v>
      </c>
      <c r="E297" s="7">
        <v>68</v>
      </c>
      <c r="F297" s="7" t="s">
        <v>416</v>
      </c>
      <c r="G297" s="7" t="s">
        <v>11</v>
      </c>
      <c r="H297" s="7" t="s">
        <v>592</v>
      </c>
      <c r="I297" s="7" t="s">
        <v>317</v>
      </c>
      <c r="J297" s="7" t="s">
        <v>593</v>
      </c>
      <c r="M297" s="7" t="s">
        <v>348</v>
      </c>
      <c r="N297" s="7" t="s">
        <v>31</v>
      </c>
      <c r="O297" s="7" t="s">
        <v>32</v>
      </c>
      <c r="P297" s="7" t="s">
        <v>405</v>
      </c>
      <c r="Q297" s="7" t="s">
        <v>229</v>
      </c>
      <c r="R297" s="7">
        <v>100</v>
      </c>
      <c r="S297" s="8">
        <v>1.18</v>
      </c>
      <c r="T297" s="8"/>
      <c r="U297" s="8">
        <v>-13</v>
      </c>
      <c r="V297" s="8"/>
      <c r="W297" s="8"/>
    </row>
    <row r="298" spans="1:23" s="7" customFormat="1" x14ac:dyDescent="0.35">
      <c r="A298" s="7" t="s">
        <v>589</v>
      </c>
      <c r="B298" s="7" t="s">
        <v>590</v>
      </c>
      <c r="C298" s="7" t="s">
        <v>591</v>
      </c>
      <c r="D298" s="7">
        <v>2016</v>
      </c>
      <c r="E298" s="7">
        <v>68</v>
      </c>
      <c r="F298" s="7" t="s">
        <v>416</v>
      </c>
      <c r="G298" s="7" t="s">
        <v>11</v>
      </c>
      <c r="H298" s="7" t="s">
        <v>592</v>
      </c>
      <c r="I298" s="7" t="s">
        <v>317</v>
      </c>
      <c r="J298" s="7" t="s">
        <v>593</v>
      </c>
      <c r="M298" s="7" t="s">
        <v>348</v>
      </c>
      <c r="N298" s="7" t="s">
        <v>31</v>
      </c>
      <c r="O298" s="7" t="s">
        <v>32</v>
      </c>
      <c r="P298" s="7" t="s">
        <v>405</v>
      </c>
      <c r="Q298" s="7" t="s">
        <v>229</v>
      </c>
      <c r="R298" s="7">
        <v>100</v>
      </c>
      <c r="S298" s="8">
        <v>1.08</v>
      </c>
      <c r="T298" s="8"/>
      <c r="U298" s="8">
        <v>-13</v>
      </c>
      <c r="V298" s="8"/>
      <c r="W298" s="8"/>
    </row>
    <row r="299" spans="1:23" s="7" customFormat="1" x14ac:dyDescent="0.35">
      <c r="A299" s="7" t="s">
        <v>589</v>
      </c>
      <c r="B299" s="7" t="s">
        <v>590</v>
      </c>
      <c r="C299" s="7" t="s">
        <v>591</v>
      </c>
      <c r="D299" s="7">
        <v>2016</v>
      </c>
      <c r="E299" s="7">
        <v>68</v>
      </c>
      <c r="F299" s="7" t="s">
        <v>416</v>
      </c>
      <c r="G299" s="7" t="s">
        <v>11</v>
      </c>
      <c r="H299" s="7" t="s">
        <v>592</v>
      </c>
      <c r="I299" s="7" t="s">
        <v>317</v>
      </c>
      <c r="J299" s="7" t="s">
        <v>593</v>
      </c>
      <c r="M299" s="7" t="s">
        <v>348</v>
      </c>
      <c r="N299" s="7" t="s">
        <v>31</v>
      </c>
      <c r="O299" s="7" t="s">
        <v>32</v>
      </c>
      <c r="P299" s="7" t="s">
        <v>405</v>
      </c>
      <c r="Q299" s="7" t="s">
        <v>229</v>
      </c>
      <c r="R299" s="7">
        <v>100</v>
      </c>
      <c r="S299" s="8">
        <v>1.01</v>
      </c>
      <c r="T299" s="8"/>
      <c r="U299" s="8">
        <v>-13</v>
      </c>
      <c r="V299" s="8"/>
      <c r="W299" s="8"/>
    </row>
    <row r="300" spans="1:23" s="7" customFormat="1" x14ac:dyDescent="0.35">
      <c r="A300" s="7" t="s">
        <v>594</v>
      </c>
      <c r="B300" s="7" t="s">
        <v>595</v>
      </c>
      <c r="C300" s="7" t="s">
        <v>573</v>
      </c>
      <c r="D300" s="7">
        <v>2010</v>
      </c>
      <c r="E300" s="7">
        <v>69</v>
      </c>
      <c r="F300" s="7" t="s">
        <v>345</v>
      </c>
      <c r="G300" s="7" t="s">
        <v>11</v>
      </c>
      <c r="H300" s="7" t="s">
        <v>83</v>
      </c>
      <c r="M300" s="7" t="s">
        <v>348</v>
      </c>
      <c r="N300" s="7" t="s">
        <v>31</v>
      </c>
      <c r="O300" s="7" t="s">
        <v>32</v>
      </c>
      <c r="P300" s="7" t="s">
        <v>405</v>
      </c>
      <c r="Q300" s="7" t="s">
        <v>229</v>
      </c>
      <c r="R300" s="7">
        <v>0</v>
      </c>
      <c r="S300" s="8">
        <v>0.89</v>
      </c>
      <c r="T300" s="8"/>
      <c r="U300" s="8">
        <v>0</v>
      </c>
      <c r="V300" s="8"/>
      <c r="W300" s="8"/>
    </row>
    <row r="301" spans="1:23" s="7" customFormat="1" x14ac:dyDescent="0.35">
      <c r="A301" s="7" t="s">
        <v>594</v>
      </c>
      <c r="B301" s="7" t="s">
        <v>595</v>
      </c>
      <c r="C301" s="7" t="s">
        <v>573</v>
      </c>
      <c r="D301" s="7">
        <v>2010</v>
      </c>
      <c r="E301" s="7">
        <v>69</v>
      </c>
      <c r="F301" s="7" t="s">
        <v>345</v>
      </c>
      <c r="G301" s="7" t="s">
        <v>11</v>
      </c>
      <c r="H301" s="7" t="s">
        <v>83</v>
      </c>
      <c r="M301" s="7" t="s">
        <v>348</v>
      </c>
      <c r="N301" s="7" t="s">
        <v>31</v>
      </c>
      <c r="O301" s="7" t="s">
        <v>32</v>
      </c>
      <c r="P301" s="7" t="s">
        <v>405</v>
      </c>
      <c r="Q301" s="7" t="s">
        <v>229</v>
      </c>
      <c r="R301" s="7">
        <v>25</v>
      </c>
      <c r="S301" s="8">
        <v>0.7</v>
      </c>
      <c r="T301" s="8"/>
      <c r="U301" s="8">
        <v>-14</v>
      </c>
      <c r="V301" s="8"/>
      <c r="W301" s="8"/>
    </row>
    <row r="302" spans="1:23" s="7" customFormat="1" x14ac:dyDescent="0.35">
      <c r="A302" s="7" t="s">
        <v>594</v>
      </c>
      <c r="B302" s="7" t="s">
        <v>595</v>
      </c>
      <c r="C302" s="7" t="s">
        <v>573</v>
      </c>
      <c r="D302" s="7">
        <v>2010</v>
      </c>
      <c r="E302" s="7">
        <v>69</v>
      </c>
      <c r="F302" s="7" t="s">
        <v>345</v>
      </c>
      <c r="G302" s="7" t="s">
        <v>11</v>
      </c>
      <c r="H302" s="7" t="s">
        <v>83</v>
      </c>
      <c r="M302" s="7" t="s">
        <v>348</v>
      </c>
      <c r="N302" s="7" t="s">
        <v>31</v>
      </c>
      <c r="O302" s="7" t="s">
        <v>32</v>
      </c>
      <c r="P302" s="7" t="s">
        <v>405</v>
      </c>
      <c r="Q302" s="7" t="s">
        <v>229</v>
      </c>
      <c r="R302" s="7">
        <v>50</v>
      </c>
      <c r="S302" s="8">
        <v>0.99</v>
      </c>
      <c r="T302" s="8"/>
      <c r="U302" s="8">
        <v>-37</v>
      </c>
      <c r="V302" s="8"/>
      <c r="W302" s="8"/>
    </row>
    <row r="303" spans="1:23" s="7" customFormat="1" x14ac:dyDescent="0.35">
      <c r="A303" s="7" t="s">
        <v>594</v>
      </c>
      <c r="B303" s="7" t="s">
        <v>595</v>
      </c>
      <c r="C303" s="7" t="s">
        <v>573</v>
      </c>
      <c r="D303" s="7">
        <v>2010</v>
      </c>
      <c r="E303" s="7">
        <v>69</v>
      </c>
      <c r="F303" s="7" t="s">
        <v>345</v>
      </c>
      <c r="G303" s="7" t="s">
        <v>11</v>
      </c>
      <c r="H303" s="7" t="s">
        <v>83</v>
      </c>
      <c r="M303" s="7" t="s">
        <v>348</v>
      </c>
      <c r="N303" s="7" t="s">
        <v>31</v>
      </c>
      <c r="O303" s="7" t="s">
        <v>32</v>
      </c>
      <c r="P303" s="7" t="s">
        <v>405</v>
      </c>
      <c r="Q303" s="7" t="s">
        <v>229</v>
      </c>
      <c r="R303" s="7">
        <v>75</v>
      </c>
      <c r="S303" s="8">
        <v>1.04</v>
      </c>
      <c r="T303" s="8"/>
      <c r="U303" s="8">
        <v>-63</v>
      </c>
      <c r="V303" s="8"/>
      <c r="W303" s="8"/>
    </row>
    <row r="304" spans="1:23" s="7" customFormat="1" x14ac:dyDescent="0.35">
      <c r="A304" s="7" t="s">
        <v>594</v>
      </c>
      <c r="B304" s="7" t="s">
        <v>595</v>
      </c>
      <c r="C304" s="7" t="s">
        <v>573</v>
      </c>
      <c r="D304" s="7">
        <v>2010</v>
      </c>
      <c r="E304" s="7">
        <v>69</v>
      </c>
      <c r="F304" s="7" t="s">
        <v>345</v>
      </c>
      <c r="G304" s="7" t="s">
        <v>11</v>
      </c>
      <c r="H304" s="7" t="s">
        <v>83</v>
      </c>
      <c r="M304" s="7" t="s">
        <v>348</v>
      </c>
      <c r="N304" s="7" t="s">
        <v>31</v>
      </c>
      <c r="O304" s="7" t="s">
        <v>32</v>
      </c>
      <c r="P304" s="7" t="s">
        <v>405</v>
      </c>
      <c r="Q304" s="7" t="s">
        <v>229</v>
      </c>
      <c r="R304" s="7">
        <v>100</v>
      </c>
      <c r="S304" s="8">
        <v>1.1299999999999999</v>
      </c>
      <c r="T304" s="8"/>
      <c r="U304" s="8">
        <v>-70</v>
      </c>
      <c r="V304" s="8"/>
      <c r="W304" s="8"/>
    </row>
    <row r="305" spans="1:23" s="7" customFormat="1" x14ac:dyDescent="0.35">
      <c r="A305" s="7" t="s">
        <v>597</v>
      </c>
      <c r="B305" s="7" t="s">
        <v>398</v>
      </c>
      <c r="C305" s="7" t="s">
        <v>573</v>
      </c>
      <c r="D305" s="7">
        <v>2003</v>
      </c>
      <c r="E305" s="7">
        <v>70</v>
      </c>
      <c r="F305" s="7" t="s">
        <v>345</v>
      </c>
      <c r="G305" s="7" t="s">
        <v>11</v>
      </c>
      <c r="H305" s="7" t="s">
        <v>596</v>
      </c>
      <c r="K305" s="7" t="s">
        <v>394</v>
      </c>
      <c r="M305" s="7" t="s">
        <v>348</v>
      </c>
      <c r="N305" s="7" t="s">
        <v>31</v>
      </c>
      <c r="O305" s="7" t="s">
        <v>32</v>
      </c>
      <c r="P305" s="7" t="s">
        <v>405</v>
      </c>
      <c r="Q305" s="7" t="s">
        <v>229</v>
      </c>
      <c r="R305" s="7">
        <v>0</v>
      </c>
      <c r="S305" s="8">
        <v>2.2599999999999998</v>
      </c>
      <c r="T305" s="8">
        <v>0</v>
      </c>
      <c r="U305" s="8">
        <v>0</v>
      </c>
      <c r="V305" s="8"/>
      <c r="W305" s="8"/>
    </row>
    <row r="306" spans="1:23" s="7" customFormat="1" x14ac:dyDescent="0.35">
      <c r="A306" s="7" t="s">
        <v>597</v>
      </c>
      <c r="B306" s="7" t="s">
        <v>398</v>
      </c>
      <c r="C306" s="7" t="s">
        <v>573</v>
      </c>
      <c r="D306" s="7">
        <v>2003</v>
      </c>
      <c r="E306" s="7">
        <v>70</v>
      </c>
      <c r="F306" s="7" t="s">
        <v>345</v>
      </c>
      <c r="G306" s="7" t="s">
        <v>11</v>
      </c>
      <c r="H306" s="7" t="s">
        <v>596</v>
      </c>
      <c r="K306" s="7" t="s">
        <v>394</v>
      </c>
      <c r="M306" s="7" t="s">
        <v>348</v>
      </c>
      <c r="N306" s="7" t="s">
        <v>31</v>
      </c>
      <c r="O306" s="7" t="s">
        <v>32</v>
      </c>
      <c r="P306" s="7" t="s">
        <v>405</v>
      </c>
      <c r="Q306" s="7" t="s">
        <v>229</v>
      </c>
      <c r="R306" s="7">
        <v>100</v>
      </c>
      <c r="S306" s="8">
        <v>2.58</v>
      </c>
      <c r="T306" s="8">
        <v>-33</v>
      </c>
      <c r="U306" s="8">
        <v>-14</v>
      </c>
      <c r="V306" s="8"/>
      <c r="W306" s="8"/>
    </row>
    <row r="307" spans="1:23" s="7" customFormat="1" x14ac:dyDescent="0.35">
      <c r="A307" s="7" t="s">
        <v>597</v>
      </c>
      <c r="B307" s="7" t="s">
        <v>398</v>
      </c>
      <c r="C307" s="7" t="s">
        <v>573</v>
      </c>
      <c r="D307" s="7">
        <v>2003</v>
      </c>
      <c r="E307" s="7">
        <v>70</v>
      </c>
      <c r="F307" s="7" t="s">
        <v>345</v>
      </c>
      <c r="G307" s="7" t="s">
        <v>11</v>
      </c>
      <c r="H307" s="7" t="s">
        <v>596</v>
      </c>
      <c r="K307" s="7" t="s">
        <v>394</v>
      </c>
      <c r="M307" s="7" t="s">
        <v>348</v>
      </c>
      <c r="N307" s="7" t="s">
        <v>31</v>
      </c>
      <c r="O307" s="7" t="s">
        <v>32</v>
      </c>
      <c r="P307" s="7" t="s">
        <v>405</v>
      </c>
      <c r="Q307" s="7" t="s">
        <v>229</v>
      </c>
      <c r="R307" s="7">
        <v>100</v>
      </c>
      <c r="S307" s="8">
        <v>3.52</v>
      </c>
      <c r="T307" s="8">
        <v>-33</v>
      </c>
      <c r="U307" s="8">
        <v>-16</v>
      </c>
      <c r="V307" s="8"/>
      <c r="W307" s="8"/>
    </row>
    <row r="308" spans="1:23" s="7" customFormat="1" x14ac:dyDescent="0.35">
      <c r="A308" s="7" t="s">
        <v>597</v>
      </c>
      <c r="B308" s="7" t="s">
        <v>398</v>
      </c>
      <c r="C308" s="7" t="s">
        <v>573</v>
      </c>
      <c r="D308" s="7">
        <v>2003</v>
      </c>
      <c r="E308" s="7">
        <v>70</v>
      </c>
      <c r="F308" s="7" t="s">
        <v>345</v>
      </c>
      <c r="G308" s="7" t="s">
        <v>11</v>
      </c>
      <c r="H308" s="7" t="s">
        <v>596</v>
      </c>
      <c r="K308" s="7" t="s">
        <v>394</v>
      </c>
      <c r="M308" s="7" t="s">
        <v>348</v>
      </c>
      <c r="N308" s="7" t="s">
        <v>31</v>
      </c>
      <c r="O308" s="7" t="s">
        <v>32</v>
      </c>
      <c r="P308" s="7" t="s">
        <v>405</v>
      </c>
      <c r="Q308" s="7" t="s">
        <v>229</v>
      </c>
      <c r="R308" s="7">
        <v>100</v>
      </c>
      <c r="S308" s="8">
        <v>2.2400000000000002</v>
      </c>
      <c r="T308" s="8">
        <v>0</v>
      </c>
      <c r="U308" s="8">
        <v>5</v>
      </c>
      <c r="V308" s="8"/>
      <c r="W308" s="8"/>
    </row>
    <row r="309" spans="1:23" s="7" customFormat="1" x14ac:dyDescent="0.35">
      <c r="A309" s="7" t="s">
        <v>597</v>
      </c>
      <c r="B309" s="7" t="s">
        <v>398</v>
      </c>
      <c r="C309" s="7" t="s">
        <v>573</v>
      </c>
      <c r="D309" s="7">
        <v>2003</v>
      </c>
      <c r="E309" s="7">
        <v>70</v>
      </c>
      <c r="F309" s="7" t="s">
        <v>345</v>
      </c>
      <c r="G309" s="7" t="s">
        <v>11</v>
      </c>
      <c r="H309" s="7" t="s">
        <v>596</v>
      </c>
      <c r="K309" s="7" t="s">
        <v>394</v>
      </c>
      <c r="M309" s="7" t="s">
        <v>348</v>
      </c>
      <c r="N309" s="7" t="s">
        <v>31</v>
      </c>
      <c r="O309" s="7" t="s">
        <v>32</v>
      </c>
      <c r="P309" s="7" t="s">
        <v>405</v>
      </c>
      <c r="Q309" s="7" t="s">
        <v>229</v>
      </c>
      <c r="R309" s="7">
        <v>100</v>
      </c>
      <c r="S309" s="8">
        <v>2.65</v>
      </c>
      <c r="T309" s="8">
        <v>0</v>
      </c>
      <c r="U309" s="8">
        <v>-12</v>
      </c>
      <c r="V309" s="8"/>
      <c r="W309" s="8"/>
    </row>
    <row r="310" spans="1:23" s="7" customFormat="1" x14ac:dyDescent="0.35">
      <c r="A310" s="7" t="s">
        <v>598</v>
      </c>
      <c r="B310" s="7" t="s">
        <v>599</v>
      </c>
      <c r="C310" s="7" t="s">
        <v>591</v>
      </c>
      <c r="D310" s="7">
        <v>2017</v>
      </c>
      <c r="E310" s="7">
        <v>71</v>
      </c>
      <c r="F310" s="7" t="s">
        <v>345</v>
      </c>
      <c r="G310" s="7" t="s">
        <v>11</v>
      </c>
      <c r="H310" s="7" t="s">
        <v>601</v>
      </c>
      <c r="K310" s="7" t="s">
        <v>394</v>
      </c>
      <c r="M310" s="7" t="s">
        <v>348</v>
      </c>
      <c r="N310" s="7" t="s">
        <v>602</v>
      </c>
      <c r="O310" s="7" t="s">
        <v>603</v>
      </c>
      <c r="P310" s="7" t="s">
        <v>604</v>
      </c>
      <c r="Q310" s="7" t="s">
        <v>467</v>
      </c>
      <c r="R310" s="7">
        <v>0</v>
      </c>
      <c r="S310" s="8">
        <v>0.84</v>
      </c>
      <c r="T310" s="8"/>
      <c r="U310" s="8">
        <v>0</v>
      </c>
      <c r="V310" s="8"/>
      <c r="W310" s="8"/>
    </row>
    <row r="311" spans="1:23" s="7" customFormat="1" x14ac:dyDescent="0.35">
      <c r="A311" s="7" t="s">
        <v>598</v>
      </c>
      <c r="B311" s="7" t="s">
        <v>599</v>
      </c>
      <c r="C311" s="7" t="s">
        <v>591</v>
      </c>
      <c r="D311" s="7">
        <v>2017</v>
      </c>
      <c r="E311" s="7">
        <v>71</v>
      </c>
      <c r="F311" s="7" t="s">
        <v>600</v>
      </c>
      <c r="G311" s="7" t="s">
        <v>11</v>
      </c>
      <c r="H311" s="7" t="s">
        <v>601</v>
      </c>
      <c r="K311" s="7" t="s">
        <v>394</v>
      </c>
      <c r="M311" s="7" t="s">
        <v>348</v>
      </c>
      <c r="N311" s="7" t="s">
        <v>602</v>
      </c>
      <c r="O311" s="7" t="s">
        <v>603</v>
      </c>
      <c r="P311" s="7" t="s">
        <v>604</v>
      </c>
      <c r="Q311" s="7" t="s">
        <v>467</v>
      </c>
      <c r="R311" s="7">
        <v>50</v>
      </c>
      <c r="S311" s="8">
        <v>0.67</v>
      </c>
      <c r="T311" s="8"/>
      <c r="U311" s="8">
        <v>0</v>
      </c>
      <c r="V311" s="8"/>
      <c r="W311" s="8"/>
    </row>
    <row r="312" spans="1:23" s="7" customFormat="1" x14ac:dyDescent="0.35">
      <c r="A312" s="7" t="s">
        <v>598</v>
      </c>
      <c r="B312" s="7" t="s">
        <v>599</v>
      </c>
      <c r="C312" s="7" t="s">
        <v>591</v>
      </c>
      <c r="D312" s="7">
        <v>2017</v>
      </c>
      <c r="E312" s="7">
        <v>71</v>
      </c>
      <c r="F312" s="7" t="s">
        <v>600</v>
      </c>
      <c r="G312" s="7" t="s">
        <v>11</v>
      </c>
      <c r="H312" s="7" t="s">
        <v>72</v>
      </c>
      <c r="K312" s="7" t="s">
        <v>394</v>
      </c>
      <c r="M312" s="7" t="s">
        <v>348</v>
      </c>
      <c r="N312" s="7" t="s">
        <v>602</v>
      </c>
      <c r="O312" s="7" t="s">
        <v>603</v>
      </c>
      <c r="P312" s="7" t="s">
        <v>604</v>
      </c>
      <c r="Q312" s="7" t="s">
        <v>467</v>
      </c>
      <c r="R312" s="7">
        <v>0</v>
      </c>
      <c r="S312" s="8">
        <v>0.84</v>
      </c>
      <c r="T312" s="8"/>
      <c r="U312" s="8">
        <v>0</v>
      </c>
      <c r="V312" s="8"/>
      <c r="W312" s="8"/>
    </row>
    <row r="313" spans="1:23" s="7" customFormat="1" x14ac:dyDescent="0.35">
      <c r="A313" s="7" t="s">
        <v>598</v>
      </c>
      <c r="B313" s="7" t="s">
        <v>599</v>
      </c>
      <c r="C313" s="7" t="s">
        <v>591</v>
      </c>
      <c r="D313" s="7">
        <v>2017</v>
      </c>
      <c r="E313" s="7">
        <v>71</v>
      </c>
      <c r="F313" s="7" t="s">
        <v>600</v>
      </c>
      <c r="G313" s="7" t="s">
        <v>11</v>
      </c>
      <c r="H313" s="7" t="s">
        <v>72</v>
      </c>
      <c r="K313" s="7" t="s">
        <v>394</v>
      </c>
      <c r="M313" s="7" t="s">
        <v>348</v>
      </c>
      <c r="N313" s="7" t="s">
        <v>602</v>
      </c>
      <c r="O313" s="7" t="s">
        <v>603</v>
      </c>
      <c r="P313" s="7" t="s">
        <v>604</v>
      </c>
      <c r="Q313" s="7" t="s">
        <v>467</v>
      </c>
      <c r="R313" s="7">
        <v>50</v>
      </c>
      <c r="S313" s="8">
        <v>0.74</v>
      </c>
      <c r="T313" s="8"/>
      <c r="U313" s="8">
        <v>0</v>
      </c>
      <c r="V313" s="8"/>
      <c r="W313" s="8"/>
    </row>
    <row r="314" spans="1:23" s="7" customFormat="1" x14ac:dyDescent="0.35">
      <c r="A314" s="7" t="s">
        <v>605</v>
      </c>
      <c r="B314" s="7" t="s">
        <v>522</v>
      </c>
      <c r="C314" s="7" t="s">
        <v>399</v>
      </c>
      <c r="D314" s="7">
        <v>2008</v>
      </c>
      <c r="E314" s="7">
        <v>72</v>
      </c>
      <c r="F314" s="7" t="s">
        <v>600</v>
      </c>
      <c r="G314" s="7" t="s">
        <v>346</v>
      </c>
      <c r="H314" s="7" t="s">
        <v>606</v>
      </c>
      <c r="K314" s="7" t="s">
        <v>378</v>
      </c>
      <c r="L314" s="7" t="s">
        <v>393</v>
      </c>
      <c r="M314" s="7" t="s">
        <v>359</v>
      </c>
      <c r="N314" s="7" t="s">
        <v>538</v>
      </c>
      <c r="O314" s="7" t="s">
        <v>95</v>
      </c>
      <c r="P314" s="7" t="s">
        <v>401</v>
      </c>
      <c r="Q314" s="7" t="s">
        <v>230</v>
      </c>
      <c r="R314" s="7">
        <v>0</v>
      </c>
      <c r="S314" s="8"/>
      <c r="T314" s="8"/>
      <c r="U314" s="8">
        <v>0</v>
      </c>
      <c r="V314" s="8">
        <v>3.3</v>
      </c>
      <c r="W314" s="8"/>
    </row>
    <row r="315" spans="1:23" s="7" customFormat="1" x14ac:dyDescent="0.35">
      <c r="A315" s="7" t="s">
        <v>605</v>
      </c>
      <c r="B315" s="7" t="s">
        <v>522</v>
      </c>
      <c r="C315" s="7" t="s">
        <v>399</v>
      </c>
      <c r="D315" s="7">
        <v>2008</v>
      </c>
      <c r="E315" s="7">
        <v>72</v>
      </c>
      <c r="F315" s="7" t="s">
        <v>600</v>
      </c>
      <c r="G315" s="7" t="s">
        <v>346</v>
      </c>
      <c r="H315" s="7" t="s">
        <v>606</v>
      </c>
      <c r="K315" s="7" t="s">
        <v>378</v>
      </c>
      <c r="L315" s="7" t="s">
        <v>393</v>
      </c>
      <c r="M315" s="7" t="s">
        <v>359</v>
      </c>
      <c r="N315" s="7" t="s">
        <v>538</v>
      </c>
      <c r="O315" s="7" t="s">
        <v>95</v>
      </c>
      <c r="P315" s="7" t="s">
        <v>401</v>
      </c>
      <c r="Q315" s="7" t="s">
        <v>230</v>
      </c>
      <c r="R315" s="7">
        <v>100</v>
      </c>
      <c r="S315" s="8"/>
      <c r="T315" s="8"/>
      <c r="U315" s="8">
        <v>225</v>
      </c>
      <c r="V315" s="8">
        <v>3.3</v>
      </c>
      <c r="W315" s="8"/>
    </row>
    <row r="316" spans="1:23" s="7" customFormat="1" x14ac:dyDescent="0.35">
      <c r="A316" s="7" t="s">
        <v>605</v>
      </c>
      <c r="B316" s="7" t="s">
        <v>522</v>
      </c>
      <c r="C316" s="7" t="s">
        <v>399</v>
      </c>
      <c r="D316" s="7">
        <v>2008</v>
      </c>
      <c r="E316" s="7">
        <v>72</v>
      </c>
      <c r="F316" s="7" t="s">
        <v>600</v>
      </c>
      <c r="G316" s="7" t="s">
        <v>346</v>
      </c>
      <c r="H316" s="7" t="s">
        <v>606</v>
      </c>
      <c r="K316" s="7" t="s">
        <v>378</v>
      </c>
      <c r="L316" s="7" t="s">
        <v>393</v>
      </c>
      <c r="M316" s="7" t="s">
        <v>359</v>
      </c>
      <c r="N316" s="7" t="s">
        <v>538</v>
      </c>
      <c r="O316" s="7" t="s">
        <v>95</v>
      </c>
      <c r="P316" s="7" t="s">
        <v>401</v>
      </c>
      <c r="Q316" s="7" t="s">
        <v>230</v>
      </c>
      <c r="R316" s="7">
        <v>100</v>
      </c>
      <c r="S316" s="8"/>
      <c r="T316" s="8"/>
      <c r="U316" s="8">
        <v>225</v>
      </c>
      <c r="V316" s="8">
        <v>3.3</v>
      </c>
      <c r="W316" s="8"/>
    </row>
    <row r="317" spans="1:23" s="7" customFormat="1" x14ac:dyDescent="0.35">
      <c r="A317" s="7" t="s">
        <v>605</v>
      </c>
      <c r="B317" s="7" t="s">
        <v>522</v>
      </c>
      <c r="C317" s="7" t="s">
        <v>399</v>
      </c>
      <c r="D317" s="7">
        <v>2008</v>
      </c>
      <c r="E317" s="7">
        <v>72</v>
      </c>
      <c r="F317" s="7" t="s">
        <v>600</v>
      </c>
      <c r="G317" s="7" t="s">
        <v>346</v>
      </c>
      <c r="H317" s="7" t="s">
        <v>607</v>
      </c>
      <c r="K317" s="7" t="s">
        <v>378</v>
      </c>
      <c r="L317" s="7" t="s">
        <v>393</v>
      </c>
      <c r="M317" s="7" t="s">
        <v>359</v>
      </c>
      <c r="N317" s="7" t="s">
        <v>538</v>
      </c>
      <c r="O317" s="7" t="s">
        <v>95</v>
      </c>
      <c r="P317" s="7" t="s">
        <v>401</v>
      </c>
      <c r="Q317" s="7" t="s">
        <v>230</v>
      </c>
      <c r="R317" s="7">
        <v>0</v>
      </c>
      <c r="S317" s="8"/>
      <c r="T317" s="8"/>
      <c r="U317" s="8">
        <v>0</v>
      </c>
      <c r="V317" s="8">
        <v>3.3</v>
      </c>
      <c r="W317" s="8"/>
    </row>
    <row r="318" spans="1:23" s="7" customFormat="1" x14ac:dyDescent="0.35">
      <c r="A318" s="7" t="s">
        <v>605</v>
      </c>
      <c r="B318" s="7" t="s">
        <v>522</v>
      </c>
      <c r="C318" s="7" t="s">
        <v>399</v>
      </c>
      <c r="D318" s="7">
        <v>2008</v>
      </c>
      <c r="E318" s="7">
        <v>72</v>
      </c>
      <c r="F318" s="7" t="s">
        <v>600</v>
      </c>
      <c r="G318" s="7" t="s">
        <v>346</v>
      </c>
      <c r="H318" s="7" t="s">
        <v>607</v>
      </c>
      <c r="K318" s="7" t="s">
        <v>378</v>
      </c>
      <c r="L318" s="7" t="s">
        <v>393</v>
      </c>
      <c r="M318" s="7" t="s">
        <v>359</v>
      </c>
      <c r="N318" s="7" t="s">
        <v>538</v>
      </c>
      <c r="O318" s="7" t="s">
        <v>95</v>
      </c>
      <c r="P318" s="7" t="s">
        <v>401</v>
      </c>
      <c r="Q318" s="7" t="s">
        <v>230</v>
      </c>
      <c r="R318" s="7">
        <v>100</v>
      </c>
      <c r="S318" s="8"/>
      <c r="T318" s="8"/>
      <c r="U318" s="8">
        <v>225</v>
      </c>
      <c r="V318" s="8">
        <v>3.3</v>
      </c>
      <c r="W318" s="8"/>
    </row>
    <row r="319" spans="1:23" s="7" customFormat="1" x14ac:dyDescent="0.35">
      <c r="A319" s="7" t="s">
        <v>605</v>
      </c>
      <c r="B319" s="7" t="s">
        <v>522</v>
      </c>
      <c r="C319" s="7" t="s">
        <v>399</v>
      </c>
      <c r="D319" s="7">
        <v>2008</v>
      </c>
      <c r="E319" s="7">
        <v>72</v>
      </c>
      <c r="F319" s="7" t="s">
        <v>600</v>
      </c>
      <c r="G319" s="7" t="s">
        <v>346</v>
      </c>
      <c r="H319" s="7" t="s">
        <v>607</v>
      </c>
      <c r="K319" s="7" t="s">
        <v>378</v>
      </c>
      <c r="L319" s="7" t="s">
        <v>393</v>
      </c>
      <c r="M319" s="7" t="s">
        <v>359</v>
      </c>
      <c r="N319" s="7" t="s">
        <v>538</v>
      </c>
      <c r="O319" s="7" t="s">
        <v>95</v>
      </c>
      <c r="P319" s="7" t="s">
        <v>401</v>
      </c>
      <c r="Q319" s="7" t="s">
        <v>230</v>
      </c>
      <c r="R319" s="7">
        <v>100</v>
      </c>
      <c r="S319" s="8"/>
      <c r="T319" s="8"/>
      <c r="U319" s="8">
        <v>225</v>
      </c>
      <c r="V319" s="8">
        <v>3.3</v>
      </c>
      <c r="W319" s="8"/>
    </row>
    <row r="320" spans="1:23" s="7" customFormat="1" x14ac:dyDescent="0.35">
      <c r="A320" s="7" t="s">
        <v>605</v>
      </c>
      <c r="B320" s="7" t="s">
        <v>522</v>
      </c>
      <c r="C320" s="7" t="s">
        <v>399</v>
      </c>
      <c r="D320" s="7">
        <v>2008</v>
      </c>
      <c r="E320" s="7">
        <v>72</v>
      </c>
      <c r="F320" s="7" t="s">
        <v>600</v>
      </c>
      <c r="G320" s="7" t="s">
        <v>346</v>
      </c>
      <c r="H320" s="7" t="s">
        <v>606</v>
      </c>
      <c r="K320" s="7" t="s">
        <v>378</v>
      </c>
      <c r="L320" s="7" t="s">
        <v>393</v>
      </c>
      <c r="M320" s="7" t="s">
        <v>359</v>
      </c>
      <c r="N320" s="7" t="s">
        <v>538</v>
      </c>
      <c r="O320" s="7" t="s">
        <v>95</v>
      </c>
      <c r="P320" s="7" t="s">
        <v>401</v>
      </c>
      <c r="Q320" s="7" t="s">
        <v>230</v>
      </c>
      <c r="R320" s="7">
        <v>0</v>
      </c>
      <c r="S320" s="8"/>
      <c r="T320" s="8"/>
      <c r="U320" s="8">
        <v>0</v>
      </c>
      <c r="V320" s="8">
        <v>5</v>
      </c>
      <c r="W320" s="8"/>
    </row>
    <row r="321" spans="1:23" s="7" customFormat="1" x14ac:dyDescent="0.35">
      <c r="A321" s="7" t="s">
        <v>605</v>
      </c>
      <c r="B321" s="7" t="s">
        <v>522</v>
      </c>
      <c r="C321" s="7" t="s">
        <v>399</v>
      </c>
      <c r="D321" s="7">
        <v>2008</v>
      </c>
      <c r="E321" s="7">
        <v>72</v>
      </c>
      <c r="F321" s="7" t="s">
        <v>600</v>
      </c>
      <c r="G321" s="7" t="s">
        <v>346</v>
      </c>
      <c r="H321" s="7" t="s">
        <v>606</v>
      </c>
      <c r="K321" s="7" t="s">
        <v>378</v>
      </c>
      <c r="L321" s="7" t="s">
        <v>393</v>
      </c>
      <c r="M321" s="7" t="s">
        <v>359</v>
      </c>
      <c r="N321" s="7" t="s">
        <v>538</v>
      </c>
      <c r="O321" s="7" t="s">
        <v>95</v>
      </c>
      <c r="P321" s="7" t="s">
        <v>401</v>
      </c>
      <c r="Q321" s="7" t="s">
        <v>230</v>
      </c>
      <c r="R321" s="7">
        <v>100</v>
      </c>
      <c r="S321" s="8"/>
      <c r="T321" s="8"/>
      <c r="U321" s="8">
        <v>255</v>
      </c>
      <c r="V321" s="8">
        <v>2.5</v>
      </c>
      <c r="W321" s="8"/>
    </row>
    <row r="322" spans="1:23" s="7" customFormat="1" x14ac:dyDescent="0.35">
      <c r="A322" s="7" t="s">
        <v>605</v>
      </c>
      <c r="B322" s="7" t="s">
        <v>522</v>
      </c>
      <c r="C322" s="7" t="s">
        <v>399</v>
      </c>
      <c r="D322" s="7">
        <v>2008</v>
      </c>
      <c r="E322" s="7">
        <v>72</v>
      </c>
      <c r="F322" s="7" t="s">
        <v>600</v>
      </c>
      <c r="G322" s="7" t="s">
        <v>346</v>
      </c>
      <c r="H322" s="7" t="s">
        <v>606</v>
      </c>
      <c r="K322" s="7" t="s">
        <v>378</v>
      </c>
      <c r="L322" s="7" t="s">
        <v>393</v>
      </c>
      <c r="M322" s="7" t="s">
        <v>359</v>
      </c>
      <c r="N322" s="7" t="s">
        <v>538</v>
      </c>
      <c r="O322" s="7" t="s">
        <v>95</v>
      </c>
      <c r="P322" s="7" t="s">
        <v>401</v>
      </c>
      <c r="Q322" s="7" t="s">
        <v>230</v>
      </c>
      <c r="R322" s="7">
        <v>100</v>
      </c>
      <c r="S322" s="8"/>
      <c r="T322" s="8"/>
      <c r="U322" s="8">
        <v>285</v>
      </c>
      <c r="V322" s="8">
        <v>2.5</v>
      </c>
      <c r="W322" s="8"/>
    </row>
    <row r="323" spans="1:23" s="7" customFormat="1" x14ac:dyDescent="0.35">
      <c r="A323" s="7" t="s">
        <v>605</v>
      </c>
      <c r="B323" s="7" t="s">
        <v>522</v>
      </c>
      <c r="C323" s="7" t="s">
        <v>399</v>
      </c>
      <c r="D323" s="7">
        <v>2008</v>
      </c>
      <c r="E323" s="7">
        <v>72</v>
      </c>
      <c r="F323" s="7" t="s">
        <v>600</v>
      </c>
      <c r="G323" s="7" t="s">
        <v>346</v>
      </c>
      <c r="H323" s="7" t="s">
        <v>607</v>
      </c>
      <c r="K323" s="7" t="s">
        <v>378</v>
      </c>
      <c r="L323" s="7" t="s">
        <v>393</v>
      </c>
      <c r="M323" s="7" t="s">
        <v>359</v>
      </c>
      <c r="N323" s="7" t="s">
        <v>538</v>
      </c>
      <c r="O323" s="7" t="s">
        <v>95</v>
      </c>
      <c r="P323" s="7" t="s">
        <v>401</v>
      </c>
      <c r="Q323" s="7" t="s">
        <v>230</v>
      </c>
      <c r="R323" s="7">
        <v>0</v>
      </c>
      <c r="S323" s="8"/>
      <c r="T323" s="8"/>
      <c r="U323" s="8">
        <v>0</v>
      </c>
      <c r="V323" s="8">
        <v>5</v>
      </c>
      <c r="W323" s="8"/>
    </row>
    <row r="324" spans="1:23" s="7" customFormat="1" x14ac:dyDescent="0.35">
      <c r="A324" s="7" t="s">
        <v>605</v>
      </c>
      <c r="B324" s="7" t="s">
        <v>522</v>
      </c>
      <c r="C324" s="7" t="s">
        <v>399</v>
      </c>
      <c r="D324" s="7">
        <v>2008</v>
      </c>
      <c r="E324" s="7">
        <v>72</v>
      </c>
      <c r="F324" s="7" t="s">
        <v>600</v>
      </c>
      <c r="G324" s="7" t="s">
        <v>346</v>
      </c>
      <c r="H324" s="7" t="s">
        <v>607</v>
      </c>
      <c r="K324" s="7" t="s">
        <v>378</v>
      </c>
      <c r="L324" s="7" t="s">
        <v>393</v>
      </c>
      <c r="M324" s="7" t="s">
        <v>359</v>
      </c>
      <c r="N324" s="7" t="s">
        <v>538</v>
      </c>
      <c r="O324" s="7" t="s">
        <v>95</v>
      </c>
      <c r="P324" s="7" t="s">
        <v>401</v>
      </c>
      <c r="Q324" s="7" t="s">
        <v>230</v>
      </c>
      <c r="R324" s="7">
        <v>100</v>
      </c>
      <c r="S324" s="8"/>
      <c r="T324" s="8"/>
      <c r="U324" s="8">
        <v>310</v>
      </c>
      <c r="V324" s="8">
        <v>5</v>
      </c>
      <c r="W324" s="8"/>
    </row>
    <row r="325" spans="1:23" s="7" customFormat="1" x14ac:dyDescent="0.35">
      <c r="A325" s="7" t="s">
        <v>605</v>
      </c>
      <c r="B325" s="7" t="s">
        <v>522</v>
      </c>
      <c r="C325" s="7" t="s">
        <v>399</v>
      </c>
      <c r="D325" s="7">
        <v>2008</v>
      </c>
      <c r="E325" s="7">
        <v>72</v>
      </c>
      <c r="F325" s="7" t="s">
        <v>600</v>
      </c>
      <c r="G325" s="7" t="s">
        <v>346</v>
      </c>
      <c r="H325" s="7" t="s">
        <v>607</v>
      </c>
      <c r="K325" s="7" t="s">
        <v>378</v>
      </c>
      <c r="L325" s="7" t="s">
        <v>393</v>
      </c>
      <c r="M325" s="7" t="s">
        <v>359</v>
      </c>
      <c r="N325" s="7" t="s">
        <v>538</v>
      </c>
      <c r="O325" s="7" t="s">
        <v>95</v>
      </c>
      <c r="P325" s="7" t="s">
        <v>401</v>
      </c>
      <c r="Q325" s="7" t="s">
        <v>230</v>
      </c>
      <c r="R325" s="7">
        <v>100</v>
      </c>
      <c r="S325" s="8"/>
      <c r="T325" s="8"/>
      <c r="U325" s="8">
        <v>310</v>
      </c>
      <c r="V325" s="8">
        <v>5</v>
      </c>
      <c r="W325" s="8"/>
    </row>
    <row r="326" spans="1:23" s="7" customFormat="1" x14ac:dyDescent="0.35">
      <c r="A326" s="7" t="s">
        <v>608</v>
      </c>
      <c r="B326" s="7" t="s">
        <v>609</v>
      </c>
      <c r="C326" s="7" t="s">
        <v>560</v>
      </c>
      <c r="D326" s="7">
        <v>2016</v>
      </c>
      <c r="E326" s="7">
        <v>73</v>
      </c>
      <c r="F326" s="7" t="s">
        <v>600</v>
      </c>
      <c r="G326" s="7" t="s">
        <v>11</v>
      </c>
      <c r="H326" s="7" t="s">
        <v>4</v>
      </c>
      <c r="K326" s="7" t="s">
        <v>378</v>
      </c>
      <c r="L326" s="7" t="s">
        <v>574</v>
      </c>
      <c r="M326" s="7" t="s">
        <v>348</v>
      </c>
      <c r="N326" s="7" t="s">
        <v>538</v>
      </c>
      <c r="O326" s="7" t="s">
        <v>373</v>
      </c>
      <c r="P326" s="7" t="s">
        <v>374</v>
      </c>
      <c r="Q326" s="7" t="s">
        <v>230</v>
      </c>
      <c r="R326" s="7">
        <v>0</v>
      </c>
      <c r="S326" s="8">
        <v>0.9</v>
      </c>
      <c r="T326" s="8">
        <v>0</v>
      </c>
      <c r="U326" s="8">
        <v>0</v>
      </c>
      <c r="V326" s="8"/>
      <c r="W326" s="8"/>
    </row>
    <row r="327" spans="1:23" s="7" customFormat="1" x14ac:dyDescent="0.35">
      <c r="A327" s="7" t="s">
        <v>608</v>
      </c>
      <c r="B327" s="7" t="s">
        <v>609</v>
      </c>
      <c r="C327" s="7" t="s">
        <v>560</v>
      </c>
      <c r="D327" s="7">
        <v>2016</v>
      </c>
      <c r="E327" s="7">
        <v>73</v>
      </c>
      <c r="F327" s="7" t="s">
        <v>600</v>
      </c>
      <c r="G327" s="7" t="s">
        <v>11</v>
      </c>
      <c r="H327" s="7" t="s">
        <v>4</v>
      </c>
      <c r="K327" s="7" t="s">
        <v>378</v>
      </c>
      <c r="L327" s="7" t="s">
        <v>574</v>
      </c>
      <c r="M327" s="7" t="s">
        <v>348</v>
      </c>
      <c r="N327" s="7" t="s">
        <v>538</v>
      </c>
      <c r="O327" s="7" t="s">
        <v>373</v>
      </c>
      <c r="P327" s="7" t="s">
        <v>374</v>
      </c>
      <c r="Q327" s="7" t="s">
        <v>230</v>
      </c>
      <c r="R327" s="7">
        <v>36</v>
      </c>
      <c r="S327" s="8">
        <v>0.91</v>
      </c>
      <c r="T327" s="8">
        <v>-40</v>
      </c>
      <c r="U327" s="8">
        <v>18</v>
      </c>
      <c r="V327" s="8"/>
      <c r="W327" s="8"/>
    </row>
    <row r="328" spans="1:23" s="7" customFormat="1" x14ac:dyDescent="0.35">
      <c r="A328" s="7" t="s">
        <v>608</v>
      </c>
      <c r="B328" s="7" t="s">
        <v>609</v>
      </c>
      <c r="C328" s="7" t="s">
        <v>560</v>
      </c>
      <c r="D328" s="7">
        <v>2016</v>
      </c>
      <c r="E328" s="7">
        <v>73</v>
      </c>
      <c r="F328" s="7" t="s">
        <v>600</v>
      </c>
      <c r="G328" s="7" t="s">
        <v>11</v>
      </c>
      <c r="H328" s="7" t="s">
        <v>4</v>
      </c>
      <c r="K328" s="7" t="s">
        <v>378</v>
      </c>
      <c r="L328" s="7" t="s">
        <v>574</v>
      </c>
      <c r="M328" s="7" t="s">
        <v>348</v>
      </c>
      <c r="N328" s="7" t="s">
        <v>538</v>
      </c>
      <c r="O328" s="7" t="s">
        <v>373</v>
      </c>
      <c r="P328" s="7" t="s">
        <v>374</v>
      </c>
      <c r="Q328" s="7" t="s">
        <v>230</v>
      </c>
      <c r="R328" s="7">
        <v>72</v>
      </c>
      <c r="S328" s="8">
        <v>0.99</v>
      </c>
      <c r="T328" s="8">
        <v>-78</v>
      </c>
      <c r="U328" s="8">
        <v>26</v>
      </c>
      <c r="V328" s="8"/>
      <c r="W328" s="8"/>
    </row>
    <row r="329" spans="1:23" s="7" customFormat="1" x14ac:dyDescent="0.35">
      <c r="A329" s="7" t="s">
        <v>610</v>
      </c>
      <c r="B329" s="7" t="s">
        <v>455</v>
      </c>
      <c r="C329" s="7" t="s">
        <v>370</v>
      </c>
      <c r="D329" s="7">
        <v>2017</v>
      </c>
      <c r="E329" s="7">
        <v>74</v>
      </c>
      <c r="F329" s="7" t="s">
        <v>600</v>
      </c>
      <c r="G329" s="7" t="s">
        <v>11</v>
      </c>
      <c r="H329" s="7" t="s">
        <v>30</v>
      </c>
      <c r="K329" s="7" t="s">
        <v>394</v>
      </c>
      <c r="M329" s="7" t="s">
        <v>348</v>
      </c>
      <c r="N329" s="7" t="s">
        <v>31</v>
      </c>
      <c r="O329" s="7" t="s">
        <v>611</v>
      </c>
      <c r="P329" s="7" t="s">
        <v>612</v>
      </c>
      <c r="Q329" s="7" t="s">
        <v>230</v>
      </c>
      <c r="R329" s="7">
        <v>0</v>
      </c>
      <c r="S329" s="8">
        <v>0.74</v>
      </c>
      <c r="T329" s="8"/>
      <c r="U329" s="8">
        <v>0</v>
      </c>
      <c r="V329" s="8"/>
      <c r="W329" s="8"/>
    </row>
    <row r="330" spans="1:23" s="7" customFormat="1" x14ac:dyDescent="0.35">
      <c r="A330" s="7" t="s">
        <v>610</v>
      </c>
      <c r="B330" s="7" t="s">
        <v>455</v>
      </c>
      <c r="C330" s="7" t="s">
        <v>370</v>
      </c>
      <c r="D330" s="7">
        <v>2017</v>
      </c>
      <c r="E330" s="7">
        <v>74</v>
      </c>
      <c r="F330" s="7" t="s">
        <v>600</v>
      </c>
      <c r="G330" s="7" t="s">
        <v>11</v>
      </c>
      <c r="H330" s="7" t="s">
        <v>30</v>
      </c>
      <c r="K330" s="7" t="s">
        <v>394</v>
      </c>
      <c r="M330" s="7" t="s">
        <v>348</v>
      </c>
      <c r="N330" s="7" t="s">
        <v>31</v>
      </c>
      <c r="O330" s="7" t="s">
        <v>611</v>
      </c>
      <c r="P330" s="7" t="s">
        <v>612</v>
      </c>
      <c r="Q330" s="7" t="s">
        <v>230</v>
      </c>
      <c r="R330" s="7">
        <v>10</v>
      </c>
      <c r="S330" s="8">
        <v>0.76</v>
      </c>
      <c r="T330" s="8"/>
      <c r="U330" s="8">
        <v>-4</v>
      </c>
      <c r="V330" s="8"/>
      <c r="W330" s="8"/>
    </row>
    <row r="331" spans="1:23" s="7" customFormat="1" x14ac:dyDescent="0.35">
      <c r="A331" s="7" t="s">
        <v>610</v>
      </c>
      <c r="B331" s="7" t="s">
        <v>455</v>
      </c>
      <c r="C331" s="7" t="s">
        <v>370</v>
      </c>
      <c r="D331" s="7">
        <v>2017</v>
      </c>
      <c r="E331" s="7">
        <v>74</v>
      </c>
      <c r="F331" s="7" t="s">
        <v>600</v>
      </c>
      <c r="G331" s="7" t="s">
        <v>11</v>
      </c>
      <c r="H331" s="7" t="s">
        <v>30</v>
      </c>
      <c r="K331" s="7" t="s">
        <v>394</v>
      </c>
      <c r="M331" s="7" t="s">
        <v>348</v>
      </c>
      <c r="N331" s="7" t="s">
        <v>31</v>
      </c>
      <c r="O331" s="7" t="s">
        <v>611</v>
      </c>
      <c r="P331" s="7" t="s">
        <v>612</v>
      </c>
      <c r="Q331" s="7" t="s">
        <v>230</v>
      </c>
      <c r="R331" s="7">
        <v>15</v>
      </c>
      <c r="S331" s="8">
        <v>0.79</v>
      </c>
      <c r="T331" s="8"/>
      <c r="U331" s="8">
        <v>-6</v>
      </c>
      <c r="V331" s="8"/>
      <c r="W331" s="8"/>
    </row>
    <row r="332" spans="1:23" s="7" customFormat="1" x14ac:dyDescent="0.35">
      <c r="A332" s="7" t="s">
        <v>610</v>
      </c>
      <c r="B332" s="7" t="s">
        <v>455</v>
      </c>
      <c r="C332" s="7" t="s">
        <v>370</v>
      </c>
      <c r="D332" s="7">
        <v>2017</v>
      </c>
      <c r="E332" s="7">
        <v>74</v>
      </c>
      <c r="F332" s="7" t="s">
        <v>600</v>
      </c>
      <c r="G332" s="7" t="s">
        <v>11</v>
      </c>
      <c r="H332" s="7" t="s">
        <v>30</v>
      </c>
      <c r="K332" s="7" t="s">
        <v>394</v>
      </c>
      <c r="M332" s="7" t="s">
        <v>348</v>
      </c>
      <c r="N332" s="7" t="s">
        <v>31</v>
      </c>
      <c r="O332" s="7" t="s">
        <v>611</v>
      </c>
      <c r="P332" s="7" t="s">
        <v>612</v>
      </c>
      <c r="Q332" s="7" t="s">
        <v>230</v>
      </c>
      <c r="R332" s="7">
        <v>20</v>
      </c>
      <c r="S332" s="8">
        <v>0.77</v>
      </c>
      <c r="T332" s="8"/>
      <c r="U332" s="8">
        <v>-8</v>
      </c>
      <c r="V332" s="8"/>
      <c r="W332" s="8"/>
    </row>
    <row r="333" spans="1:23" s="7" customFormat="1" x14ac:dyDescent="0.35">
      <c r="A333" s="7" t="s">
        <v>610</v>
      </c>
      <c r="B333" s="7" t="s">
        <v>455</v>
      </c>
      <c r="C333" s="7" t="s">
        <v>370</v>
      </c>
      <c r="D333" s="7">
        <v>2017</v>
      </c>
      <c r="E333" s="7">
        <v>74</v>
      </c>
      <c r="F333" s="7" t="s">
        <v>600</v>
      </c>
      <c r="G333" s="7" t="s">
        <v>11</v>
      </c>
      <c r="H333" s="7" t="s">
        <v>30</v>
      </c>
      <c r="K333" s="7" t="s">
        <v>394</v>
      </c>
      <c r="M333" s="7" t="s">
        <v>348</v>
      </c>
      <c r="N333" s="7" t="s">
        <v>31</v>
      </c>
      <c r="O333" s="7" t="s">
        <v>611</v>
      </c>
      <c r="P333" s="7" t="s">
        <v>612</v>
      </c>
      <c r="Q333" s="7" t="s">
        <v>230</v>
      </c>
      <c r="R333" s="7">
        <v>25</v>
      </c>
      <c r="S333" s="8">
        <v>0.8</v>
      </c>
      <c r="T333" s="8"/>
      <c r="U333" s="8">
        <v>-10</v>
      </c>
      <c r="V333" s="8"/>
      <c r="W333" s="8"/>
    </row>
    <row r="334" spans="1:23" s="7" customFormat="1" x14ac:dyDescent="0.35">
      <c r="A334" s="7" t="s">
        <v>610</v>
      </c>
      <c r="B334" s="7" t="s">
        <v>455</v>
      </c>
      <c r="C334" s="7" t="s">
        <v>370</v>
      </c>
      <c r="D334" s="7">
        <v>2017</v>
      </c>
      <c r="E334" s="7">
        <v>74</v>
      </c>
      <c r="F334" s="7" t="s">
        <v>600</v>
      </c>
      <c r="G334" s="7" t="s">
        <v>11</v>
      </c>
      <c r="H334" s="7" t="s">
        <v>30</v>
      </c>
      <c r="K334" s="7" t="s">
        <v>394</v>
      </c>
      <c r="M334" s="7" t="s">
        <v>348</v>
      </c>
      <c r="N334" s="7" t="s">
        <v>31</v>
      </c>
      <c r="O334" s="7" t="s">
        <v>611</v>
      </c>
      <c r="P334" s="7" t="s">
        <v>612</v>
      </c>
      <c r="Q334" s="7" t="s">
        <v>230</v>
      </c>
      <c r="R334" s="7">
        <v>30</v>
      </c>
      <c r="S334" s="8">
        <v>0.82</v>
      </c>
      <c r="T334" s="8"/>
      <c r="U334" s="8">
        <v>-12</v>
      </c>
      <c r="V334" s="8"/>
      <c r="W334" s="8"/>
    </row>
    <row r="335" spans="1:23" s="7" customFormat="1" x14ac:dyDescent="0.35">
      <c r="A335" s="7" t="s">
        <v>613</v>
      </c>
      <c r="B335" s="7" t="s">
        <v>614</v>
      </c>
      <c r="C335" s="7" t="s">
        <v>441</v>
      </c>
      <c r="D335" s="7">
        <v>2012</v>
      </c>
      <c r="E335" s="7">
        <v>75</v>
      </c>
      <c r="F335" s="7" t="s">
        <v>600</v>
      </c>
      <c r="G335" s="7" t="s">
        <v>11</v>
      </c>
      <c r="H335" s="7" t="s">
        <v>99</v>
      </c>
      <c r="K335" s="7" t="s">
        <v>394</v>
      </c>
      <c r="M335" s="7" t="s">
        <v>348</v>
      </c>
      <c r="N335" s="7" t="s">
        <v>417</v>
      </c>
      <c r="O335" s="7" t="s">
        <v>103</v>
      </c>
      <c r="P335" s="7" t="s">
        <v>102</v>
      </c>
      <c r="Q335" s="7" t="s">
        <v>230</v>
      </c>
      <c r="R335" s="7">
        <v>0</v>
      </c>
      <c r="S335" s="8">
        <v>1.47</v>
      </c>
      <c r="T335" s="8"/>
      <c r="U335" s="8">
        <v>0</v>
      </c>
      <c r="V335" s="8"/>
      <c r="W335" s="8"/>
    </row>
    <row r="336" spans="1:23" s="7" customFormat="1" x14ac:dyDescent="0.35">
      <c r="A336" s="7" t="s">
        <v>613</v>
      </c>
      <c r="B336" s="7" t="s">
        <v>614</v>
      </c>
      <c r="C336" s="7" t="s">
        <v>441</v>
      </c>
      <c r="D336" s="7">
        <v>2012</v>
      </c>
      <c r="E336" s="7">
        <v>75</v>
      </c>
      <c r="F336" s="7" t="s">
        <v>600</v>
      </c>
      <c r="G336" s="7" t="s">
        <v>11</v>
      </c>
      <c r="H336" s="7" t="s">
        <v>99</v>
      </c>
      <c r="K336" s="7" t="s">
        <v>394</v>
      </c>
      <c r="M336" s="7" t="s">
        <v>348</v>
      </c>
      <c r="N336" s="7" t="s">
        <v>417</v>
      </c>
      <c r="O336" s="7" t="s">
        <v>103</v>
      </c>
      <c r="P336" s="7" t="s">
        <v>102</v>
      </c>
      <c r="Q336" s="7" t="s">
        <v>230</v>
      </c>
      <c r="R336" s="7">
        <v>25</v>
      </c>
      <c r="S336" s="8">
        <v>1.25</v>
      </c>
      <c r="T336" s="8"/>
      <c r="U336" s="8">
        <v>0</v>
      </c>
      <c r="V336" s="8"/>
      <c r="W336" s="8"/>
    </row>
    <row r="337" spans="1:23" s="7" customFormat="1" x14ac:dyDescent="0.35">
      <c r="A337" s="7" t="s">
        <v>613</v>
      </c>
      <c r="B337" s="7" t="s">
        <v>614</v>
      </c>
      <c r="C337" s="7" t="s">
        <v>441</v>
      </c>
      <c r="D337" s="7">
        <v>2012</v>
      </c>
      <c r="E337" s="7">
        <v>75</v>
      </c>
      <c r="F337" s="7" t="s">
        <v>600</v>
      </c>
      <c r="G337" s="7" t="s">
        <v>11</v>
      </c>
      <c r="H337" s="7" t="s">
        <v>99</v>
      </c>
      <c r="K337" s="7" t="s">
        <v>394</v>
      </c>
      <c r="M337" s="7" t="s">
        <v>348</v>
      </c>
      <c r="N337" s="7" t="s">
        <v>417</v>
      </c>
      <c r="O337" s="7" t="s">
        <v>103</v>
      </c>
      <c r="P337" s="7" t="s">
        <v>102</v>
      </c>
      <c r="Q337" s="7" t="s">
        <v>230</v>
      </c>
      <c r="R337" s="7">
        <v>50</v>
      </c>
      <c r="S337" s="8">
        <v>1.36</v>
      </c>
      <c r="T337" s="8"/>
      <c r="U337" s="8">
        <v>0</v>
      </c>
      <c r="V337" s="8"/>
      <c r="W337" s="8"/>
    </row>
    <row r="338" spans="1:23" s="7" customFormat="1" x14ac:dyDescent="0.35">
      <c r="A338" s="7" t="s">
        <v>613</v>
      </c>
      <c r="B338" s="7" t="s">
        <v>614</v>
      </c>
      <c r="C338" s="7" t="s">
        <v>441</v>
      </c>
      <c r="D338" s="7">
        <v>2012</v>
      </c>
      <c r="E338" s="7">
        <v>75</v>
      </c>
      <c r="F338" s="7" t="s">
        <v>600</v>
      </c>
      <c r="G338" s="7" t="s">
        <v>11</v>
      </c>
      <c r="H338" s="7" t="s">
        <v>99</v>
      </c>
      <c r="K338" s="7" t="s">
        <v>394</v>
      </c>
      <c r="M338" s="7" t="s">
        <v>348</v>
      </c>
      <c r="N338" s="7" t="s">
        <v>417</v>
      </c>
      <c r="O338" s="7" t="s">
        <v>103</v>
      </c>
      <c r="P338" s="7" t="s">
        <v>102</v>
      </c>
      <c r="Q338" s="7" t="s">
        <v>230</v>
      </c>
      <c r="R338" s="7">
        <v>75</v>
      </c>
      <c r="S338" s="8">
        <v>1.42</v>
      </c>
      <c r="T338" s="8"/>
      <c r="U338" s="8">
        <v>0</v>
      </c>
      <c r="V338" s="8"/>
      <c r="W338" s="8"/>
    </row>
    <row r="339" spans="1:23" s="7" customFormat="1" x14ac:dyDescent="0.35">
      <c r="A339" s="7" t="s">
        <v>613</v>
      </c>
      <c r="B339" s="7" t="s">
        <v>614</v>
      </c>
      <c r="C339" s="7" t="s">
        <v>441</v>
      </c>
      <c r="D339" s="7">
        <v>2012</v>
      </c>
      <c r="E339" s="7">
        <v>75</v>
      </c>
      <c r="F339" s="7" t="s">
        <v>600</v>
      </c>
      <c r="G339" s="7" t="s">
        <v>11</v>
      </c>
      <c r="H339" s="7" t="s">
        <v>99</v>
      </c>
      <c r="K339" s="7" t="s">
        <v>394</v>
      </c>
      <c r="M339" s="7" t="s">
        <v>348</v>
      </c>
      <c r="N339" s="7" t="s">
        <v>417</v>
      </c>
      <c r="O339" s="7" t="s">
        <v>103</v>
      </c>
      <c r="P339" s="7" t="s">
        <v>102</v>
      </c>
      <c r="Q339" s="7" t="s">
        <v>230</v>
      </c>
      <c r="R339" s="7">
        <v>100</v>
      </c>
      <c r="S339" s="8">
        <v>1.5</v>
      </c>
      <c r="T339" s="8"/>
      <c r="U339" s="8">
        <v>0</v>
      </c>
      <c r="V339" s="8"/>
      <c r="W339" s="8"/>
    </row>
    <row r="340" spans="1:23" s="7" customFormat="1" x14ac:dyDescent="0.35">
      <c r="A340" s="7" t="s">
        <v>615</v>
      </c>
      <c r="B340" s="7" t="s">
        <v>398</v>
      </c>
      <c r="C340" s="7" t="s">
        <v>370</v>
      </c>
      <c r="D340" s="7">
        <v>2015</v>
      </c>
      <c r="E340" s="7">
        <v>76</v>
      </c>
      <c r="F340" s="7" t="s">
        <v>600</v>
      </c>
      <c r="G340" s="7" t="s">
        <v>11</v>
      </c>
      <c r="H340" s="7" t="s">
        <v>99</v>
      </c>
      <c r="K340" s="7" t="s">
        <v>394</v>
      </c>
      <c r="M340" s="7" t="s">
        <v>348</v>
      </c>
      <c r="N340" s="7" t="s">
        <v>106</v>
      </c>
      <c r="O340" s="7" t="s">
        <v>616</v>
      </c>
      <c r="P340" s="9" t="s">
        <v>617</v>
      </c>
      <c r="Q340" s="9" t="s">
        <v>230</v>
      </c>
      <c r="R340" s="7">
        <v>0</v>
      </c>
      <c r="S340" s="8">
        <v>1.41</v>
      </c>
      <c r="T340" s="8"/>
      <c r="U340" s="8">
        <v>0</v>
      </c>
      <c r="V340" s="8"/>
      <c r="W340" s="8"/>
    </row>
    <row r="341" spans="1:23" s="7" customFormat="1" x14ac:dyDescent="0.35">
      <c r="A341" s="7" t="s">
        <v>615</v>
      </c>
      <c r="B341" s="7" t="s">
        <v>398</v>
      </c>
      <c r="C341" s="7" t="s">
        <v>370</v>
      </c>
      <c r="D341" s="7">
        <v>2015</v>
      </c>
      <c r="E341" s="7">
        <v>76</v>
      </c>
      <c r="F341" s="7" t="s">
        <v>600</v>
      </c>
      <c r="G341" s="7" t="s">
        <v>11</v>
      </c>
      <c r="H341" s="7" t="s">
        <v>99</v>
      </c>
      <c r="K341" s="7" t="s">
        <v>394</v>
      </c>
      <c r="M341" s="7" t="s">
        <v>348</v>
      </c>
      <c r="N341" s="7" t="s">
        <v>106</v>
      </c>
      <c r="O341" s="7" t="s">
        <v>616</v>
      </c>
      <c r="P341" s="9" t="s">
        <v>617</v>
      </c>
      <c r="Q341" s="9" t="s">
        <v>230</v>
      </c>
      <c r="R341" s="7">
        <v>50</v>
      </c>
      <c r="S341" s="8">
        <v>1.36</v>
      </c>
      <c r="T341" s="8"/>
      <c r="U341" s="8">
        <v>-1</v>
      </c>
      <c r="V341" s="8"/>
      <c r="W341" s="8"/>
    </row>
    <row r="342" spans="1:23" s="7" customFormat="1" x14ac:dyDescent="0.35">
      <c r="A342" s="7" t="s">
        <v>615</v>
      </c>
      <c r="B342" s="7" t="s">
        <v>398</v>
      </c>
      <c r="C342" s="7" t="s">
        <v>370</v>
      </c>
      <c r="D342" s="7">
        <v>2015</v>
      </c>
      <c r="E342" s="7">
        <v>76</v>
      </c>
      <c r="F342" s="7" t="s">
        <v>600</v>
      </c>
      <c r="G342" s="7" t="s">
        <v>11</v>
      </c>
      <c r="H342" s="7" t="s">
        <v>99</v>
      </c>
      <c r="K342" s="7" t="s">
        <v>394</v>
      </c>
      <c r="M342" s="7" t="s">
        <v>348</v>
      </c>
      <c r="N342" s="7" t="s">
        <v>106</v>
      </c>
      <c r="O342" s="7" t="s">
        <v>616</v>
      </c>
      <c r="P342" s="9" t="s">
        <v>617</v>
      </c>
      <c r="Q342" s="9" t="s">
        <v>230</v>
      </c>
      <c r="R342" s="7">
        <v>60</v>
      </c>
      <c r="S342" s="8">
        <v>1.35</v>
      </c>
      <c r="T342" s="8"/>
      <c r="U342" s="8">
        <v>-1</v>
      </c>
      <c r="V342" s="8"/>
      <c r="W342" s="8"/>
    </row>
    <row r="343" spans="1:23" s="7" customFormat="1" x14ac:dyDescent="0.35">
      <c r="A343" s="7" t="s">
        <v>615</v>
      </c>
      <c r="B343" s="7" t="s">
        <v>398</v>
      </c>
      <c r="C343" s="7" t="s">
        <v>370</v>
      </c>
      <c r="D343" s="7">
        <v>2015</v>
      </c>
      <c r="E343" s="7">
        <v>76</v>
      </c>
      <c r="F343" s="7" t="s">
        <v>600</v>
      </c>
      <c r="G343" s="7" t="s">
        <v>11</v>
      </c>
      <c r="H343" s="7" t="s">
        <v>99</v>
      </c>
      <c r="K343" s="7" t="s">
        <v>394</v>
      </c>
      <c r="M343" s="7" t="s">
        <v>348</v>
      </c>
      <c r="N343" s="7" t="s">
        <v>106</v>
      </c>
      <c r="O343" s="7" t="s">
        <v>616</v>
      </c>
      <c r="P343" s="9" t="s">
        <v>617</v>
      </c>
      <c r="Q343" s="9" t="s">
        <v>230</v>
      </c>
      <c r="R343" s="7">
        <v>70</v>
      </c>
      <c r="S343" s="8">
        <v>1.44</v>
      </c>
      <c r="T343" s="8"/>
      <c r="U343" s="8">
        <v>-1</v>
      </c>
      <c r="V343" s="8"/>
      <c r="W343" s="8"/>
    </row>
    <row r="344" spans="1:23" s="7" customFormat="1" x14ac:dyDescent="0.35">
      <c r="A344" s="7" t="s">
        <v>615</v>
      </c>
      <c r="B344" s="7" t="s">
        <v>398</v>
      </c>
      <c r="C344" s="7" t="s">
        <v>370</v>
      </c>
      <c r="D344" s="7">
        <v>2015</v>
      </c>
      <c r="E344" s="7">
        <v>76</v>
      </c>
      <c r="F344" s="7" t="s">
        <v>600</v>
      </c>
      <c r="G344" s="7" t="s">
        <v>11</v>
      </c>
      <c r="H344" s="7" t="s">
        <v>99</v>
      </c>
      <c r="K344" s="7" t="s">
        <v>394</v>
      </c>
      <c r="M344" s="7" t="s">
        <v>348</v>
      </c>
      <c r="N344" s="7" t="s">
        <v>106</v>
      </c>
      <c r="O344" s="7" t="s">
        <v>616</v>
      </c>
      <c r="P344" s="9" t="s">
        <v>617</v>
      </c>
      <c r="Q344" s="9" t="s">
        <v>230</v>
      </c>
      <c r="R344" s="7">
        <v>80</v>
      </c>
      <c r="S344" s="8">
        <v>1.46</v>
      </c>
      <c r="T344" s="8"/>
      <c r="U344" s="8">
        <v>-1.5</v>
      </c>
      <c r="V344" s="8"/>
      <c r="W344" s="8"/>
    </row>
    <row r="345" spans="1:23" s="7" customFormat="1" x14ac:dyDescent="0.35">
      <c r="A345" s="7" t="s">
        <v>618</v>
      </c>
      <c r="B345" s="7" t="s">
        <v>590</v>
      </c>
      <c r="C345" s="7" t="s">
        <v>441</v>
      </c>
      <c r="D345" s="7">
        <v>2017</v>
      </c>
      <c r="E345" s="7">
        <v>77</v>
      </c>
      <c r="F345" s="7" t="s">
        <v>600</v>
      </c>
      <c r="G345" s="7" t="s">
        <v>11</v>
      </c>
      <c r="H345" s="7" t="s">
        <v>30</v>
      </c>
      <c r="K345" s="7" t="s">
        <v>394</v>
      </c>
      <c r="M345" s="7" t="s">
        <v>348</v>
      </c>
      <c r="N345" s="7" t="s">
        <v>481</v>
      </c>
      <c r="O345" s="7" t="s">
        <v>288</v>
      </c>
      <c r="P345" s="7" t="s">
        <v>482</v>
      </c>
      <c r="Q345" s="9" t="s">
        <v>230</v>
      </c>
      <c r="R345" s="7">
        <v>0</v>
      </c>
      <c r="S345" s="8">
        <v>2</v>
      </c>
      <c r="T345" s="8">
        <v>0</v>
      </c>
      <c r="U345" s="8">
        <v>0</v>
      </c>
      <c r="V345" s="8"/>
      <c r="W345" s="8"/>
    </row>
    <row r="346" spans="1:23" s="7" customFormat="1" x14ac:dyDescent="0.35">
      <c r="A346" s="7" t="s">
        <v>618</v>
      </c>
      <c r="B346" s="7" t="s">
        <v>590</v>
      </c>
      <c r="C346" s="7" t="s">
        <v>441</v>
      </c>
      <c r="D346" s="7">
        <v>2017</v>
      </c>
      <c r="E346" s="7">
        <v>77</v>
      </c>
      <c r="F346" s="7" t="s">
        <v>600</v>
      </c>
      <c r="G346" s="7" t="s">
        <v>11</v>
      </c>
      <c r="H346" s="7" t="s">
        <v>30</v>
      </c>
      <c r="K346" s="7" t="s">
        <v>394</v>
      </c>
      <c r="M346" s="7" t="s">
        <v>348</v>
      </c>
      <c r="N346" s="7" t="s">
        <v>481</v>
      </c>
      <c r="O346" s="7" t="s">
        <v>288</v>
      </c>
      <c r="P346" s="7" t="s">
        <v>482</v>
      </c>
      <c r="Q346" s="9" t="s">
        <v>230</v>
      </c>
      <c r="R346" s="7">
        <v>24</v>
      </c>
      <c r="S346" s="8">
        <v>2.2999999999999998</v>
      </c>
      <c r="T346" s="8">
        <v>-24</v>
      </c>
      <c r="U346" s="8">
        <v>0.5</v>
      </c>
      <c r="V346" s="8"/>
      <c r="W346" s="8"/>
    </row>
    <row r="347" spans="1:23" s="7" customFormat="1" x14ac:dyDescent="0.35">
      <c r="A347" s="7" t="s">
        <v>618</v>
      </c>
      <c r="B347" s="7" t="s">
        <v>590</v>
      </c>
      <c r="C347" s="7" t="s">
        <v>441</v>
      </c>
      <c r="D347" s="7">
        <v>2017</v>
      </c>
      <c r="E347" s="7">
        <v>77</v>
      </c>
      <c r="F347" s="7" t="s">
        <v>600</v>
      </c>
      <c r="G347" s="7" t="s">
        <v>11</v>
      </c>
      <c r="H347" s="7" t="s">
        <v>30</v>
      </c>
      <c r="K347" s="7" t="s">
        <v>394</v>
      </c>
      <c r="M347" s="7" t="s">
        <v>348</v>
      </c>
      <c r="N347" s="7" t="s">
        <v>481</v>
      </c>
      <c r="O347" s="7" t="s">
        <v>288</v>
      </c>
      <c r="P347" s="7" t="s">
        <v>482</v>
      </c>
      <c r="Q347" s="9" t="s">
        <v>230</v>
      </c>
      <c r="R347" s="7">
        <v>50</v>
      </c>
      <c r="S347" s="8">
        <v>2.4</v>
      </c>
      <c r="T347" s="8">
        <v>-47</v>
      </c>
      <c r="U347" s="8">
        <v>1</v>
      </c>
      <c r="V347" s="8"/>
      <c r="W347" s="8"/>
    </row>
    <row r="348" spans="1:23" s="7" customFormat="1" x14ac:dyDescent="0.35">
      <c r="A348" s="7" t="s">
        <v>618</v>
      </c>
      <c r="B348" s="7" t="s">
        <v>590</v>
      </c>
      <c r="C348" s="7" t="s">
        <v>441</v>
      </c>
      <c r="D348" s="7">
        <v>2017</v>
      </c>
      <c r="E348" s="7">
        <v>77</v>
      </c>
      <c r="F348" s="7" t="s">
        <v>600</v>
      </c>
      <c r="G348" s="7" t="s">
        <v>11</v>
      </c>
      <c r="H348" s="7" t="s">
        <v>30</v>
      </c>
      <c r="K348" s="7" t="s">
        <v>394</v>
      </c>
      <c r="M348" s="7" t="s">
        <v>348</v>
      </c>
      <c r="N348" s="7" t="s">
        <v>481</v>
      </c>
      <c r="O348" s="7" t="s">
        <v>288</v>
      </c>
      <c r="P348" s="7" t="s">
        <v>482</v>
      </c>
      <c r="Q348" s="9" t="s">
        <v>230</v>
      </c>
      <c r="R348" s="7">
        <v>75</v>
      </c>
      <c r="S348" s="8">
        <v>3.2</v>
      </c>
      <c r="T348" s="8">
        <v>-70</v>
      </c>
      <c r="U348" s="8">
        <v>1.5</v>
      </c>
      <c r="V348" s="8"/>
      <c r="W348" s="8"/>
    </row>
    <row r="349" spans="1:23" s="7" customFormat="1" x14ac:dyDescent="0.35">
      <c r="A349" s="7" t="s">
        <v>618</v>
      </c>
      <c r="B349" s="7" t="s">
        <v>590</v>
      </c>
      <c r="C349" s="7" t="s">
        <v>441</v>
      </c>
      <c r="D349" s="7">
        <v>2017</v>
      </c>
      <c r="E349" s="7">
        <v>77</v>
      </c>
      <c r="F349" s="7" t="s">
        <v>600</v>
      </c>
      <c r="G349" s="7" t="s">
        <v>11</v>
      </c>
      <c r="H349" s="7" t="s">
        <v>30</v>
      </c>
      <c r="K349" s="7" t="s">
        <v>394</v>
      </c>
      <c r="M349" s="7" t="s">
        <v>348</v>
      </c>
      <c r="N349" s="7" t="s">
        <v>481</v>
      </c>
      <c r="O349" s="7" t="s">
        <v>288</v>
      </c>
      <c r="P349" s="7" t="s">
        <v>482</v>
      </c>
      <c r="Q349" s="9" t="s">
        <v>230</v>
      </c>
      <c r="R349" s="7">
        <v>100</v>
      </c>
      <c r="S349" s="8">
        <v>11.3</v>
      </c>
      <c r="T349" s="8">
        <v>-93</v>
      </c>
      <c r="U349" s="8">
        <v>0</v>
      </c>
      <c r="V349" s="8"/>
      <c r="W349" s="8"/>
    </row>
    <row r="350" spans="1:23" s="7" customFormat="1" x14ac:dyDescent="0.35">
      <c r="A350" s="7" t="s">
        <v>619</v>
      </c>
      <c r="B350" s="7" t="s">
        <v>522</v>
      </c>
      <c r="C350" s="7" t="s">
        <v>517</v>
      </c>
      <c r="D350" s="7">
        <v>2012</v>
      </c>
      <c r="E350" s="7">
        <v>78</v>
      </c>
      <c r="F350" s="7" t="s">
        <v>600</v>
      </c>
      <c r="G350" s="7" t="s">
        <v>11</v>
      </c>
      <c r="H350" s="7" t="s">
        <v>30</v>
      </c>
      <c r="K350" s="7" t="s">
        <v>394</v>
      </c>
      <c r="M350" s="7" t="s">
        <v>348</v>
      </c>
      <c r="N350" s="7" t="s">
        <v>538</v>
      </c>
      <c r="O350" s="7" t="s">
        <v>149</v>
      </c>
      <c r="P350" s="7" t="s">
        <v>148</v>
      </c>
      <c r="Q350" s="9" t="s">
        <v>230</v>
      </c>
      <c r="R350" s="7">
        <v>0</v>
      </c>
      <c r="S350" s="8">
        <v>0.76</v>
      </c>
      <c r="T350" s="8">
        <v>0</v>
      </c>
      <c r="U350" s="7">
        <v>2</v>
      </c>
      <c r="V350" s="8"/>
      <c r="W350" s="8"/>
    </row>
    <row r="351" spans="1:23" s="7" customFormat="1" x14ac:dyDescent="0.35">
      <c r="A351" s="7" t="s">
        <v>619</v>
      </c>
      <c r="B351" s="7" t="s">
        <v>522</v>
      </c>
      <c r="C351" s="7" t="s">
        <v>517</v>
      </c>
      <c r="D351" s="7">
        <v>2012</v>
      </c>
      <c r="E351" s="7">
        <v>78</v>
      </c>
      <c r="F351" s="7" t="s">
        <v>600</v>
      </c>
      <c r="G351" s="7" t="s">
        <v>11</v>
      </c>
      <c r="H351" s="7" t="s">
        <v>30</v>
      </c>
      <c r="K351" s="7" t="s">
        <v>394</v>
      </c>
      <c r="M351" s="7" t="s">
        <v>348</v>
      </c>
      <c r="N351" s="7" t="s">
        <v>538</v>
      </c>
      <c r="O351" s="7" t="s">
        <v>149</v>
      </c>
      <c r="P351" s="7" t="s">
        <v>148</v>
      </c>
      <c r="Q351" s="9" t="s">
        <v>230</v>
      </c>
      <c r="R351" s="7">
        <v>18</v>
      </c>
      <c r="S351" s="8">
        <v>0.76</v>
      </c>
      <c r="T351" s="8">
        <v>-12</v>
      </c>
      <c r="U351" s="8">
        <v>-11</v>
      </c>
      <c r="V351" s="8"/>
      <c r="W351" s="8"/>
    </row>
    <row r="352" spans="1:23" s="7" customFormat="1" x14ac:dyDescent="0.35">
      <c r="A352" s="7" t="s">
        <v>619</v>
      </c>
      <c r="B352" s="7" t="s">
        <v>522</v>
      </c>
      <c r="C352" s="7" t="s">
        <v>517</v>
      </c>
      <c r="D352" s="7">
        <v>2012</v>
      </c>
      <c r="E352" s="7">
        <v>78</v>
      </c>
      <c r="F352" s="7" t="s">
        <v>600</v>
      </c>
      <c r="G352" s="7" t="s">
        <v>11</v>
      </c>
      <c r="H352" s="7" t="s">
        <v>30</v>
      </c>
      <c r="K352" s="7" t="s">
        <v>394</v>
      </c>
      <c r="M352" s="7" t="s">
        <v>348</v>
      </c>
      <c r="N352" s="7" t="s">
        <v>538</v>
      </c>
      <c r="O352" s="7" t="s">
        <v>149</v>
      </c>
      <c r="P352" s="7" t="s">
        <v>148</v>
      </c>
      <c r="Q352" s="9" t="s">
        <v>230</v>
      </c>
      <c r="R352" s="7">
        <v>36</v>
      </c>
      <c r="S352" s="8">
        <v>0.82</v>
      </c>
      <c r="T352" s="8">
        <v>-24</v>
      </c>
      <c r="U352" s="8">
        <v>-28</v>
      </c>
      <c r="V352" s="8"/>
      <c r="W352" s="8"/>
    </row>
    <row r="353" spans="1:23" s="7" customFormat="1" x14ac:dyDescent="0.35">
      <c r="A353" s="7" t="s">
        <v>619</v>
      </c>
      <c r="B353" s="7" t="s">
        <v>522</v>
      </c>
      <c r="C353" s="7" t="s">
        <v>517</v>
      </c>
      <c r="D353" s="7">
        <v>2012</v>
      </c>
      <c r="E353" s="7">
        <v>78</v>
      </c>
      <c r="F353" s="7" t="s">
        <v>600</v>
      </c>
      <c r="G353" s="7" t="s">
        <v>11</v>
      </c>
      <c r="H353" s="7" t="s">
        <v>30</v>
      </c>
      <c r="K353" s="7" t="s">
        <v>394</v>
      </c>
      <c r="M353" s="7" t="s">
        <v>348</v>
      </c>
      <c r="N353" s="7" t="s">
        <v>538</v>
      </c>
      <c r="O353" s="7" t="s">
        <v>149</v>
      </c>
      <c r="P353" s="7" t="s">
        <v>148</v>
      </c>
      <c r="Q353" s="9" t="s">
        <v>230</v>
      </c>
      <c r="R353" s="7">
        <v>52</v>
      </c>
      <c r="S353" s="8">
        <v>0.86</v>
      </c>
      <c r="T353" s="8">
        <v>-35</v>
      </c>
      <c r="U353" s="8">
        <v>-43</v>
      </c>
      <c r="V353" s="8"/>
      <c r="W353" s="8"/>
    </row>
    <row r="354" spans="1:23" s="7" customFormat="1" x14ac:dyDescent="0.35">
      <c r="A354" s="7" t="s">
        <v>619</v>
      </c>
      <c r="B354" s="7" t="s">
        <v>522</v>
      </c>
      <c r="C354" s="7" t="s">
        <v>517</v>
      </c>
      <c r="D354" s="7">
        <v>2012</v>
      </c>
      <c r="E354" s="7">
        <v>78</v>
      </c>
      <c r="F354" s="7" t="s">
        <v>600</v>
      </c>
      <c r="G354" s="7" t="s">
        <v>11</v>
      </c>
      <c r="H354" s="7" t="s">
        <v>30</v>
      </c>
      <c r="K354" s="7" t="s">
        <v>394</v>
      </c>
      <c r="M354" s="7" t="s">
        <v>348</v>
      </c>
      <c r="N354" s="7" t="s">
        <v>538</v>
      </c>
      <c r="O354" s="7" t="s">
        <v>149</v>
      </c>
      <c r="P354" s="7" t="s">
        <v>148</v>
      </c>
      <c r="Q354" s="9" t="s">
        <v>230</v>
      </c>
      <c r="R354" s="7">
        <v>69</v>
      </c>
      <c r="S354" s="8">
        <v>0.98</v>
      </c>
      <c r="T354" s="8">
        <f>--46</f>
        <v>46</v>
      </c>
      <c r="U354" s="8">
        <v>-54</v>
      </c>
      <c r="V354" s="8"/>
      <c r="W354" s="8"/>
    </row>
    <row r="355" spans="1:23" s="7" customFormat="1" x14ac:dyDescent="0.35">
      <c r="A355" s="7" t="s">
        <v>619</v>
      </c>
      <c r="B355" s="7" t="s">
        <v>522</v>
      </c>
      <c r="C355" s="7" t="s">
        <v>517</v>
      </c>
      <c r="D355" s="7">
        <v>2012</v>
      </c>
      <c r="E355" s="7">
        <v>78</v>
      </c>
      <c r="F355" s="7" t="s">
        <v>600</v>
      </c>
      <c r="G355" s="7" t="s">
        <v>11</v>
      </c>
      <c r="H355" s="7" t="s">
        <v>30</v>
      </c>
      <c r="K355" s="7" t="s">
        <v>394</v>
      </c>
      <c r="M355" s="7" t="s">
        <v>348</v>
      </c>
      <c r="N355" s="7" t="s">
        <v>538</v>
      </c>
      <c r="O355" s="7" t="s">
        <v>149</v>
      </c>
      <c r="P355" s="7" t="s">
        <v>148</v>
      </c>
      <c r="Q355" s="9" t="s">
        <v>230</v>
      </c>
      <c r="R355" s="7">
        <v>82</v>
      </c>
      <c r="S355" s="8">
        <v>1.21</v>
      </c>
      <c r="T355" s="8">
        <v>-57</v>
      </c>
      <c r="U355" s="8">
        <v>-58</v>
      </c>
      <c r="V355" s="8"/>
      <c r="W355" s="8"/>
    </row>
    <row r="356" spans="1:23" s="7" customFormat="1" x14ac:dyDescent="0.35">
      <c r="A356" s="7" t="s">
        <v>620</v>
      </c>
      <c r="B356" s="7" t="s">
        <v>621</v>
      </c>
      <c r="C356" s="7" t="s">
        <v>488</v>
      </c>
      <c r="D356" s="7">
        <v>2011</v>
      </c>
      <c r="E356" s="7">
        <v>79</v>
      </c>
      <c r="F356" s="7" t="s">
        <v>345</v>
      </c>
      <c r="G356" s="7" t="s">
        <v>11</v>
      </c>
      <c r="H356" s="7" t="s">
        <v>601</v>
      </c>
      <c r="K356" s="7" t="s">
        <v>394</v>
      </c>
      <c r="M356" s="7" t="s">
        <v>348</v>
      </c>
      <c r="N356" s="7" t="s">
        <v>173</v>
      </c>
      <c r="O356" s="7" t="s">
        <v>622</v>
      </c>
      <c r="P356" s="7" t="s">
        <v>623</v>
      </c>
      <c r="Q356" s="9" t="s">
        <v>520</v>
      </c>
      <c r="R356" s="7">
        <v>0</v>
      </c>
      <c r="S356" s="8">
        <v>1.9</v>
      </c>
      <c r="T356" s="8"/>
      <c r="U356" s="8">
        <v>0</v>
      </c>
      <c r="V356" s="8"/>
      <c r="W356" s="8"/>
    </row>
    <row r="357" spans="1:23" s="7" customFormat="1" x14ac:dyDescent="0.35">
      <c r="A357" s="7" t="s">
        <v>620</v>
      </c>
      <c r="B357" s="7" t="s">
        <v>621</v>
      </c>
      <c r="C357" s="7" t="s">
        <v>488</v>
      </c>
      <c r="D357" s="7">
        <v>2011</v>
      </c>
      <c r="E357" s="7">
        <v>79</v>
      </c>
      <c r="F357" s="7" t="s">
        <v>345</v>
      </c>
      <c r="G357" s="7" t="s">
        <v>11</v>
      </c>
      <c r="H357" s="7" t="s">
        <v>601</v>
      </c>
      <c r="K357" s="7" t="s">
        <v>394</v>
      </c>
      <c r="M357" s="7" t="s">
        <v>348</v>
      </c>
      <c r="N357" s="7" t="s">
        <v>173</v>
      </c>
      <c r="O357" s="7" t="s">
        <v>622</v>
      </c>
      <c r="P357" s="7" t="s">
        <v>623</v>
      </c>
      <c r="Q357" s="9" t="s">
        <v>520</v>
      </c>
      <c r="R357" s="7">
        <v>100</v>
      </c>
      <c r="S357" s="8">
        <v>0.86</v>
      </c>
      <c r="T357" s="8"/>
      <c r="U357" s="8">
        <v>6</v>
      </c>
      <c r="V357" s="8"/>
      <c r="W357" s="8"/>
    </row>
    <row r="358" spans="1:23" s="7" customFormat="1" x14ac:dyDescent="0.35">
      <c r="A358" s="7" t="s">
        <v>620</v>
      </c>
      <c r="B358" s="7" t="s">
        <v>621</v>
      </c>
      <c r="C358" s="7" t="s">
        <v>488</v>
      </c>
      <c r="D358" s="7">
        <v>2011</v>
      </c>
      <c r="E358" s="7">
        <v>79</v>
      </c>
      <c r="F358" s="7" t="s">
        <v>600</v>
      </c>
      <c r="G358" s="7" t="s">
        <v>11</v>
      </c>
      <c r="H358" s="7" t="s">
        <v>645</v>
      </c>
      <c r="K358" s="7" t="s">
        <v>394</v>
      </c>
      <c r="M358" s="7" t="s">
        <v>348</v>
      </c>
      <c r="N358" s="7" t="s">
        <v>173</v>
      </c>
      <c r="O358" s="7" t="s">
        <v>622</v>
      </c>
      <c r="P358" s="7" t="s">
        <v>623</v>
      </c>
      <c r="Q358" s="9" t="s">
        <v>520</v>
      </c>
      <c r="R358" s="7">
        <v>0</v>
      </c>
      <c r="S358" s="8">
        <v>1.9</v>
      </c>
      <c r="T358" s="8"/>
      <c r="U358" s="8">
        <v>0</v>
      </c>
      <c r="V358" s="8"/>
      <c r="W358" s="8"/>
    </row>
    <row r="359" spans="1:23" s="7" customFormat="1" x14ac:dyDescent="0.35">
      <c r="A359" s="7" t="s">
        <v>620</v>
      </c>
      <c r="B359" s="7" t="s">
        <v>621</v>
      </c>
      <c r="C359" s="7" t="s">
        <v>488</v>
      </c>
      <c r="D359" s="7">
        <v>2011</v>
      </c>
      <c r="E359" s="7">
        <v>79</v>
      </c>
      <c r="F359" s="7" t="s">
        <v>600</v>
      </c>
      <c r="G359" s="7" t="s">
        <v>11</v>
      </c>
      <c r="H359" s="7" t="s">
        <v>645</v>
      </c>
      <c r="K359" s="7" t="s">
        <v>394</v>
      </c>
      <c r="M359" s="7" t="s">
        <v>348</v>
      </c>
      <c r="N359" s="7" t="s">
        <v>173</v>
      </c>
      <c r="O359" s="7" t="s">
        <v>622</v>
      </c>
      <c r="P359" s="7" t="s">
        <v>623</v>
      </c>
      <c r="Q359" s="9" t="s">
        <v>520</v>
      </c>
      <c r="R359" s="7">
        <v>100</v>
      </c>
      <c r="S359" s="8">
        <v>1.33</v>
      </c>
      <c r="T359" s="8"/>
      <c r="U359" s="8">
        <v>16</v>
      </c>
      <c r="V359" s="8"/>
      <c r="W359" s="8"/>
    </row>
    <row r="360" spans="1:23" s="7" customFormat="1" x14ac:dyDescent="0.35">
      <c r="A360" s="7" t="s">
        <v>620</v>
      </c>
      <c r="B360" s="7" t="s">
        <v>621</v>
      </c>
      <c r="C360" s="7" t="s">
        <v>488</v>
      </c>
      <c r="D360" s="7">
        <v>2011</v>
      </c>
      <c r="E360" s="7">
        <v>79</v>
      </c>
      <c r="F360" s="7" t="s">
        <v>600</v>
      </c>
      <c r="G360" s="7" t="s">
        <v>454</v>
      </c>
      <c r="H360" s="7" t="s">
        <v>541</v>
      </c>
      <c r="K360" s="7" t="s">
        <v>394</v>
      </c>
      <c r="M360" s="7" t="s">
        <v>348</v>
      </c>
      <c r="N360" s="7" t="s">
        <v>173</v>
      </c>
      <c r="O360" s="7" t="s">
        <v>622</v>
      </c>
      <c r="P360" s="7" t="s">
        <v>623</v>
      </c>
      <c r="Q360" s="9" t="s">
        <v>520</v>
      </c>
      <c r="R360" s="7">
        <v>0</v>
      </c>
      <c r="S360" s="8">
        <v>1.9</v>
      </c>
      <c r="T360" s="8"/>
      <c r="U360" s="8">
        <v>0</v>
      </c>
      <c r="V360" s="8"/>
      <c r="W360" s="8"/>
    </row>
    <row r="361" spans="1:23" s="7" customFormat="1" x14ac:dyDescent="0.35">
      <c r="A361" s="7" t="s">
        <v>620</v>
      </c>
      <c r="B361" s="7" t="s">
        <v>621</v>
      </c>
      <c r="C361" s="7" t="s">
        <v>488</v>
      </c>
      <c r="D361" s="7">
        <v>2011</v>
      </c>
      <c r="E361" s="7">
        <v>79</v>
      </c>
      <c r="F361" s="7" t="s">
        <v>600</v>
      </c>
      <c r="G361" s="7" t="s">
        <v>454</v>
      </c>
      <c r="H361" s="7" t="s">
        <v>541</v>
      </c>
      <c r="K361" s="7" t="s">
        <v>394</v>
      </c>
      <c r="M361" s="7" t="s">
        <v>348</v>
      </c>
      <c r="N361" s="7" t="s">
        <v>173</v>
      </c>
      <c r="O361" s="7" t="s">
        <v>622</v>
      </c>
      <c r="P361" s="7" t="s">
        <v>623</v>
      </c>
      <c r="Q361" s="9" t="s">
        <v>520</v>
      </c>
      <c r="R361" s="7">
        <v>100</v>
      </c>
      <c r="S361" s="8">
        <v>2.2400000000000002</v>
      </c>
      <c r="T361" s="8"/>
      <c r="U361" s="8">
        <v>10</v>
      </c>
      <c r="V361" s="8"/>
      <c r="W361" s="8"/>
    </row>
    <row r="362" spans="1:23" s="7" customFormat="1" x14ac:dyDescent="0.35">
      <c r="A362" s="7" t="s">
        <v>624</v>
      </c>
      <c r="B362" s="7" t="s">
        <v>625</v>
      </c>
      <c r="C362" s="7" t="s">
        <v>545</v>
      </c>
      <c r="D362" s="7">
        <v>2012</v>
      </c>
      <c r="E362" s="7">
        <v>80</v>
      </c>
      <c r="F362" s="7" t="s">
        <v>600</v>
      </c>
      <c r="G362" s="7" t="s">
        <v>11</v>
      </c>
      <c r="H362" s="7" t="s">
        <v>645</v>
      </c>
      <c r="K362" s="7" t="s">
        <v>378</v>
      </c>
      <c r="L362" s="7" t="s">
        <v>574</v>
      </c>
      <c r="M362" s="7" t="s">
        <v>348</v>
      </c>
      <c r="N362" s="7" t="s">
        <v>538</v>
      </c>
      <c r="O362" s="7" t="s">
        <v>626</v>
      </c>
      <c r="P362" s="7" t="s">
        <v>124</v>
      </c>
      <c r="Q362" s="9" t="s">
        <v>230</v>
      </c>
      <c r="R362" s="7">
        <v>0</v>
      </c>
      <c r="S362" s="8">
        <f>1/1.08</f>
        <v>0.92592592592592582</v>
      </c>
      <c r="T362" s="8">
        <v>0</v>
      </c>
      <c r="U362" s="8">
        <v>0</v>
      </c>
      <c r="V362" s="8"/>
      <c r="W362" s="8"/>
    </row>
    <row r="363" spans="1:23" s="7" customFormat="1" x14ac:dyDescent="0.35">
      <c r="A363" s="7" t="s">
        <v>624</v>
      </c>
      <c r="B363" s="7" t="s">
        <v>625</v>
      </c>
      <c r="C363" s="7" t="s">
        <v>545</v>
      </c>
      <c r="D363" s="7">
        <v>2012</v>
      </c>
      <c r="E363" s="7">
        <v>80</v>
      </c>
      <c r="F363" s="7" t="s">
        <v>600</v>
      </c>
      <c r="G363" s="7" t="s">
        <v>11</v>
      </c>
      <c r="H363" s="7" t="s">
        <v>645</v>
      </c>
      <c r="K363" s="7" t="s">
        <v>378</v>
      </c>
      <c r="L363" s="7" t="s">
        <v>574</v>
      </c>
      <c r="M363" s="7" t="s">
        <v>348</v>
      </c>
      <c r="N363" s="7" t="s">
        <v>538</v>
      </c>
      <c r="O363" s="7" t="s">
        <v>626</v>
      </c>
      <c r="P363" s="7" t="s">
        <v>124</v>
      </c>
      <c r="Q363" s="9" t="s">
        <v>230</v>
      </c>
      <c r="R363" s="7">
        <v>10</v>
      </c>
      <c r="S363" s="8">
        <f>1/1.12</f>
        <v>0.89285714285714279</v>
      </c>
      <c r="T363" s="8">
        <v>7</v>
      </c>
      <c r="U363" s="8">
        <v>0.5</v>
      </c>
      <c r="V363" s="8"/>
      <c r="W363" s="8"/>
    </row>
    <row r="364" spans="1:23" s="7" customFormat="1" x14ac:dyDescent="0.35">
      <c r="A364" s="7" t="s">
        <v>624</v>
      </c>
      <c r="B364" s="7" t="s">
        <v>625</v>
      </c>
      <c r="C364" s="7" t="s">
        <v>545</v>
      </c>
      <c r="D364" s="7">
        <v>2012</v>
      </c>
      <c r="E364" s="7">
        <v>80</v>
      </c>
      <c r="F364" s="7" t="s">
        <v>600</v>
      </c>
      <c r="G364" s="7" t="s">
        <v>11</v>
      </c>
      <c r="H364" s="7" t="s">
        <v>645</v>
      </c>
      <c r="K364" s="7" t="s">
        <v>378</v>
      </c>
      <c r="L364" s="7" t="s">
        <v>574</v>
      </c>
      <c r="M364" s="7" t="s">
        <v>348</v>
      </c>
      <c r="N364" s="7" t="s">
        <v>538</v>
      </c>
      <c r="O364" s="7" t="s">
        <v>626</v>
      </c>
      <c r="P364" s="7" t="s">
        <v>124</v>
      </c>
      <c r="Q364" s="9" t="s">
        <v>230</v>
      </c>
      <c r="R364" s="7">
        <v>20</v>
      </c>
      <c r="S364" s="8">
        <f t="shared" ref="S364" si="0">1/1.08</f>
        <v>0.92592592592592582</v>
      </c>
      <c r="T364" s="8">
        <v>13</v>
      </c>
      <c r="U364" s="8">
        <v>1</v>
      </c>
      <c r="V364" s="8"/>
      <c r="W364" s="8"/>
    </row>
    <row r="365" spans="1:23" s="7" customFormat="1" x14ac:dyDescent="0.35">
      <c r="A365" s="7" t="s">
        <v>627</v>
      </c>
      <c r="B365" s="7" t="s">
        <v>522</v>
      </c>
      <c r="C365" s="7" t="s">
        <v>370</v>
      </c>
      <c r="D365" s="7">
        <v>2017</v>
      </c>
      <c r="E365" s="7">
        <v>81</v>
      </c>
      <c r="F365" s="7" t="s">
        <v>600</v>
      </c>
      <c r="G365" s="7" t="s">
        <v>11</v>
      </c>
      <c r="H365" s="7" t="s">
        <v>30</v>
      </c>
      <c r="K365" s="7" t="s">
        <v>394</v>
      </c>
      <c r="M365" s="7" t="s">
        <v>348</v>
      </c>
      <c r="N365" s="7" t="s">
        <v>106</v>
      </c>
      <c r="O365" s="7" t="s">
        <v>616</v>
      </c>
      <c r="P365" s="7" t="s">
        <v>617</v>
      </c>
      <c r="Q365" s="9" t="s">
        <v>230</v>
      </c>
      <c r="R365" s="7">
        <v>0</v>
      </c>
      <c r="S365" s="8">
        <v>1.5</v>
      </c>
      <c r="T365" s="8"/>
      <c r="U365" s="8">
        <v>0</v>
      </c>
      <c r="V365" s="8"/>
      <c r="W365" s="8"/>
    </row>
    <row r="366" spans="1:23" s="7" customFormat="1" x14ac:dyDescent="0.35">
      <c r="A366" s="7" t="s">
        <v>627</v>
      </c>
      <c r="B366" s="7" t="s">
        <v>522</v>
      </c>
      <c r="C366" s="7" t="s">
        <v>370</v>
      </c>
      <c r="D366" s="7">
        <v>2017</v>
      </c>
      <c r="E366" s="7">
        <v>81</v>
      </c>
      <c r="F366" s="7" t="s">
        <v>600</v>
      </c>
      <c r="G366" s="7" t="s">
        <v>11</v>
      </c>
      <c r="H366" s="7" t="s">
        <v>30</v>
      </c>
      <c r="K366" s="7" t="s">
        <v>394</v>
      </c>
      <c r="M366" s="7" t="s">
        <v>348</v>
      </c>
      <c r="N366" s="7" t="s">
        <v>106</v>
      </c>
      <c r="O366" s="7" t="s">
        <v>616</v>
      </c>
      <c r="P366" s="7" t="s">
        <v>617</v>
      </c>
      <c r="Q366" s="9" t="s">
        <v>230</v>
      </c>
      <c r="R366" s="7">
        <v>25</v>
      </c>
      <c r="S366" s="8">
        <v>1.55</v>
      </c>
      <c r="T366" s="8"/>
      <c r="U366" s="8">
        <v>0</v>
      </c>
      <c r="V366" s="8"/>
      <c r="W366" s="8"/>
    </row>
    <row r="367" spans="1:23" s="7" customFormat="1" x14ac:dyDescent="0.35">
      <c r="A367" s="7" t="s">
        <v>627</v>
      </c>
      <c r="B367" s="7" t="s">
        <v>522</v>
      </c>
      <c r="C367" s="7" t="s">
        <v>370</v>
      </c>
      <c r="D367" s="7">
        <v>2017</v>
      </c>
      <c r="E367" s="7">
        <v>81</v>
      </c>
      <c r="F367" s="7" t="s">
        <v>600</v>
      </c>
      <c r="G367" s="7" t="s">
        <v>11</v>
      </c>
      <c r="H367" s="7" t="s">
        <v>30</v>
      </c>
      <c r="K367" s="7" t="s">
        <v>394</v>
      </c>
      <c r="M367" s="7" t="s">
        <v>348</v>
      </c>
      <c r="N367" s="7" t="s">
        <v>106</v>
      </c>
      <c r="O367" s="7" t="s">
        <v>616</v>
      </c>
      <c r="P367" s="7" t="s">
        <v>617</v>
      </c>
      <c r="Q367" s="9" t="s">
        <v>230</v>
      </c>
      <c r="R367" s="7">
        <v>50</v>
      </c>
      <c r="S367" s="8">
        <v>1.59</v>
      </c>
      <c r="T367" s="8"/>
      <c r="U367" s="8">
        <v>0</v>
      </c>
      <c r="V367" s="8"/>
      <c r="W367" s="8"/>
    </row>
    <row r="368" spans="1:23" s="7" customFormat="1" x14ac:dyDescent="0.35">
      <c r="A368" s="7" t="s">
        <v>627</v>
      </c>
      <c r="B368" s="7" t="s">
        <v>522</v>
      </c>
      <c r="C368" s="7" t="s">
        <v>370</v>
      </c>
      <c r="D368" s="7">
        <v>2017</v>
      </c>
      <c r="E368" s="7">
        <v>81</v>
      </c>
      <c r="F368" s="7" t="s">
        <v>600</v>
      </c>
      <c r="G368" s="7" t="s">
        <v>11</v>
      </c>
      <c r="H368" s="7" t="s">
        <v>30</v>
      </c>
      <c r="K368" s="7" t="s">
        <v>394</v>
      </c>
      <c r="M368" s="7" t="s">
        <v>348</v>
      </c>
      <c r="N368" s="7" t="s">
        <v>106</v>
      </c>
      <c r="O368" s="7" t="s">
        <v>616</v>
      </c>
      <c r="P368" s="7" t="s">
        <v>617</v>
      </c>
      <c r="Q368" s="9" t="s">
        <v>230</v>
      </c>
      <c r="R368" s="7">
        <v>75</v>
      </c>
      <c r="S368" s="8">
        <v>1.48</v>
      </c>
      <c r="T368" s="8"/>
      <c r="U368" s="8">
        <v>0</v>
      </c>
      <c r="V368" s="8"/>
      <c r="W368" s="8"/>
    </row>
    <row r="369" spans="1:24" s="7" customFormat="1" x14ac:dyDescent="0.35">
      <c r="A369" s="7" t="s">
        <v>627</v>
      </c>
      <c r="B369" s="7" t="s">
        <v>522</v>
      </c>
      <c r="C369" s="7" t="s">
        <v>370</v>
      </c>
      <c r="D369" s="7">
        <v>2017</v>
      </c>
      <c r="E369" s="7">
        <v>81</v>
      </c>
      <c r="F369" s="7" t="s">
        <v>600</v>
      </c>
      <c r="G369" s="7" t="s">
        <v>11</v>
      </c>
      <c r="H369" s="7" t="s">
        <v>30</v>
      </c>
      <c r="K369" s="7" t="s">
        <v>394</v>
      </c>
      <c r="M369" s="7" t="s">
        <v>348</v>
      </c>
      <c r="N369" s="7" t="s">
        <v>106</v>
      </c>
      <c r="O369" s="7" t="s">
        <v>616</v>
      </c>
      <c r="P369" s="7" t="s">
        <v>617</v>
      </c>
      <c r="Q369" s="9" t="s">
        <v>230</v>
      </c>
      <c r="R369" s="7">
        <v>100</v>
      </c>
      <c r="S369" s="8">
        <v>1.52</v>
      </c>
      <c r="T369" s="8"/>
      <c r="U369" s="8">
        <v>0</v>
      </c>
      <c r="V369" s="8"/>
      <c r="W369" s="8"/>
    </row>
    <row r="370" spans="1:24" s="7" customFormat="1" x14ac:dyDescent="0.35">
      <c r="A370" s="7" t="s">
        <v>628</v>
      </c>
      <c r="B370" s="7" t="s">
        <v>398</v>
      </c>
      <c r="C370" s="7" t="s">
        <v>370</v>
      </c>
      <c r="D370" s="7">
        <v>2017</v>
      </c>
      <c r="E370" s="7">
        <v>82</v>
      </c>
      <c r="F370" s="7" t="s">
        <v>600</v>
      </c>
      <c r="G370" s="7" t="s">
        <v>11</v>
      </c>
      <c r="H370" s="7" t="s">
        <v>596</v>
      </c>
      <c r="K370" s="7" t="s">
        <v>394</v>
      </c>
      <c r="M370" s="7" t="s">
        <v>348</v>
      </c>
      <c r="N370" s="7" t="s">
        <v>481</v>
      </c>
      <c r="O370" s="7" t="s">
        <v>288</v>
      </c>
      <c r="P370" s="7" t="s">
        <v>482</v>
      </c>
      <c r="Q370" s="9" t="s">
        <v>230</v>
      </c>
      <c r="R370" s="7">
        <v>0</v>
      </c>
      <c r="S370" s="8">
        <v>0</v>
      </c>
      <c r="T370" s="8">
        <v>0</v>
      </c>
      <c r="U370" s="8">
        <v>0</v>
      </c>
      <c r="V370" s="8"/>
      <c r="W370" s="8"/>
    </row>
    <row r="371" spans="1:24" s="7" customFormat="1" x14ac:dyDescent="0.35">
      <c r="A371" s="7" t="s">
        <v>628</v>
      </c>
      <c r="B371" s="7" t="s">
        <v>398</v>
      </c>
      <c r="C371" s="7" t="s">
        <v>370</v>
      </c>
      <c r="D371" s="7">
        <v>2017</v>
      </c>
      <c r="E371" s="7">
        <v>82</v>
      </c>
      <c r="F371" s="7" t="s">
        <v>600</v>
      </c>
      <c r="G371" s="7" t="s">
        <v>11</v>
      </c>
      <c r="H371" s="7" t="s">
        <v>596</v>
      </c>
      <c r="K371" s="7" t="s">
        <v>394</v>
      </c>
      <c r="M371" s="7" t="s">
        <v>348</v>
      </c>
      <c r="N371" s="7" t="s">
        <v>481</v>
      </c>
      <c r="O371" s="7" t="s">
        <v>288</v>
      </c>
      <c r="P371" s="7" t="s">
        <v>482</v>
      </c>
      <c r="Q371" s="9" t="s">
        <v>230</v>
      </c>
      <c r="R371" s="7">
        <v>26</v>
      </c>
      <c r="S371" s="8"/>
      <c r="T371" s="8">
        <v>23</v>
      </c>
      <c r="U371" s="8">
        <v>0</v>
      </c>
      <c r="V371" s="8"/>
      <c r="W371" s="8"/>
    </row>
    <row r="372" spans="1:24" s="7" customFormat="1" x14ac:dyDescent="0.35">
      <c r="A372" s="7" t="s">
        <v>628</v>
      </c>
      <c r="B372" s="7" t="s">
        <v>398</v>
      </c>
      <c r="C372" s="7" t="s">
        <v>370</v>
      </c>
      <c r="D372" s="7">
        <v>2017</v>
      </c>
      <c r="E372" s="7">
        <v>82</v>
      </c>
      <c r="F372" s="7" t="s">
        <v>600</v>
      </c>
      <c r="G372" s="7" t="s">
        <v>11</v>
      </c>
      <c r="H372" s="7" t="s">
        <v>596</v>
      </c>
      <c r="K372" s="7" t="s">
        <v>394</v>
      </c>
      <c r="M372" s="7" t="s">
        <v>348</v>
      </c>
      <c r="N372" s="7" t="s">
        <v>481</v>
      </c>
      <c r="O372" s="7" t="s">
        <v>288</v>
      </c>
      <c r="P372" s="7" t="s">
        <v>482</v>
      </c>
      <c r="Q372" s="9" t="s">
        <v>230</v>
      </c>
      <c r="R372" s="7">
        <v>39</v>
      </c>
      <c r="S372" s="8"/>
      <c r="T372" s="8">
        <v>34</v>
      </c>
      <c r="U372" s="8">
        <v>0</v>
      </c>
      <c r="V372" s="8"/>
      <c r="W372" s="8"/>
    </row>
    <row r="373" spans="1:24" s="7" customFormat="1" x14ac:dyDescent="0.35">
      <c r="A373" s="7" t="s">
        <v>628</v>
      </c>
      <c r="B373" s="7" t="s">
        <v>398</v>
      </c>
      <c r="C373" s="7" t="s">
        <v>370</v>
      </c>
      <c r="D373" s="7">
        <v>2017</v>
      </c>
      <c r="E373" s="7">
        <v>82</v>
      </c>
      <c r="F373" s="7" t="s">
        <v>600</v>
      </c>
      <c r="G373" s="7" t="s">
        <v>11</v>
      </c>
      <c r="H373" s="7" t="s">
        <v>596</v>
      </c>
      <c r="K373" s="7" t="s">
        <v>394</v>
      </c>
      <c r="M373" s="7" t="s">
        <v>348</v>
      </c>
      <c r="N373" s="7" t="s">
        <v>481</v>
      </c>
      <c r="O373" s="7" t="s">
        <v>288</v>
      </c>
      <c r="P373" s="7" t="s">
        <v>482</v>
      </c>
      <c r="Q373" s="9" t="s">
        <v>230</v>
      </c>
      <c r="R373" s="7">
        <v>51</v>
      </c>
      <c r="S373" s="8"/>
      <c r="T373" s="8">
        <v>45</v>
      </c>
      <c r="U373" s="8">
        <v>0</v>
      </c>
      <c r="V373" s="8"/>
      <c r="W373" s="8"/>
    </row>
    <row r="374" spans="1:24" s="7" customFormat="1" x14ac:dyDescent="0.35">
      <c r="A374" s="7" t="s">
        <v>628</v>
      </c>
      <c r="B374" s="7" t="s">
        <v>398</v>
      </c>
      <c r="C374" s="7" t="s">
        <v>370</v>
      </c>
      <c r="D374" s="7">
        <v>2017</v>
      </c>
      <c r="E374" s="7">
        <v>82</v>
      </c>
      <c r="F374" s="7" t="s">
        <v>600</v>
      </c>
      <c r="G374" s="7" t="s">
        <v>11</v>
      </c>
      <c r="H374" s="7" t="s">
        <v>596</v>
      </c>
      <c r="K374" s="7" t="s">
        <v>394</v>
      </c>
      <c r="M374" s="7" t="s">
        <v>348</v>
      </c>
      <c r="N374" s="7" t="s">
        <v>481</v>
      </c>
      <c r="O374" s="7" t="s">
        <v>288</v>
      </c>
      <c r="P374" s="7" t="s">
        <v>482</v>
      </c>
      <c r="Q374" s="9" t="s">
        <v>230</v>
      </c>
      <c r="R374" s="7">
        <v>73</v>
      </c>
      <c r="S374" s="8"/>
      <c r="T374" s="8">
        <v>68</v>
      </c>
      <c r="U374" s="8">
        <v>0</v>
      </c>
      <c r="V374" s="8"/>
      <c r="W374" s="8"/>
    </row>
    <row r="375" spans="1:24" s="7" customFormat="1" x14ac:dyDescent="0.35">
      <c r="A375" s="7" t="s">
        <v>629</v>
      </c>
      <c r="B375" s="7" t="s">
        <v>468</v>
      </c>
      <c r="C375" s="7" t="s">
        <v>342</v>
      </c>
      <c r="D375" s="7">
        <v>2016</v>
      </c>
      <c r="E375" s="7">
        <v>83</v>
      </c>
      <c r="F375" s="7" t="s">
        <v>600</v>
      </c>
      <c r="G375" s="7" t="s">
        <v>11</v>
      </c>
      <c r="H375" s="7" t="s">
        <v>30</v>
      </c>
      <c r="K375" s="7" t="s">
        <v>378</v>
      </c>
      <c r="L375" s="7" t="s">
        <v>574</v>
      </c>
      <c r="M375" s="7" t="s">
        <v>348</v>
      </c>
      <c r="N375" s="7" t="s">
        <v>380</v>
      </c>
      <c r="O375" s="7" t="s">
        <v>285</v>
      </c>
      <c r="P375" s="7" t="s">
        <v>349</v>
      </c>
      <c r="Q375" s="9" t="s">
        <v>354</v>
      </c>
      <c r="R375" s="7">
        <v>0</v>
      </c>
      <c r="S375" s="8">
        <v>1.24</v>
      </c>
      <c r="T375" s="8">
        <v>0</v>
      </c>
      <c r="U375" s="8">
        <v>0</v>
      </c>
      <c r="V375" s="8"/>
      <c r="W375" s="8"/>
      <c r="X375" s="7" t="s">
        <v>630</v>
      </c>
    </row>
    <row r="376" spans="1:24" s="7" customFormat="1" x14ac:dyDescent="0.35">
      <c r="A376" s="7" t="s">
        <v>629</v>
      </c>
      <c r="B376" s="7" t="s">
        <v>468</v>
      </c>
      <c r="C376" s="7" t="s">
        <v>342</v>
      </c>
      <c r="D376" s="7">
        <v>2016</v>
      </c>
      <c r="E376" s="7">
        <v>83</v>
      </c>
      <c r="F376" s="7" t="s">
        <v>600</v>
      </c>
      <c r="G376" s="7" t="s">
        <v>11</v>
      </c>
      <c r="H376" s="7" t="s">
        <v>30</v>
      </c>
      <c r="K376" s="7" t="s">
        <v>378</v>
      </c>
      <c r="L376" s="7" t="s">
        <v>574</v>
      </c>
      <c r="M376" s="7" t="s">
        <v>348</v>
      </c>
      <c r="N376" s="7" t="s">
        <v>380</v>
      </c>
      <c r="O376" s="7" t="s">
        <v>285</v>
      </c>
      <c r="P376" s="7" t="s">
        <v>349</v>
      </c>
      <c r="Q376" s="9" t="s">
        <v>354</v>
      </c>
      <c r="R376" s="7">
        <v>25</v>
      </c>
      <c r="S376" s="8">
        <v>1.24</v>
      </c>
      <c r="T376" s="8">
        <v>-0.5</v>
      </c>
      <c r="U376" s="8">
        <v>0</v>
      </c>
      <c r="V376" s="8"/>
      <c r="W376" s="8"/>
    </row>
    <row r="377" spans="1:24" s="7" customFormat="1" x14ac:dyDescent="0.35">
      <c r="A377" s="7" t="s">
        <v>629</v>
      </c>
      <c r="B377" s="7" t="s">
        <v>468</v>
      </c>
      <c r="C377" s="7" t="s">
        <v>342</v>
      </c>
      <c r="D377" s="7">
        <v>2016</v>
      </c>
      <c r="E377" s="7">
        <v>83</v>
      </c>
      <c r="F377" s="7" t="s">
        <v>600</v>
      </c>
      <c r="G377" s="7" t="s">
        <v>11</v>
      </c>
      <c r="H377" s="7" t="s">
        <v>30</v>
      </c>
      <c r="K377" s="7" t="s">
        <v>378</v>
      </c>
      <c r="L377" s="7" t="s">
        <v>574</v>
      </c>
      <c r="M377" s="7" t="s">
        <v>348</v>
      </c>
      <c r="N377" s="7" t="s">
        <v>380</v>
      </c>
      <c r="O377" s="7" t="s">
        <v>285</v>
      </c>
      <c r="P377" s="7" t="s">
        <v>349</v>
      </c>
      <c r="Q377" s="9" t="s">
        <v>354</v>
      </c>
      <c r="R377" s="7">
        <v>50</v>
      </c>
      <c r="S377" s="8">
        <v>1.1599999999999999</v>
      </c>
      <c r="T377" s="8">
        <v>0</v>
      </c>
      <c r="U377" s="8">
        <v>0</v>
      </c>
      <c r="V377" s="8"/>
      <c r="W377" s="8"/>
    </row>
    <row r="378" spans="1:24" s="7" customFormat="1" x14ac:dyDescent="0.35">
      <c r="A378" s="7" t="s">
        <v>629</v>
      </c>
      <c r="B378" s="7" t="s">
        <v>468</v>
      </c>
      <c r="C378" s="7" t="s">
        <v>342</v>
      </c>
      <c r="D378" s="7">
        <v>2016</v>
      </c>
      <c r="E378" s="7">
        <v>83</v>
      </c>
      <c r="F378" s="7" t="s">
        <v>600</v>
      </c>
      <c r="G378" s="7" t="s">
        <v>11</v>
      </c>
      <c r="H378" s="7" t="s">
        <v>30</v>
      </c>
      <c r="K378" s="7" t="s">
        <v>378</v>
      </c>
      <c r="L378" s="7" t="s">
        <v>574</v>
      </c>
      <c r="M378" s="7" t="s">
        <v>348</v>
      </c>
      <c r="N378" s="7" t="s">
        <v>380</v>
      </c>
      <c r="O378" s="7" t="s">
        <v>285</v>
      </c>
      <c r="P378" s="7" t="s">
        <v>349</v>
      </c>
      <c r="Q378" s="9" t="s">
        <v>354</v>
      </c>
      <c r="R378" s="7">
        <v>100</v>
      </c>
      <c r="S378" s="8">
        <v>1.1399999999999999</v>
      </c>
      <c r="T378" s="8">
        <v>-16</v>
      </c>
      <c r="U378" s="8">
        <v>-4</v>
      </c>
      <c r="V378" s="8"/>
      <c r="W378" s="8"/>
    </row>
    <row r="379" spans="1:24" s="7" customFormat="1" x14ac:dyDescent="0.35">
      <c r="A379" s="7" t="s">
        <v>629</v>
      </c>
      <c r="B379" s="7" t="s">
        <v>468</v>
      </c>
      <c r="C379" s="7" t="s">
        <v>342</v>
      </c>
      <c r="D379" s="7">
        <v>2016</v>
      </c>
      <c r="E379" s="7">
        <v>83</v>
      </c>
      <c r="F379" s="7" t="s">
        <v>600</v>
      </c>
      <c r="G379" s="7" t="s">
        <v>11</v>
      </c>
      <c r="H379" s="7" t="s">
        <v>30</v>
      </c>
      <c r="K379" s="7" t="s">
        <v>378</v>
      </c>
      <c r="L379" s="7" t="s">
        <v>574</v>
      </c>
      <c r="M379" s="7" t="s">
        <v>348</v>
      </c>
      <c r="N379" s="7" t="s">
        <v>380</v>
      </c>
      <c r="O379" s="7" t="s">
        <v>285</v>
      </c>
      <c r="P379" s="7" t="s">
        <v>349</v>
      </c>
      <c r="Q379" s="9" t="s">
        <v>354</v>
      </c>
      <c r="R379" s="7">
        <v>25</v>
      </c>
      <c r="S379" s="8">
        <v>1.25</v>
      </c>
      <c r="T379" s="8">
        <v>-1</v>
      </c>
      <c r="U379" s="8">
        <v>0</v>
      </c>
      <c r="V379" s="8"/>
      <c r="W379" s="8"/>
    </row>
    <row r="380" spans="1:24" s="7" customFormat="1" x14ac:dyDescent="0.35">
      <c r="A380" s="7" t="s">
        <v>629</v>
      </c>
      <c r="B380" s="7" t="s">
        <v>468</v>
      </c>
      <c r="C380" s="7" t="s">
        <v>342</v>
      </c>
      <c r="D380" s="7">
        <v>2016</v>
      </c>
      <c r="E380" s="7">
        <v>83</v>
      </c>
      <c r="F380" s="7" t="s">
        <v>600</v>
      </c>
      <c r="G380" s="7" t="s">
        <v>11</v>
      </c>
      <c r="H380" s="7" t="s">
        <v>30</v>
      </c>
      <c r="K380" s="7" t="s">
        <v>378</v>
      </c>
      <c r="L380" s="7" t="s">
        <v>574</v>
      </c>
      <c r="M380" s="7" t="s">
        <v>348</v>
      </c>
      <c r="N380" s="7" t="s">
        <v>380</v>
      </c>
      <c r="O380" s="7" t="s">
        <v>285</v>
      </c>
      <c r="P380" s="7" t="s">
        <v>349</v>
      </c>
      <c r="Q380" s="9" t="s">
        <v>354</v>
      </c>
      <c r="R380" s="7">
        <v>100</v>
      </c>
      <c r="S380" s="8">
        <v>1.1399999999999999</v>
      </c>
      <c r="T380" s="8">
        <v>-6</v>
      </c>
      <c r="U380" s="8">
        <v>-7</v>
      </c>
      <c r="V380" s="8"/>
      <c r="W380" s="8"/>
    </row>
    <row r="381" spans="1:24" s="7" customFormat="1" x14ac:dyDescent="0.35">
      <c r="A381" s="7" t="s">
        <v>631</v>
      </c>
      <c r="B381" s="7" t="s">
        <v>522</v>
      </c>
      <c r="C381" s="7" t="s">
        <v>415</v>
      </c>
      <c r="D381" s="7">
        <v>2017</v>
      </c>
      <c r="E381" s="7">
        <v>84</v>
      </c>
      <c r="F381" s="7" t="s">
        <v>600</v>
      </c>
      <c r="G381" s="7" t="s">
        <v>11</v>
      </c>
      <c r="H381" s="7" t="s">
        <v>30</v>
      </c>
      <c r="K381" s="7" t="s">
        <v>378</v>
      </c>
      <c r="L381" s="7" t="s">
        <v>393</v>
      </c>
      <c r="M381" s="7" t="s">
        <v>348</v>
      </c>
      <c r="N381" s="7" t="s">
        <v>538</v>
      </c>
      <c r="O381" s="7" t="s">
        <v>373</v>
      </c>
      <c r="P381" s="7" t="s">
        <v>374</v>
      </c>
      <c r="Q381" s="9" t="s">
        <v>632</v>
      </c>
      <c r="R381" s="7">
        <v>0</v>
      </c>
      <c r="S381" s="8">
        <f>1/0.61</f>
        <v>1.639344262295082</v>
      </c>
      <c r="T381" s="8">
        <v>0</v>
      </c>
      <c r="U381" s="8">
        <v>0</v>
      </c>
      <c r="V381" s="8"/>
      <c r="W381" s="8"/>
    </row>
    <row r="382" spans="1:24" s="7" customFormat="1" x14ac:dyDescent="0.35">
      <c r="A382" s="7" t="s">
        <v>631</v>
      </c>
      <c r="B382" s="7" t="s">
        <v>522</v>
      </c>
      <c r="C382" s="7" t="s">
        <v>415</v>
      </c>
      <c r="D382" s="7">
        <v>2017</v>
      </c>
      <c r="E382" s="7">
        <v>84</v>
      </c>
      <c r="F382" s="7" t="s">
        <v>600</v>
      </c>
      <c r="G382" s="7" t="s">
        <v>11</v>
      </c>
      <c r="H382" s="7" t="s">
        <v>30</v>
      </c>
      <c r="K382" s="7" t="s">
        <v>378</v>
      </c>
      <c r="L382" s="7" t="s">
        <v>393</v>
      </c>
      <c r="M382" s="7" t="s">
        <v>348</v>
      </c>
      <c r="N382" s="7" t="s">
        <v>538</v>
      </c>
      <c r="O382" s="7" t="s">
        <v>373</v>
      </c>
      <c r="P382" s="7" t="s">
        <v>374</v>
      </c>
      <c r="Q382" s="9" t="s">
        <v>632</v>
      </c>
      <c r="R382" s="7">
        <v>15</v>
      </c>
      <c r="S382" s="8">
        <f t="shared" ref="S382:S383" si="1">1/0.61</f>
        <v>1.639344262295082</v>
      </c>
      <c r="T382" s="8">
        <v>2</v>
      </c>
      <c r="U382" s="8">
        <v>-4</v>
      </c>
      <c r="V382" s="8"/>
      <c r="W382" s="8"/>
    </row>
    <row r="383" spans="1:24" s="7" customFormat="1" x14ac:dyDescent="0.35">
      <c r="A383" s="7" t="s">
        <v>631</v>
      </c>
      <c r="B383" s="7" t="s">
        <v>522</v>
      </c>
      <c r="C383" s="7" t="s">
        <v>415</v>
      </c>
      <c r="D383" s="7">
        <v>2017</v>
      </c>
      <c r="E383" s="7">
        <v>84</v>
      </c>
      <c r="F383" s="7" t="s">
        <v>600</v>
      </c>
      <c r="G383" s="7" t="s">
        <v>11</v>
      </c>
      <c r="H383" s="7" t="s">
        <v>30</v>
      </c>
      <c r="K383" s="7" t="s">
        <v>378</v>
      </c>
      <c r="L383" s="7" t="s">
        <v>393</v>
      </c>
      <c r="M383" s="7" t="s">
        <v>348</v>
      </c>
      <c r="N383" s="7" t="s">
        <v>538</v>
      </c>
      <c r="O383" s="7" t="s">
        <v>373</v>
      </c>
      <c r="P383" s="7" t="s">
        <v>374</v>
      </c>
      <c r="Q383" s="9" t="s">
        <v>632</v>
      </c>
      <c r="R383" s="7">
        <v>30</v>
      </c>
      <c r="S383" s="8">
        <f t="shared" si="1"/>
        <v>1.639344262295082</v>
      </c>
      <c r="T383" s="8">
        <v>5</v>
      </c>
      <c r="U383" s="8">
        <v>-8</v>
      </c>
      <c r="V383" s="8"/>
      <c r="W383" s="8"/>
    </row>
    <row r="384" spans="1:24" s="7" customFormat="1" x14ac:dyDescent="0.35">
      <c r="A384" s="7" t="s">
        <v>631</v>
      </c>
      <c r="B384" s="7" t="s">
        <v>522</v>
      </c>
      <c r="C384" s="7" t="s">
        <v>415</v>
      </c>
      <c r="D384" s="7">
        <v>2017</v>
      </c>
      <c r="E384" s="7">
        <v>84</v>
      </c>
      <c r="F384" s="7" t="s">
        <v>600</v>
      </c>
      <c r="G384" s="7" t="s">
        <v>11</v>
      </c>
      <c r="H384" s="7" t="s">
        <v>30</v>
      </c>
      <c r="K384" s="7" t="s">
        <v>378</v>
      </c>
      <c r="L384" s="7" t="s">
        <v>393</v>
      </c>
      <c r="M384" s="7" t="s">
        <v>348</v>
      </c>
      <c r="N384" s="7" t="s">
        <v>538</v>
      </c>
      <c r="O384" s="7" t="s">
        <v>373</v>
      </c>
      <c r="P384" s="7" t="s">
        <v>374</v>
      </c>
      <c r="Q384" s="9" t="s">
        <v>632</v>
      </c>
      <c r="R384" s="7">
        <v>45</v>
      </c>
      <c r="S384" s="8">
        <f>1/0.62</f>
        <v>1.6129032258064517</v>
      </c>
      <c r="T384" s="8">
        <v>6</v>
      </c>
      <c r="U384" s="8">
        <v>-12</v>
      </c>
      <c r="V384" s="8"/>
      <c r="W384" s="8"/>
    </row>
    <row r="385" spans="1:23" s="7" customFormat="1" x14ac:dyDescent="0.35">
      <c r="A385" s="7" t="s">
        <v>633</v>
      </c>
      <c r="B385" s="7" t="s">
        <v>398</v>
      </c>
      <c r="C385" s="7" t="s">
        <v>441</v>
      </c>
      <c r="D385" s="7">
        <v>2001</v>
      </c>
      <c r="E385" s="7">
        <v>85</v>
      </c>
      <c r="F385" s="7" t="s">
        <v>600</v>
      </c>
      <c r="G385" s="7" t="s">
        <v>11</v>
      </c>
      <c r="H385" s="7" t="s">
        <v>4</v>
      </c>
      <c r="K385" s="7" t="s">
        <v>394</v>
      </c>
      <c r="M385" s="7" t="s">
        <v>348</v>
      </c>
      <c r="N385" s="7" t="s">
        <v>31</v>
      </c>
      <c r="O385" s="7" t="s">
        <v>32</v>
      </c>
      <c r="P385" s="7" t="s">
        <v>405</v>
      </c>
      <c r="Q385" s="9" t="s">
        <v>229</v>
      </c>
      <c r="R385" s="7">
        <v>0</v>
      </c>
      <c r="S385" s="8">
        <f>1/1.31</f>
        <v>0.76335877862595414</v>
      </c>
      <c r="T385" s="8">
        <v>0</v>
      </c>
      <c r="U385" s="8">
        <v>0</v>
      </c>
      <c r="V385" s="8"/>
      <c r="W385" s="8"/>
    </row>
    <row r="386" spans="1:23" s="7" customFormat="1" x14ac:dyDescent="0.35">
      <c r="A386" s="7" t="s">
        <v>633</v>
      </c>
      <c r="B386" s="7" t="s">
        <v>398</v>
      </c>
      <c r="C386" s="7" t="s">
        <v>441</v>
      </c>
      <c r="D386" s="7">
        <v>2001</v>
      </c>
      <c r="E386" s="7">
        <v>85</v>
      </c>
      <c r="F386" s="7" t="s">
        <v>600</v>
      </c>
      <c r="G386" s="7" t="s">
        <v>11</v>
      </c>
      <c r="H386" s="7" t="s">
        <v>4</v>
      </c>
      <c r="K386" s="7" t="s">
        <v>394</v>
      </c>
      <c r="M386" s="7" t="s">
        <v>348</v>
      </c>
      <c r="N386" s="7" t="s">
        <v>31</v>
      </c>
      <c r="O386" s="7" t="s">
        <v>32</v>
      </c>
      <c r="P386" s="7" t="s">
        <v>405</v>
      </c>
      <c r="Q386" s="9" t="s">
        <v>229</v>
      </c>
      <c r="R386" s="7">
        <v>20</v>
      </c>
      <c r="S386" s="8">
        <f>1/1.33</f>
        <v>0.75187969924812026</v>
      </c>
      <c r="T386" s="8">
        <v>-20</v>
      </c>
      <c r="U386" s="8">
        <v>-0.5</v>
      </c>
      <c r="V386" s="8"/>
      <c r="W386" s="8"/>
    </row>
    <row r="387" spans="1:23" s="7" customFormat="1" x14ac:dyDescent="0.35">
      <c r="A387" s="7" t="s">
        <v>633</v>
      </c>
      <c r="B387" s="7" t="s">
        <v>398</v>
      </c>
      <c r="C387" s="7" t="s">
        <v>441</v>
      </c>
      <c r="D387" s="7">
        <v>2001</v>
      </c>
      <c r="E387" s="7">
        <v>85</v>
      </c>
      <c r="F387" s="7" t="s">
        <v>600</v>
      </c>
      <c r="G387" s="7" t="s">
        <v>11</v>
      </c>
      <c r="H387" s="7" t="s">
        <v>4</v>
      </c>
      <c r="K387" s="7" t="s">
        <v>394</v>
      </c>
      <c r="M387" s="7" t="s">
        <v>348</v>
      </c>
      <c r="N387" s="7" t="s">
        <v>31</v>
      </c>
      <c r="O387" s="7" t="s">
        <v>32</v>
      </c>
      <c r="P387" s="7" t="s">
        <v>405</v>
      </c>
      <c r="Q387" s="9" t="s">
        <v>229</v>
      </c>
      <c r="R387" s="7">
        <v>40</v>
      </c>
      <c r="S387" s="8">
        <f>1/1.19</f>
        <v>0.84033613445378152</v>
      </c>
      <c r="T387" s="8">
        <v>-40</v>
      </c>
      <c r="U387" s="8">
        <v>-1</v>
      </c>
      <c r="V387" s="8"/>
      <c r="W387" s="8"/>
    </row>
    <row r="388" spans="1:23" s="7" customFormat="1" x14ac:dyDescent="0.35">
      <c r="A388" s="7" t="s">
        <v>633</v>
      </c>
      <c r="B388" s="7" t="s">
        <v>398</v>
      </c>
      <c r="C388" s="7" t="s">
        <v>441</v>
      </c>
      <c r="D388" s="7">
        <v>2001</v>
      </c>
      <c r="E388" s="7">
        <v>85</v>
      </c>
      <c r="F388" s="7" t="s">
        <v>600</v>
      </c>
      <c r="G388" s="7" t="s">
        <v>11</v>
      </c>
      <c r="H388" s="7" t="s">
        <v>4</v>
      </c>
      <c r="K388" s="7" t="s">
        <v>394</v>
      </c>
      <c r="M388" s="7" t="s">
        <v>348</v>
      </c>
      <c r="N388" s="7" t="s">
        <v>31</v>
      </c>
      <c r="O388" s="7" t="s">
        <v>32</v>
      </c>
      <c r="P388" s="7" t="s">
        <v>405</v>
      </c>
      <c r="Q388" s="9" t="s">
        <v>229</v>
      </c>
      <c r="R388" s="7">
        <v>60</v>
      </c>
      <c r="S388" s="8">
        <f>1/1.02</f>
        <v>0.98039215686274506</v>
      </c>
      <c r="T388" s="8">
        <v>-60</v>
      </c>
      <c r="U388" s="8">
        <v>-1</v>
      </c>
      <c r="V388" s="8"/>
      <c r="W388" s="8"/>
    </row>
    <row r="389" spans="1:23" s="7" customFormat="1" x14ac:dyDescent="0.35">
      <c r="A389" s="7" t="s">
        <v>633</v>
      </c>
      <c r="B389" s="7" t="s">
        <v>398</v>
      </c>
      <c r="C389" s="7" t="s">
        <v>441</v>
      </c>
      <c r="D389" s="7">
        <v>2001</v>
      </c>
      <c r="E389" s="7">
        <v>85</v>
      </c>
      <c r="F389" s="7" t="s">
        <v>600</v>
      </c>
      <c r="G389" s="7" t="s">
        <v>11</v>
      </c>
      <c r="H389" s="7" t="s">
        <v>4</v>
      </c>
      <c r="K389" s="7" t="s">
        <v>394</v>
      </c>
      <c r="M389" s="7" t="s">
        <v>348</v>
      </c>
      <c r="N389" s="7" t="s">
        <v>31</v>
      </c>
      <c r="O389" s="7" t="s">
        <v>32</v>
      </c>
      <c r="P389" s="7" t="s">
        <v>405</v>
      </c>
      <c r="Q389" s="9" t="s">
        <v>229</v>
      </c>
      <c r="R389" s="7">
        <v>80</v>
      </c>
      <c r="S389" s="8">
        <f>1/1.12</f>
        <v>0.89285714285714279</v>
      </c>
      <c r="T389" s="8">
        <v>-78</v>
      </c>
      <c r="U389" s="8">
        <v>-1</v>
      </c>
      <c r="V389" s="8"/>
      <c r="W389" s="8"/>
    </row>
    <row r="390" spans="1:23" s="7" customFormat="1" x14ac:dyDescent="0.35">
      <c r="A390" s="7" t="s">
        <v>633</v>
      </c>
      <c r="B390" s="7" t="s">
        <v>398</v>
      </c>
      <c r="C390" s="7" t="s">
        <v>441</v>
      </c>
      <c r="D390" s="7">
        <v>2001</v>
      </c>
      <c r="E390" s="7">
        <v>85</v>
      </c>
      <c r="F390" s="7" t="s">
        <v>600</v>
      </c>
      <c r="G390" s="7" t="s">
        <v>11</v>
      </c>
      <c r="H390" s="7" t="s">
        <v>4</v>
      </c>
      <c r="K390" s="7" t="s">
        <v>394</v>
      </c>
      <c r="M390" s="7" t="s">
        <v>348</v>
      </c>
      <c r="N390" s="7" t="s">
        <v>31</v>
      </c>
      <c r="O390" s="7" t="s">
        <v>32</v>
      </c>
      <c r="P390" s="7" t="s">
        <v>405</v>
      </c>
      <c r="Q390" s="9" t="s">
        <v>229</v>
      </c>
      <c r="R390" s="7">
        <v>100</v>
      </c>
      <c r="S390" s="8">
        <f>1/0.89</f>
        <v>1.1235955056179776</v>
      </c>
      <c r="T390" s="8">
        <v>-97</v>
      </c>
      <c r="U390" s="8">
        <v>-1.5</v>
      </c>
      <c r="V390" s="8"/>
      <c r="W390" s="8"/>
    </row>
    <row r="391" spans="1:23" s="7" customFormat="1" x14ac:dyDescent="0.35">
      <c r="A391" s="7" t="s">
        <v>635</v>
      </c>
      <c r="C391" s="7" t="s">
        <v>573</v>
      </c>
      <c r="D391" s="7">
        <v>2005</v>
      </c>
      <c r="E391" s="7">
        <v>86</v>
      </c>
      <c r="F391" s="7" t="s">
        <v>600</v>
      </c>
      <c r="G391" s="7" t="s">
        <v>11</v>
      </c>
      <c r="H391" s="7" t="s">
        <v>634</v>
      </c>
      <c r="K391" s="7" t="s">
        <v>394</v>
      </c>
      <c r="M391" s="7" t="s">
        <v>348</v>
      </c>
      <c r="N391" s="7" t="s">
        <v>31</v>
      </c>
      <c r="O391" s="7" t="s">
        <v>32</v>
      </c>
      <c r="P391" s="7" t="s">
        <v>405</v>
      </c>
      <c r="Q391" s="9" t="s">
        <v>229</v>
      </c>
      <c r="R391" s="7">
        <v>0</v>
      </c>
      <c r="S391" s="8">
        <v>0.45</v>
      </c>
      <c r="T391" s="8"/>
      <c r="U391" s="8">
        <v>0</v>
      </c>
      <c r="V391" s="8"/>
      <c r="W391" s="8"/>
    </row>
    <row r="392" spans="1:23" s="7" customFormat="1" x14ac:dyDescent="0.35">
      <c r="A392" s="7" t="s">
        <v>635</v>
      </c>
      <c r="C392" s="7" t="s">
        <v>573</v>
      </c>
      <c r="D392" s="7">
        <v>2005</v>
      </c>
      <c r="E392" s="7">
        <v>86</v>
      </c>
      <c r="F392" s="7" t="s">
        <v>600</v>
      </c>
      <c r="G392" s="7" t="s">
        <v>11</v>
      </c>
      <c r="H392" s="7" t="s">
        <v>634</v>
      </c>
      <c r="K392" s="7" t="s">
        <v>394</v>
      </c>
      <c r="M392" s="7" t="s">
        <v>348</v>
      </c>
      <c r="N392" s="7" t="s">
        <v>31</v>
      </c>
      <c r="O392" s="7" t="s">
        <v>32</v>
      </c>
      <c r="P392" s="7" t="s">
        <v>405</v>
      </c>
      <c r="Q392" s="9" t="s">
        <v>229</v>
      </c>
      <c r="R392" s="7">
        <v>25</v>
      </c>
      <c r="S392" s="8">
        <v>0.35</v>
      </c>
      <c r="T392" s="8"/>
      <c r="U392" s="8">
        <v>0</v>
      </c>
      <c r="V392" s="8"/>
      <c r="W392" s="8"/>
    </row>
    <row r="393" spans="1:23" s="7" customFormat="1" x14ac:dyDescent="0.35">
      <c r="A393" s="7" t="s">
        <v>635</v>
      </c>
      <c r="C393" s="7" t="s">
        <v>573</v>
      </c>
      <c r="D393" s="7">
        <v>2005</v>
      </c>
      <c r="E393" s="7">
        <v>86</v>
      </c>
      <c r="F393" s="7" t="s">
        <v>600</v>
      </c>
      <c r="G393" s="7" t="s">
        <v>11</v>
      </c>
      <c r="H393" s="7" t="s">
        <v>634</v>
      </c>
      <c r="K393" s="7" t="s">
        <v>394</v>
      </c>
      <c r="M393" s="7" t="s">
        <v>348</v>
      </c>
      <c r="N393" s="7" t="s">
        <v>31</v>
      </c>
      <c r="O393" s="7" t="s">
        <v>32</v>
      </c>
      <c r="P393" s="7" t="s">
        <v>405</v>
      </c>
      <c r="Q393" s="9" t="s">
        <v>229</v>
      </c>
      <c r="R393" s="7">
        <v>37.5</v>
      </c>
      <c r="S393" s="8">
        <v>0.45</v>
      </c>
      <c r="T393" s="8"/>
      <c r="U393" s="8">
        <v>0</v>
      </c>
      <c r="V393" s="8"/>
      <c r="W393" s="8"/>
    </row>
    <row r="394" spans="1:23" s="7" customFormat="1" x14ac:dyDescent="0.35">
      <c r="A394" s="7" t="s">
        <v>635</v>
      </c>
      <c r="C394" s="7" t="s">
        <v>573</v>
      </c>
      <c r="D394" s="7">
        <v>2005</v>
      </c>
      <c r="E394" s="7">
        <v>86</v>
      </c>
      <c r="F394" s="7" t="s">
        <v>600</v>
      </c>
      <c r="G394" s="7" t="s">
        <v>11</v>
      </c>
      <c r="H394" s="7" t="s">
        <v>634</v>
      </c>
      <c r="K394" s="7" t="s">
        <v>394</v>
      </c>
      <c r="M394" s="7" t="s">
        <v>348</v>
      </c>
      <c r="N394" s="7" t="s">
        <v>31</v>
      </c>
      <c r="O394" s="7" t="s">
        <v>32</v>
      </c>
      <c r="P394" s="7" t="s">
        <v>405</v>
      </c>
      <c r="Q394" s="9" t="s">
        <v>229</v>
      </c>
      <c r="R394" s="7">
        <v>50</v>
      </c>
      <c r="S394" s="8">
        <v>0.45</v>
      </c>
      <c r="T394" s="8"/>
      <c r="U394" s="8">
        <v>0</v>
      </c>
      <c r="V394" s="8"/>
      <c r="W394" s="8"/>
    </row>
    <row r="395" spans="1:23" s="7" customFormat="1" x14ac:dyDescent="0.35">
      <c r="A395" s="7" t="s">
        <v>635</v>
      </c>
      <c r="C395" s="7" t="s">
        <v>573</v>
      </c>
      <c r="D395" s="7">
        <v>2005</v>
      </c>
      <c r="E395" s="7">
        <v>86</v>
      </c>
      <c r="F395" s="7" t="s">
        <v>600</v>
      </c>
      <c r="G395" s="7" t="s">
        <v>11</v>
      </c>
      <c r="H395" s="7" t="s">
        <v>634</v>
      </c>
      <c r="K395" s="7" t="s">
        <v>394</v>
      </c>
      <c r="M395" s="7" t="s">
        <v>348</v>
      </c>
      <c r="N395" s="7" t="s">
        <v>31</v>
      </c>
      <c r="O395" s="7" t="s">
        <v>32</v>
      </c>
      <c r="P395" s="7" t="s">
        <v>405</v>
      </c>
      <c r="Q395" s="9" t="s">
        <v>229</v>
      </c>
      <c r="R395" s="7">
        <v>62.5</v>
      </c>
      <c r="S395" s="8">
        <v>1.1200000000000001</v>
      </c>
      <c r="T395" s="8"/>
      <c r="U395" s="8">
        <v>0</v>
      </c>
      <c r="V395" s="8"/>
      <c r="W395" s="8"/>
    </row>
    <row r="396" spans="1:23" s="7" customFormat="1" x14ac:dyDescent="0.35">
      <c r="A396" s="7" t="s">
        <v>635</v>
      </c>
      <c r="C396" s="7" t="s">
        <v>573</v>
      </c>
      <c r="D396" s="7">
        <v>2005</v>
      </c>
      <c r="E396" s="7">
        <v>86</v>
      </c>
      <c r="F396" s="7" t="s">
        <v>600</v>
      </c>
      <c r="G396" s="7" t="s">
        <v>11</v>
      </c>
      <c r="H396" s="7" t="s">
        <v>634</v>
      </c>
      <c r="K396" s="7" t="s">
        <v>394</v>
      </c>
      <c r="M396" s="7" t="s">
        <v>348</v>
      </c>
      <c r="N396" s="7" t="s">
        <v>31</v>
      </c>
      <c r="O396" s="7" t="s">
        <v>32</v>
      </c>
      <c r="P396" s="7" t="s">
        <v>405</v>
      </c>
      <c r="Q396" s="9" t="s">
        <v>229</v>
      </c>
      <c r="R396" s="7">
        <v>75</v>
      </c>
      <c r="S396" s="8">
        <v>0.85</v>
      </c>
      <c r="T396" s="8"/>
      <c r="U396" s="8">
        <v>0</v>
      </c>
      <c r="V396" s="8"/>
      <c r="W396" s="8"/>
    </row>
    <row r="397" spans="1:23" s="7" customFormat="1" x14ac:dyDescent="0.35">
      <c r="A397" s="7" t="s">
        <v>636</v>
      </c>
      <c r="B397" s="7" t="s">
        <v>363</v>
      </c>
      <c r="C397" s="7" t="s">
        <v>517</v>
      </c>
      <c r="D397" s="7">
        <v>2007</v>
      </c>
      <c r="E397" s="7">
        <v>87</v>
      </c>
      <c r="F397" s="7" t="s">
        <v>600</v>
      </c>
      <c r="G397" s="7" t="s">
        <v>11</v>
      </c>
      <c r="H397" s="7" t="s">
        <v>596</v>
      </c>
      <c r="K397" s="7" t="s">
        <v>394</v>
      </c>
      <c r="M397" s="7" t="s">
        <v>348</v>
      </c>
      <c r="N397" s="7" t="s">
        <v>417</v>
      </c>
      <c r="O397" s="7" t="s">
        <v>103</v>
      </c>
      <c r="P397" s="7" t="s">
        <v>102</v>
      </c>
      <c r="Q397" s="9" t="s">
        <v>229</v>
      </c>
      <c r="R397" s="7">
        <v>0</v>
      </c>
      <c r="S397" s="8">
        <v>1.1000000000000001</v>
      </c>
      <c r="T397" s="8"/>
      <c r="U397" s="8">
        <v>0</v>
      </c>
      <c r="V397" s="8"/>
      <c r="W397" s="8"/>
    </row>
    <row r="398" spans="1:23" s="7" customFormat="1" x14ac:dyDescent="0.35">
      <c r="A398" s="7" t="s">
        <v>636</v>
      </c>
      <c r="B398" s="7" t="s">
        <v>363</v>
      </c>
      <c r="C398" s="7" t="s">
        <v>517</v>
      </c>
      <c r="D398" s="7">
        <v>2007</v>
      </c>
      <c r="E398" s="7">
        <v>87</v>
      </c>
      <c r="F398" s="7" t="s">
        <v>600</v>
      </c>
      <c r="G398" s="7" t="s">
        <v>11</v>
      </c>
      <c r="H398" s="7" t="s">
        <v>596</v>
      </c>
      <c r="K398" s="7" t="s">
        <v>394</v>
      </c>
      <c r="M398" s="7" t="s">
        <v>348</v>
      </c>
      <c r="N398" s="7" t="s">
        <v>417</v>
      </c>
      <c r="O398" s="7" t="s">
        <v>103</v>
      </c>
      <c r="P398" s="7" t="s">
        <v>102</v>
      </c>
      <c r="Q398" s="9" t="s">
        <v>229</v>
      </c>
      <c r="R398" s="7">
        <v>21</v>
      </c>
      <c r="S398" s="8">
        <v>1.1000000000000001</v>
      </c>
      <c r="T398" s="8"/>
      <c r="U398" s="8">
        <v>-11</v>
      </c>
      <c r="V398" s="8"/>
      <c r="W398" s="8"/>
    </row>
    <row r="399" spans="1:23" s="7" customFormat="1" x14ac:dyDescent="0.35">
      <c r="A399" s="7" t="s">
        <v>636</v>
      </c>
      <c r="B399" s="7" t="s">
        <v>363</v>
      </c>
      <c r="C399" s="7" t="s">
        <v>517</v>
      </c>
      <c r="D399" s="7">
        <v>2007</v>
      </c>
      <c r="E399" s="7">
        <v>87</v>
      </c>
      <c r="F399" s="7" t="s">
        <v>600</v>
      </c>
      <c r="G399" s="7" t="s">
        <v>11</v>
      </c>
      <c r="H399" s="7" t="s">
        <v>596</v>
      </c>
      <c r="K399" s="7" t="s">
        <v>394</v>
      </c>
      <c r="M399" s="7" t="s">
        <v>348</v>
      </c>
      <c r="N399" s="7" t="s">
        <v>417</v>
      </c>
      <c r="O399" s="7" t="s">
        <v>103</v>
      </c>
      <c r="P399" s="7" t="s">
        <v>102</v>
      </c>
      <c r="Q399" s="9" t="s">
        <v>229</v>
      </c>
      <c r="R399" s="7">
        <v>35</v>
      </c>
      <c r="S399" s="8">
        <v>1.1000000000000001</v>
      </c>
      <c r="T399" s="8"/>
      <c r="U399" s="8">
        <v>-18</v>
      </c>
      <c r="V399" s="8"/>
      <c r="W399" s="8"/>
    </row>
    <row r="400" spans="1:23" s="7" customFormat="1" x14ac:dyDescent="0.35">
      <c r="A400" s="7" t="s">
        <v>636</v>
      </c>
      <c r="B400" s="7" t="s">
        <v>363</v>
      </c>
      <c r="C400" s="7" t="s">
        <v>517</v>
      </c>
      <c r="D400" s="7">
        <v>2007</v>
      </c>
      <c r="E400" s="7">
        <v>87</v>
      </c>
      <c r="F400" s="7" t="s">
        <v>600</v>
      </c>
      <c r="G400" s="7" t="s">
        <v>11</v>
      </c>
      <c r="H400" s="7" t="s">
        <v>596</v>
      </c>
      <c r="K400" s="7" t="s">
        <v>394</v>
      </c>
      <c r="M400" s="7" t="s">
        <v>348</v>
      </c>
      <c r="N400" s="7" t="s">
        <v>417</v>
      </c>
      <c r="O400" s="7" t="s">
        <v>103</v>
      </c>
      <c r="P400" s="7" t="s">
        <v>102</v>
      </c>
      <c r="Q400" s="9" t="s">
        <v>229</v>
      </c>
      <c r="R400" s="7">
        <v>49</v>
      </c>
      <c r="S400" s="8">
        <v>1.1000000000000001</v>
      </c>
      <c r="T400" s="8"/>
      <c r="U400" s="8">
        <v>-25</v>
      </c>
      <c r="V400" s="8"/>
      <c r="W400" s="8"/>
    </row>
    <row r="401" spans="1:23" s="7" customFormat="1" x14ac:dyDescent="0.35">
      <c r="A401" s="7" t="s">
        <v>636</v>
      </c>
      <c r="B401" s="7" t="s">
        <v>363</v>
      </c>
      <c r="C401" s="7" t="s">
        <v>517</v>
      </c>
      <c r="D401" s="7">
        <v>2007</v>
      </c>
      <c r="E401" s="7">
        <v>87</v>
      </c>
      <c r="F401" s="7" t="s">
        <v>600</v>
      </c>
      <c r="G401" s="7" t="s">
        <v>11</v>
      </c>
      <c r="H401" s="7" t="s">
        <v>596</v>
      </c>
      <c r="K401" s="7" t="s">
        <v>394</v>
      </c>
      <c r="M401" s="7" t="s">
        <v>348</v>
      </c>
      <c r="N401" s="7" t="s">
        <v>417</v>
      </c>
      <c r="O401" s="7" t="s">
        <v>103</v>
      </c>
      <c r="P401" s="7" t="s">
        <v>102</v>
      </c>
      <c r="Q401" s="9" t="s">
        <v>229</v>
      </c>
      <c r="R401" s="7">
        <v>63</v>
      </c>
      <c r="S401" s="8">
        <v>1.1000000000000001</v>
      </c>
      <c r="T401" s="8"/>
      <c r="U401" s="8">
        <v>-32</v>
      </c>
      <c r="V401" s="8"/>
      <c r="W401" s="8"/>
    </row>
    <row r="402" spans="1:23" s="7" customFormat="1" x14ac:dyDescent="0.35">
      <c r="A402" s="7" t="s">
        <v>636</v>
      </c>
      <c r="B402" s="7" t="s">
        <v>363</v>
      </c>
      <c r="C402" s="7" t="s">
        <v>517</v>
      </c>
      <c r="D402" s="7">
        <v>2007</v>
      </c>
      <c r="E402" s="7">
        <v>87</v>
      </c>
      <c r="F402" s="7" t="s">
        <v>600</v>
      </c>
      <c r="G402" s="7" t="s">
        <v>11</v>
      </c>
      <c r="H402" s="7" t="s">
        <v>596</v>
      </c>
      <c r="K402" s="7" t="s">
        <v>394</v>
      </c>
      <c r="M402" s="7" t="s">
        <v>348</v>
      </c>
      <c r="N402" s="7" t="s">
        <v>417</v>
      </c>
      <c r="O402" s="7" t="s">
        <v>103</v>
      </c>
      <c r="P402" s="7" t="s">
        <v>102</v>
      </c>
      <c r="Q402" s="9" t="s">
        <v>229</v>
      </c>
      <c r="R402" s="7">
        <v>76</v>
      </c>
      <c r="S402" s="8">
        <v>1.2</v>
      </c>
      <c r="T402" s="8"/>
      <c r="U402" s="8">
        <v>-40</v>
      </c>
      <c r="V402" s="8"/>
      <c r="W402" s="8"/>
    </row>
    <row r="403" spans="1:23" s="7" customFormat="1" x14ac:dyDescent="0.35">
      <c r="A403" s="7" t="s">
        <v>636</v>
      </c>
      <c r="B403" s="7" t="s">
        <v>363</v>
      </c>
      <c r="C403" s="7" t="s">
        <v>517</v>
      </c>
      <c r="D403" s="7">
        <v>2007</v>
      </c>
      <c r="E403" s="7">
        <v>87</v>
      </c>
      <c r="F403" s="7" t="s">
        <v>600</v>
      </c>
      <c r="G403" s="7" t="s">
        <v>11</v>
      </c>
      <c r="H403" s="7" t="s">
        <v>596</v>
      </c>
      <c r="K403" s="7" t="s">
        <v>394</v>
      </c>
      <c r="M403" s="7" t="s">
        <v>348</v>
      </c>
      <c r="N403" s="7" t="s">
        <v>417</v>
      </c>
      <c r="O403" s="7" t="s">
        <v>103</v>
      </c>
      <c r="P403" s="7" t="s">
        <v>102</v>
      </c>
      <c r="Q403" s="9" t="s">
        <v>229</v>
      </c>
      <c r="R403" s="7">
        <v>100</v>
      </c>
      <c r="S403" s="8">
        <v>1.2</v>
      </c>
      <c r="T403" s="8"/>
      <c r="U403" s="8">
        <v>-50</v>
      </c>
      <c r="V403" s="8"/>
      <c r="W403" s="8"/>
    </row>
    <row r="404" spans="1:23" s="7" customFormat="1" x14ac:dyDescent="0.35">
      <c r="A404" s="7" t="s">
        <v>636</v>
      </c>
      <c r="B404" s="7" t="s">
        <v>453</v>
      </c>
      <c r="C404" s="7" t="s">
        <v>573</v>
      </c>
      <c r="D404" s="7">
        <v>2008</v>
      </c>
      <c r="E404" s="7">
        <v>88</v>
      </c>
      <c r="F404" s="7" t="s">
        <v>600</v>
      </c>
      <c r="G404" s="7" t="s">
        <v>11</v>
      </c>
      <c r="H404" s="7" t="s">
        <v>596</v>
      </c>
      <c r="K404" s="7" t="s">
        <v>394</v>
      </c>
      <c r="M404" s="7" t="s">
        <v>348</v>
      </c>
      <c r="N404" s="7" t="s">
        <v>417</v>
      </c>
      <c r="O404" s="7" t="s">
        <v>103</v>
      </c>
      <c r="P404" s="7" t="s">
        <v>102</v>
      </c>
      <c r="Q404" s="9" t="s">
        <v>229</v>
      </c>
      <c r="R404" s="7">
        <v>0</v>
      </c>
      <c r="S404" s="8">
        <v>1.1200000000000001</v>
      </c>
      <c r="T404" s="8"/>
      <c r="U404" s="8">
        <v>0</v>
      </c>
      <c r="V404" s="8"/>
      <c r="W404" s="8"/>
    </row>
    <row r="405" spans="1:23" s="7" customFormat="1" x14ac:dyDescent="0.35">
      <c r="A405" s="7" t="s">
        <v>636</v>
      </c>
      <c r="B405" s="7" t="s">
        <v>453</v>
      </c>
      <c r="C405" s="7" t="s">
        <v>573</v>
      </c>
      <c r="D405" s="7">
        <v>2008</v>
      </c>
      <c r="E405" s="7">
        <v>88</v>
      </c>
      <c r="F405" s="7" t="s">
        <v>600</v>
      </c>
      <c r="G405" s="7" t="s">
        <v>11</v>
      </c>
      <c r="H405" s="7" t="s">
        <v>596</v>
      </c>
      <c r="K405" s="7" t="s">
        <v>394</v>
      </c>
      <c r="M405" s="7" t="s">
        <v>348</v>
      </c>
      <c r="N405" s="7" t="s">
        <v>417</v>
      </c>
      <c r="O405" s="7" t="s">
        <v>103</v>
      </c>
      <c r="P405" s="7" t="s">
        <v>102</v>
      </c>
      <c r="Q405" s="9" t="s">
        <v>229</v>
      </c>
      <c r="R405" s="7">
        <v>18</v>
      </c>
      <c r="S405" s="8">
        <v>1.29</v>
      </c>
      <c r="T405" s="8"/>
      <c r="U405" s="8">
        <v>-18</v>
      </c>
      <c r="V405" s="8"/>
      <c r="W405" s="8"/>
    </row>
    <row r="406" spans="1:23" s="7" customFormat="1" x14ac:dyDescent="0.35">
      <c r="A406" s="7" t="s">
        <v>636</v>
      </c>
      <c r="B406" s="7" t="s">
        <v>453</v>
      </c>
      <c r="C406" s="7" t="s">
        <v>573</v>
      </c>
      <c r="D406" s="7">
        <v>2008</v>
      </c>
      <c r="E406" s="7">
        <v>88</v>
      </c>
      <c r="F406" s="7" t="s">
        <v>600</v>
      </c>
      <c r="G406" s="7" t="s">
        <v>11</v>
      </c>
      <c r="H406" s="7" t="s">
        <v>596</v>
      </c>
      <c r="K406" s="7" t="s">
        <v>394</v>
      </c>
      <c r="M406" s="7" t="s">
        <v>348</v>
      </c>
      <c r="N406" s="7" t="s">
        <v>417</v>
      </c>
      <c r="O406" s="7" t="s">
        <v>103</v>
      </c>
      <c r="P406" s="7" t="s">
        <v>102</v>
      </c>
      <c r="Q406" s="9" t="s">
        <v>229</v>
      </c>
      <c r="R406" s="7">
        <v>36</v>
      </c>
      <c r="S406" s="8">
        <v>1.45</v>
      </c>
      <c r="T406" s="8"/>
      <c r="U406" s="8">
        <v>-24</v>
      </c>
      <c r="V406" s="8"/>
      <c r="W406" s="8"/>
    </row>
    <row r="407" spans="1:23" s="7" customFormat="1" x14ac:dyDescent="0.35">
      <c r="A407" s="7" t="s">
        <v>636</v>
      </c>
      <c r="B407" s="7" t="s">
        <v>637</v>
      </c>
      <c r="C407" s="7" t="s">
        <v>517</v>
      </c>
      <c r="D407" s="7">
        <v>2008</v>
      </c>
      <c r="E407" s="7">
        <v>89</v>
      </c>
      <c r="F407" s="7" t="s">
        <v>600</v>
      </c>
      <c r="G407" s="7" t="s">
        <v>11</v>
      </c>
      <c r="H407" s="7" t="s">
        <v>596</v>
      </c>
      <c r="K407" s="7" t="s">
        <v>394</v>
      </c>
      <c r="M407" s="7" t="s">
        <v>348</v>
      </c>
      <c r="N407" s="7" t="s">
        <v>417</v>
      </c>
      <c r="O407" s="7" t="s">
        <v>103</v>
      </c>
      <c r="P407" s="7" t="s">
        <v>102</v>
      </c>
      <c r="Q407" s="9" t="s">
        <v>229</v>
      </c>
      <c r="R407" s="7">
        <v>0</v>
      </c>
      <c r="S407" s="8">
        <v>1.1399999999999999</v>
      </c>
      <c r="T407" s="8"/>
      <c r="U407" s="8">
        <v>0</v>
      </c>
      <c r="V407" s="8"/>
      <c r="W407" s="8"/>
    </row>
    <row r="408" spans="1:23" s="7" customFormat="1" x14ac:dyDescent="0.35">
      <c r="A408" s="7" t="s">
        <v>636</v>
      </c>
      <c r="B408" s="7" t="s">
        <v>637</v>
      </c>
      <c r="C408" s="7" t="s">
        <v>517</v>
      </c>
      <c r="D408" s="7">
        <v>2008</v>
      </c>
      <c r="E408" s="7">
        <v>89</v>
      </c>
      <c r="F408" s="7" t="s">
        <v>600</v>
      </c>
      <c r="G408" s="7" t="s">
        <v>11</v>
      </c>
      <c r="H408" s="7" t="s">
        <v>596</v>
      </c>
      <c r="K408" s="7" t="s">
        <v>394</v>
      </c>
      <c r="M408" s="7" t="s">
        <v>348</v>
      </c>
      <c r="N408" s="7" t="s">
        <v>417</v>
      </c>
      <c r="O408" s="7" t="s">
        <v>103</v>
      </c>
      <c r="P408" s="7" t="s">
        <v>102</v>
      </c>
      <c r="Q408" s="9" t="s">
        <v>229</v>
      </c>
      <c r="R408" s="7">
        <v>21</v>
      </c>
      <c r="S408" s="8">
        <v>1.1200000000000001</v>
      </c>
      <c r="T408" s="8"/>
      <c r="U408" s="8">
        <v>0</v>
      </c>
      <c r="V408" s="8"/>
      <c r="W408" s="8"/>
    </row>
    <row r="409" spans="1:23" s="7" customFormat="1" x14ac:dyDescent="0.35">
      <c r="A409" s="7" t="s">
        <v>636</v>
      </c>
      <c r="B409" s="7" t="s">
        <v>637</v>
      </c>
      <c r="C409" s="7" t="s">
        <v>517</v>
      </c>
      <c r="D409" s="7">
        <v>2008</v>
      </c>
      <c r="E409" s="7">
        <v>89</v>
      </c>
      <c r="F409" s="7" t="s">
        <v>600</v>
      </c>
      <c r="G409" s="7" t="s">
        <v>11</v>
      </c>
      <c r="H409" s="7" t="s">
        <v>596</v>
      </c>
      <c r="K409" s="7" t="s">
        <v>394</v>
      </c>
      <c r="M409" s="7" t="s">
        <v>348</v>
      </c>
      <c r="N409" s="7" t="s">
        <v>417</v>
      </c>
      <c r="O409" s="7" t="s">
        <v>103</v>
      </c>
      <c r="P409" s="7" t="s">
        <v>102</v>
      </c>
      <c r="Q409" s="9" t="s">
        <v>229</v>
      </c>
      <c r="R409" s="7">
        <v>35</v>
      </c>
      <c r="S409" s="8">
        <v>1.05</v>
      </c>
      <c r="T409" s="8"/>
      <c r="U409" s="8">
        <v>0</v>
      </c>
      <c r="V409" s="8"/>
      <c r="W409" s="8"/>
    </row>
    <row r="410" spans="1:23" s="7" customFormat="1" x14ac:dyDescent="0.35">
      <c r="A410" s="7" t="s">
        <v>636</v>
      </c>
      <c r="B410" s="7" t="s">
        <v>637</v>
      </c>
      <c r="C410" s="7" t="s">
        <v>517</v>
      </c>
      <c r="D410" s="7">
        <v>2008</v>
      </c>
      <c r="E410" s="7">
        <v>89</v>
      </c>
      <c r="F410" s="7" t="s">
        <v>600</v>
      </c>
      <c r="G410" s="7" t="s">
        <v>11</v>
      </c>
      <c r="H410" s="7" t="s">
        <v>596</v>
      </c>
      <c r="K410" s="7" t="s">
        <v>394</v>
      </c>
      <c r="M410" s="7" t="s">
        <v>348</v>
      </c>
      <c r="N410" s="7" t="s">
        <v>417</v>
      </c>
      <c r="O410" s="7" t="s">
        <v>103</v>
      </c>
      <c r="P410" s="7" t="s">
        <v>102</v>
      </c>
      <c r="Q410" s="9" t="s">
        <v>229</v>
      </c>
      <c r="R410" s="7">
        <v>49</v>
      </c>
      <c r="S410" s="8">
        <v>1.1000000000000001</v>
      </c>
      <c r="T410" s="8"/>
      <c r="U410" s="8">
        <v>0</v>
      </c>
      <c r="V410" s="8"/>
      <c r="W410" s="8"/>
    </row>
    <row r="411" spans="1:23" s="7" customFormat="1" x14ac:dyDescent="0.35">
      <c r="A411" s="7" t="s">
        <v>636</v>
      </c>
      <c r="B411" s="7" t="s">
        <v>637</v>
      </c>
      <c r="C411" s="7" t="s">
        <v>517</v>
      </c>
      <c r="D411" s="7">
        <v>2008</v>
      </c>
      <c r="E411" s="7">
        <v>89</v>
      </c>
      <c r="F411" s="7" t="s">
        <v>600</v>
      </c>
      <c r="G411" s="7" t="s">
        <v>11</v>
      </c>
      <c r="H411" s="7" t="s">
        <v>596</v>
      </c>
      <c r="K411" s="7" t="s">
        <v>394</v>
      </c>
      <c r="M411" s="7" t="s">
        <v>348</v>
      </c>
      <c r="N411" s="7" t="s">
        <v>417</v>
      </c>
      <c r="O411" s="7" t="s">
        <v>103</v>
      </c>
      <c r="P411" s="7" t="s">
        <v>102</v>
      </c>
      <c r="Q411" s="9" t="s">
        <v>229</v>
      </c>
      <c r="R411" s="7">
        <v>63</v>
      </c>
      <c r="S411" s="8">
        <v>1.06</v>
      </c>
      <c r="T411" s="8"/>
      <c r="U411" s="8">
        <v>0</v>
      </c>
      <c r="V411" s="8"/>
      <c r="W411" s="8"/>
    </row>
    <row r="412" spans="1:23" s="7" customFormat="1" x14ac:dyDescent="0.35">
      <c r="A412" s="7" t="s">
        <v>636</v>
      </c>
      <c r="B412" s="7" t="s">
        <v>637</v>
      </c>
      <c r="C412" s="7" t="s">
        <v>517</v>
      </c>
      <c r="D412" s="7">
        <v>2008</v>
      </c>
      <c r="E412" s="7">
        <v>89</v>
      </c>
      <c r="F412" s="7" t="s">
        <v>600</v>
      </c>
      <c r="G412" s="7" t="s">
        <v>11</v>
      </c>
      <c r="H412" s="7" t="s">
        <v>596</v>
      </c>
      <c r="K412" s="7" t="s">
        <v>394</v>
      </c>
      <c r="M412" s="7" t="s">
        <v>348</v>
      </c>
      <c r="N412" s="7" t="s">
        <v>417</v>
      </c>
      <c r="O412" s="7" t="s">
        <v>103</v>
      </c>
      <c r="P412" s="7" t="s">
        <v>102</v>
      </c>
      <c r="Q412" s="9" t="s">
        <v>229</v>
      </c>
      <c r="R412" s="7">
        <v>76</v>
      </c>
      <c r="S412" s="8">
        <v>1.1499999999999999</v>
      </c>
      <c r="T412" s="8"/>
      <c r="U412" s="8">
        <v>0</v>
      </c>
      <c r="V412" s="8"/>
      <c r="W412" s="8"/>
    </row>
    <row r="413" spans="1:23" s="7" customFormat="1" x14ac:dyDescent="0.35">
      <c r="A413" s="7" t="s">
        <v>636</v>
      </c>
      <c r="B413" s="7" t="s">
        <v>637</v>
      </c>
      <c r="C413" s="7" t="s">
        <v>517</v>
      </c>
      <c r="D413" s="7">
        <v>2008</v>
      </c>
      <c r="E413" s="7">
        <v>89</v>
      </c>
      <c r="F413" s="7" t="s">
        <v>600</v>
      </c>
      <c r="G413" s="7" t="s">
        <v>11</v>
      </c>
      <c r="H413" s="7" t="s">
        <v>596</v>
      </c>
      <c r="K413" s="7" t="s">
        <v>394</v>
      </c>
      <c r="M413" s="7" t="s">
        <v>348</v>
      </c>
      <c r="N413" s="7" t="s">
        <v>417</v>
      </c>
      <c r="O413" s="7" t="s">
        <v>103</v>
      </c>
      <c r="P413" s="7" t="s">
        <v>102</v>
      </c>
      <c r="Q413" s="9" t="s">
        <v>229</v>
      </c>
      <c r="R413" s="7">
        <v>100</v>
      </c>
      <c r="S413" s="8">
        <v>1.22</v>
      </c>
      <c r="T413" s="8"/>
      <c r="U413" s="8">
        <v>0</v>
      </c>
      <c r="V413" s="8"/>
      <c r="W413" s="8"/>
    </row>
    <row r="414" spans="1:23" s="7" customFormat="1" x14ac:dyDescent="0.35">
      <c r="A414" s="7" t="s">
        <v>636</v>
      </c>
      <c r="B414" s="7" t="s">
        <v>638</v>
      </c>
      <c r="C414" s="7" t="s">
        <v>573</v>
      </c>
      <c r="D414" s="7">
        <v>2008</v>
      </c>
      <c r="E414" s="7">
        <v>90</v>
      </c>
      <c r="F414" s="7" t="s">
        <v>600</v>
      </c>
      <c r="G414" s="7" t="s">
        <v>11</v>
      </c>
      <c r="H414" s="7" t="s">
        <v>596</v>
      </c>
      <c r="K414" s="7" t="s">
        <v>394</v>
      </c>
      <c r="M414" s="7" t="s">
        <v>348</v>
      </c>
      <c r="N414" s="7" t="s">
        <v>417</v>
      </c>
      <c r="O414" s="7" t="s">
        <v>103</v>
      </c>
      <c r="P414" s="7" t="s">
        <v>102</v>
      </c>
      <c r="Q414" s="9" t="s">
        <v>229</v>
      </c>
      <c r="R414" s="7">
        <v>0</v>
      </c>
      <c r="S414" s="8">
        <v>1.1399999999999999</v>
      </c>
      <c r="T414" s="8"/>
      <c r="U414" s="8">
        <v>0</v>
      </c>
      <c r="V414" s="8"/>
      <c r="W414" s="8"/>
    </row>
    <row r="415" spans="1:23" s="7" customFormat="1" x14ac:dyDescent="0.35">
      <c r="A415" s="7" t="s">
        <v>636</v>
      </c>
      <c r="B415" s="7" t="s">
        <v>638</v>
      </c>
      <c r="C415" s="7" t="s">
        <v>573</v>
      </c>
      <c r="D415" s="7">
        <v>2008</v>
      </c>
      <c r="E415" s="7">
        <v>90</v>
      </c>
      <c r="F415" s="7" t="s">
        <v>600</v>
      </c>
      <c r="G415" s="7" t="s">
        <v>11</v>
      </c>
      <c r="H415" s="7" t="s">
        <v>596</v>
      </c>
      <c r="K415" s="7" t="s">
        <v>394</v>
      </c>
      <c r="M415" s="7" t="s">
        <v>348</v>
      </c>
      <c r="N415" s="7" t="s">
        <v>417</v>
      </c>
      <c r="O415" s="7" t="s">
        <v>103</v>
      </c>
      <c r="P415" s="7" t="s">
        <v>102</v>
      </c>
      <c r="Q415" s="9" t="s">
        <v>229</v>
      </c>
      <c r="R415" s="7">
        <v>21</v>
      </c>
      <c r="S415" s="8">
        <v>1.1200000000000001</v>
      </c>
      <c r="T415" s="8"/>
      <c r="U415" s="8">
        <v>-11</v>
      </c>
      <c r="V415" s="8"/>
      <c r="W415" s="8"/>
    </row>
    <row r="416" spans="1:23" s="7" customFormat="1" x14ac:dyDescent="0.35">
      <c r="A416" s="7" t="s">
        <v>636</v>
      </c>
      <c r="B416" s="7" t="s">
        <v>638</v>
      </c>
      <c r="C416" s="7" t="s">
        <v>573</v>
      </c>
      <c r="D416" s="7">
        <v>2008</v>
      </c>
      <c r="E416" s="7">
        <v>90</v>
      </c>
      <c r="F416" s="7" t="s">
        <v>600</v>
      </c>
      <c r="G416" s="7" t="s">
        <v>11</v>
      </c>
      <c r="H416" s="7" t="s">
        <v>596</v>
      </c>
      <c r="K416" s="7" t="s">
        <v>394</v>
      </c>
      <c r="M416" s="7" t="s">
        <v>348</v>
      </c>
      <c r="N416" s="7" t="s">
        <v>417</v>
      </c>
      <c r="O416" s="7" t="s">
        <v>103</v>
      </c>
      <c r="P416" s="7" t="s">
        <v>102</v>
      </c>
      <c r="Q416" s="9" t="s">
        <v>229</v>
      </c>
      <c r="R416" s="7">
        <v>35</v>
      </c>
      <c r="S416" s="8">
        <v>1.05</v>
      </c>
      <c r="T416" s="8"/>
      <c r="U416" s="8">
        <v>-18</v>
      </c>
      <c r="V416" s="8"/>
      <c r="W416" s="8"/>
    </row>
    <row r="417" spans="1:23" s="7" customFormat="1" x14ac:dyDescent="0.35">
      <c r="A417" s="7" t="s">
        <v>636</v>
      </c>
      <c r="B417" s="7" t="s">
        <v>638</v>
      </c>
      <c r="C417" s="7" t="s">
        <v>573</v>
      </c>
      <c r="D417" s="7">
        <v>2008</v>
      </c>
      <c r="E417" s="7">
        <v>90</v>
      </c>
      <c r="F417" s="7" t="s">
        <v>600</v>
      </c>
      <c r="G417" s="7" t="s">
        <v>11</v>
      </c>
      <c r="H417" s="7" t="s">
        <v>596</v>
      </c>
      <c r="K417" s="7" t="s">
        <v>394</v>
      </c>
      <c r="M417" s="7" t="s">
        <v>348</v>
      </c>
      <c r="N417" s="7" t="s">
        <v>417</v>
      </c>
      <c r="O417" s="7" t="s">
        <v>103</v>
      </c>
      <c r="P417" s="7" t="s">
        <v>102</v>
      </c>
      <c r="Q417" s="9" t="s">
        <v>229</v>
      </c>
      <c r="R417" s="7">
        <v>49</v>
      </c>
      <c r="S417" s="8">
        <v>1.1000000000000001</v>
      </c>
      <c r="T417" s="8"/>
      <c r="U417" s="8">
        <v>-25</v>
      </c>
      <c r="V417" s="8"/>
      <c r="W417" s="8"/>
    </row>
    <row r="418" spans="1:23" s="7" customFormat="1" x14ac:dyDescent="0.35">
      <c r="A418" s="7" t="s">
        <v>636</v>
      </c>
      <c r="B418" s="7" t="s">
        <v>638</v>
      </c>
      <c r="C418" s="7" t="s">
        <v>573</v>
      </c>
      <c r="D418" s="7">
        <v>2008</v>
      </c>
      <c r="E418" s="7">
        <v>90</v>
      </c>
      <c r="F418" s="7" t="s">
        <v>600</v>
      </c>
      <c r="G418" s="7" t="s">
        <v>11</v>
      </c>
      <c r="H418" s="7" t="s">
        <v>596</v>
      </c>
      <c r="K418" s="7" t="s">
        <v>394</v>
      </c>
      <c r="M418" s="7" t="s">
        <v>348</v>
      </c>
      <c r="N418" s="7" t="s">
        <v>417</v>
      </c>
      <c r="O418" s="7" t="s">
        <v>103</v>
      </c>
      <c r="P418" s="7" t="s">
        <v>102</v>
      </c>
      <c r="Q418" s="9" t="s">
        <v>229</v>
      </c>
      <c r="R418" s="7">
        <v>63</v>
      </c>
      <c r="S418" s="8">
        <v>1.06</v>
      </c>
      <c r="T418" s="8"/>
      <c r="U418" s="8">
        <v>-32</v>
      </c>
      <c r="V418" s="8"/>
      <c r="W418" s="8"/>
    </row>
    <row r="419" spans="1:23" s="7" customFormat="1" x14ac:dyDescent="0.35">
      <c r="A419" s="7" t="s">
        <v>636</v>
      </c>
      <c r="B419" s="7" t="s">
        <v>638</v>
      </c>
      <c r="C419" s="7" t="s">
        <v>573</v>
      </c>
      <c r="D419" s="7">
        <v>2008</v>
      </c>
      <c r="E419" s="7">
        <v>90</v>
      </c>
      <c r="F419" s="7" t="s">
        <v>600</v>
      </c>
      <c r="G419" s="7" t="s">
        <v>11</v>
      </c>
      <c r="H419" s="7" t="s">
        <v>596</v>
      </c>
      <c r="K419" s="7" t="s">
        <v>394</v>
      </c>
      <c r="M419" s="7" t="s">
        <v>348</v>
      </c>
      <c r="N419" s="7" t="s">
        <v>417</v>
      </c>
      <c r="O419" s="7" t="s">
        <v>103</v>
      </c>
      <c r="P419" s="7" t="s">
        <v>102</v>
      </c>
      <c r="Q419" s="9" t="s">
        <v>229</v>
      </c>
      <c r="R419" s="7">
        <v>76</v>
      </c>
      <c r="S419" s="8">
        <v>1.1499999999999999</v>
      </c>
      <c r="T419" s="8"/>
      <c r="U419" s="8">
        <v>-40</v>
      </c>
      <c r="V419" s="8"/>
      <c r="W419" s="8"/>
    </row>
    <row r="420" spans="1:23" s="7" customFormat="1" x14ac:dyDescent="0.35">
      <c r="A420" s="7" t="s">
        <v>636</v>
      </c>
      <c r="B420" s="7" t="s">
        <v>638</v>
      </c>
      <c r="C420" s="7" t="s">
        <v>573</v>
      </c>
      <c r="D420" s="7">
        <v>2008</v>
      </c>
      <c r="E420" s="7">
        <v>90</v>
      </c>
      <c r="F420" s="7" t="s">
        <v>600</v>
      </c>
      <c r="G420" s="7" t="s">
        <v>11</v>
      </c>
      <c r="H420" s="7" t="s">
        <v>596</v>
      </c>
      <c r="K420" s="7" t="s">
        <v>394</v>
      </c>
      <c r="M420" s="7" t="s">
        <v>348</v>
      </c>
      <c r="N420" s="7" t="s">
        <v>417</v>
      </c>
      <c r="O420" s="7" t="s">
        <v>103</v>
      </c>
      <c r="P420" s="7" t="s">
        <v>102</v>
      </c>
      <c r="Q420" s="9" t="s">
        <v>229</v>
      </c>
      <c r="R420" s="7">
        <v>100</v>
      </c>
      <c r="S420" s="8">
        <v>1.22</v>
      </c>
      <c r="T420" s="8"/>
      <c r="U420" s="8">
        <v>-50</v>
      </c>
      <c r="V420" s="8"/>
      <c r="W420" s="8"/>
    </row>
    <row r="421" spans="1:23" s="7" customFormat="1" x14ac:dyDescent="0.35">
      <c r="A421" s="7" t="s">
        <v>640</v>
      </c>
      <c r="B421" s="7" t="s">
        <v>639</v>
      </c>
      <c r="C421" s="7" t="s">
        <v>573</v>
      </c>
      <c r="D421" s="7">
        <v>2012</v>
      </c>
      <c r="E421" s="7">
        <v>91</v>
      </c>
      <c r="F421" s="7" t="s">
        <v>600</v>
      </c>
      <c r="G421" s="7" t="s">
        <v>11</v>
      </c>
      <c r="H421" s="7" t="s">
        <v>601</v>
      </c>
      <c r="K421" s="7" t="s">
        <v>394</v>
      </c>
      <c r="M421" s="7" t="s">
        <v>348</v>
      </c>
      <c r="N421" s="7" t="s">
        <v>31</v>
      </c>
      <c r="O421" s="7" t="s">
        <v>641</v>
      </c>
      <c r="P421" s="7" t="s">
        <v>642</v>
      </c>
      <c r="Q421" s="9" t="s">
        <v>229</v>
      </c>
      <c r="R421" s="7">
        <v>0</v>
      </c>
      <c r="S421" s="8">
        <v>4.07</v>
      </c>
      <c r="T421" s="8"/>
      <c r="U421" s="8">
        <v>0</v>
      </c>
      <c r="V421" s="8"/>
      <c r="W421" s="8"/>
    </row>
    <row r="422" spans="1:23" s="7" customFormat="1" x14ac:dyDescent="0.35">
      <c r="A422" s="7" t="s">
        <v>640</v>
      </c>
      <c r="B422" s="7" t="s">
        <v>639</v>
      </c>
      <c r="C422" s="7" t="s">
        <v>573</v>
      </c>
      <c r="D422" s="7">
        <v>2012</v>
      </c>
      <c r="E422" s="7">
        <v>91</v>
      </c>
      <c r="F422" s="7" t="s">
        <v>600</v>
      </c>
      <c r="G422" s="7" t="s">
        <v>11</v>
      </c>
      <c r="H422" s="7" t="s">
        <v>601</v>
      </c>
      <c r="K422" s="7" t="s">
        <v>394</v>
      </c>
      <c r="M422" s="7" t="s">
        <v>348</v>
      </c>
      <c r="N422" s="7" t="s">
        <v>31</v>
      </c>
      <c r="O422" s="7" t="s">
        <v>641</v>
      </c>
      <c r="P422" s="7" t="s">
        <v>642</v>
      </c>
      <c r="Q422" s="9" t="s">
        <v>229</v>
      </c>
      <c r="R422" s="7">
        <v>25</v>
      </c>
      <c r="S422" s="8">
        <v>4.1900000000000004</v>
      </c>
      <c r="T422" s="8"/>
      <c r="U422" s="8">
        <v>0</v>
      </c>
      <c r="V422" s="8"/>
      <c r="W422" s="8"/>
    </row>
    <row r="423" spans="1:23" s="7" customFormat="1" x14ac:dyDescent="0.35">
      <c r="A423" s="7" t="s">
        <v>640</v>
      </c>
      <c r="B423" s="7" t="s">
        <v>639</v>
      </c>
      <c r="C423" s="7" t="s">
        <v>573</v>
      </c>
      <c r="D423" s="7">
        <v>2012</v>
      </c>
      <c r="E423" s="7">
        <v>91</v>
      </c>
      <c r="F423" s="7" t="s">
        <v>600</v>
      </c>
      <c r="G423" s="7" t="s">
        <v>11</v>
      </c>
      <c r="H423" s="7" t="s">
        <v>601</v>
      </c>
      <c r="K423" s="7" t="s">
        <v>394</v>
      </c>
      <c r="M423" s="7" t="s">
        <v>348</v>
      </c>
      <c r="N423" s="7" t="s">
        <v>31</v>
      </c>
      <c r="O423" s="7" t="s">
        <v>641</v>
      </c>
      <c r="P423" s="7" t="s">
        <v>642</v>
      </c>
      <c r="Q423" s="9" t="s">
        <v>229</v>
      </c>
      <c r="R423" s="7">
        <v>50</v>
      </c>
      <c r="S423" s="8">
        <v>4.47</v>
      </c>
      <c r="T423" s="8"/>
      <c r="U423" s="8">
        <v>0</v>
      </c>
      <c r="V423" s="8"/>
      <c r="W423" s="8"/>
    </row>
    <row r="424" spans="1:23" s="7" customFormat="1" x14ac:dyDescent="0.35">
      <c r="A424" s="7" t="s">
        <v>640</v>
      </c>
      <c r="B424" s="7" t="s">
        <v>639</v>
      </c>
      <c r="C424" s="7" t="s">
        <v>573</v>
      </c>
      <c r="D424" s="7">
        <v>2012</v>
      </c>
      <c r="E424" s="7">
        <v>91</v>
      </c>
      <c r="F424" s="7" t="s">
        <v>600</v>
      </c>
      <c r="G424" s="7" t="s">
        <v>11</v>
      </c>
      <c r="H424" s="7" t="s">
        <v>601</v>
      </c>
      <c r="K424" s="7" t="s">
        <v>394</v>
      </c>
      <c r="M424" s="7" t="s">
        <v>348</v>
      </c>
      <c r="N424" s="7" t="s">
        <v>31</v>
      </c>
      <c r="O424" s="7" t="s">
        <v>641</v>
      </c>
      <c r="P424" s="7" t="s">
        <v>642</v>
      </c>
      <c r="Q424" s="9" t="s">
        <v>229</v>
      </c>
      <c r="R424" s="7">
        <v>75</v>
      </c>
      <c r="S424" s="8">
        <v>4.3899999999999997</v>
      </c>
      <c r="T424" s="8"/>
      <c r="U424" s="8">
        <v>0</v>
      </c>
      <c r="V424" s="8"/>
      <c r="W424" s="8"/>
    </row>
    <row r="425" spans="1:23" s="7" customFormat="1" x14ac:dyDescent="0.35">
      <c r="A425" s="7" t="s">
        <v>640</v>
      </c>
      <c r="B425" s="7" t="s">
        <v>639</v>
      </c>
      <c r="C425" s="7" t="s">
        <v>573</v>
      </c>
      <c r="D425" s="7">
        <v>2012</v>
      </c>
      <c r="E425" s="7">
        <v>91</v>
      </c>
      <c r="F425" s="7" t="s">
        <v>600</v>
      </c>
      <c r="G425" s="7" t="s">
        <v>11</v>
      </c>
      <c r="H425" s="7" t="s">
        <v>601</v>
      </c>
      <c r="K425" s="7" t="s">
        <v>394</v>
      </c>
      <c r="M425" s="7" t="s">
        <v>348</v>
      </c>
      <c r="N425" s="7" t="s">
        <v>31</v>
      </c>
      <c r="O425" s="7" t="s">
        <v>641</v>
      </c>
      <c r="P425" s="7" t="s">
        <v>642</v>
      </c>
      <c r="Q425" s="9" t="s">
        <v>229</v>
      </c>
      <c r="R425" s="7">
        <v>100</v>
      </c>
      <c r="S425" s="8">
        <v>4.3099999999999996</v>
      </c>
      <c r="T425" s="8"/>
      <c r="U425" s="8">
        <v>0</v>
      </c>
      <c r="V425" s="8"/>
      <c r="W425" s="8"/>
    </row>
    <row r="426" spans="1:23" s="7" customFormat="1" x14ac:dyDescent="0.35">
      <c r="A426" s="7" t="s">
        <v>643</v>
      </c>
      <c r="B426" s="7" t="s">
        <v>644</v>
      </c>
      <c r="C426" s="7" t="s">
        <v>573</v>
      </c>
      <c r="D426" s="7">
        <v>2014</v>
      </c>
      <c r="E426" s="7">
        <v>92</v>
      </c>
      <c r="F426" s="7" t="s">
        <v>600</v>
      </c>
      <c r="G426" s="7" t="s">
        <v>11</v>
      </c>
      <c r="H426" s="7" t="s">
        <v>645</v>
      </c>
      <c r="K426" s="7" t="s">
        <v>378</v>
      </c>
      <c r="L426" s="7" t="s">
        <v>574</v>
      </c>
      <c r="M426" s="7" t="s">
        <v>348</v>
      </c>
      <c r="N426" s="7" t="s">
        <v>31</v>
      </c>
      <c r="O426" s="7" t="s">
        <v>32</v>
      </c>
      <c r="P426" s="7" t="s">
        <v>405</v>
      </c>
      <c r="Q426" s="9" t="s">
        <v>229</v>
      </c>
      <c r="R426" s="7">
        <v>0</v>
      </c>
      <c r="S426" s="8">
        <v>3.55</v>
      </c>
      <c r="T426" s="8"/>
      <c r="U426" s="8">
        <v>0</v>
      </c>
      <c r="V426" s="8"/>
      <c r="W426" s="8"/>
    </row>
    <row r="427" spans="1:23" s="7" customFormat="1" x14ac:dyDescent="0.35">
      <c r="A427" s="7" t="s">
        <v>643</v>
      </c>
      <c r="B427" s="7" t="s">
        <v>644</v>
      </c>
      <c r="C427" s="7" t="s">
        <v>573</v>
      </c>
      <c r="D427" s="7">
        <v>2014</v>
      </c>
      <c r="E427" s="7">
        <v>92</v>
      </c>
      <c r="F427" s="7" t="s">
        <v>600</v>
      </c>
      <c r="G427" s="7" t="s">
        <v>11</v>
      </c>
      <c r="H427" s="7" t="s">
        <v>645</v>
      </c>
      <c r="K427" s="7" t="s">
        <v>378</v>
      </c>
      <c r="L427" s="7" t="s">
        <v>574</v>
      </c>
      <c r="M427" s="7" t="s">
        <v>348</v>
      </c>
      <c r="N427" s="7" t="s">
        <v>31</v>
      </c>
      <c r="O427" s="7" t="s">
        <v>32</v>
      </c>
      <c r="P427" s="7" t="s">
        <v>405</v>
      </c>
      <c r="Q427" s="9" t="s">
        <v>229</v>
      </c>
      <c r="R427" s="7">
        <v>25</v>
      </c>
      <c r="S427" s="8">
        <v>3.12</v>
      </c>
      <c r="T427" s="8"/>
      <c r="U427" s="8">
        <v>0</v>
      </c>
      <c r="V427" s="8"/>
      <c r="W427" s="8"/>
    </row>
    <row r="428" spans="1:23" s="7" customFormat="1" x14ac:dyDescent="0.35">
      <c r="A428" s="7" t="s">
        <v>643</v>
      </c>
      <c r="B428" s="7" t="s">
        <v>644</v>
      </c>
      <c r="C428" s="7" t="s">
        <v>573</v>
      </c>
      <c r="D428" s="7">
        <v>2014</v>
      </c>
      <c r="E428" s="7">
        <v>92</v>
      </c>
      <c r="F428" s="7" t="s">
        <v>600</v>
      </c>
      <c r="G428" s="7" t="s">
        <v>11</v>
      </c>
      <c r="H428" s="7" t="s">
        <v>645</v>
      </c>
      <c r="K428" s="7" t="s">
        <v>378</v>
      </c>
      <c r="L428" s="7" t="s">
        <v>574</v>
      </c>
      <c r="M428" s="7" t="s">
        <v>348</v>
      </c>
      <c r="N428" s="7" t="s">
        <v>31</v>
      </c>
      <c r="O428" s="7" t="s">
        <v>32</v>
      </c>
      <c r="P428" s="7" t="s">
        <v>405</v>
      </c>
      <c r="Q428" s="9" t="s">
        <v>229</v>
      </c>
      <c r="R428" s="7">
        <v>50</v>
      </c>
      <c r="S428" s="8">
        <v>3.84</v>
      </c>
      <c r="T428" s="8"/>
      <c r="U428" s="8">
        <v>0</v>
      </c>
      <c r="V428" s="8"/>
      <c r="W428" s="8"/>
    </row>
    <row r="429" spans="1:23" s="7" customFormat="1" x14ac:dyDescent="0.35">
      <c r="A429" s="7" t="s">
        <v>643</v>
      </c>
      <c r="B429" s="7" t="s">
        <v>644</v>
      </c>
      <c r="C429" s="7" t="s">
        <v>573</v>
      </c>
      <c r="D429" s="7">
        <v>2014</v>
      </c>
      <c r="E429" s="7">
        <v>92</v>
      </c>
      <c r="F429" s="7" t="s">
        <v>600</v>
      </c>
      <c r="G429" s="7" t="s">
        <v>11</v>
      </c>
      <c r="H429" s="7" t="s">
        <v>645</v>
      </c>
      <c r="K429" s="7" t="s">
        <v>378</v>
      </c>
      <c r="L429" s="7" t="s">
        <v>574</v>
      </c>
      <c r="M429" s="7" t="s">
        <v>348</v>
      </c>
      <c r="N429" s="7" t="s">
        <v>31</v>
      </c>
      <c r="O429" s="7" t="s">
        <v>32</v>
      </c>
      <c r="P429" s="7" t="s">
        <v>405</v>
      </c>
      <c r="Q429" s="9" t="s">
        <v>229</v>
      </c>
      <c r="R429" s="7">
        <v>75</v>
      </c>
      <c r="S429" s="8">
        <v>4.3499999999999996</v>
      </c>
      <c r="T429" s="8"/>
      <c r="U429" s="8">
        <v>0</v>
      </c>
      <c r="V429" s="8"/>
      <c r="W429" s="8"/>
    </row>
    <row r="430" spans="1:23" s="7" customFormat="1" x14ac:dyDescent="0.35">
      <c r="A430" s="7" t="s">
        <v>643</v>
      </c>
      <c r="B430" s="7" t="s">
        <v>644</v>
      </c>
      <c r="C430" s="7" t="s">
        <v>573</v>
      </c>
      <c r="D430" s="7">
        <v>2014</v>
      </c>
      <c r="E430" s="7">
        <v>92</v>
      </c>
      <c r="F430" s="7" t="s">
        <v>600</v>
      </c>
      <c r="G430" s="7" t="s">
        <v>11</v>
      </c>
      <c r="H430" s="7" t="s">
        <v>645</v>
      </c>
      <c r="K430" s="7" t="s">
        <v>378</v>
      </c>
      <c r="L430" s="7" t="s">
        <v>574</v>
      </c>
      <c r="M430" s="7" t="s">
        <v>348</v>
      </c>
      <c r="N430" s="7" t="s">
        <v>31</v>
      </c>
      <c r="O430" s="7" t="s">
        <v>32</v>
      </c>
      <c r="P430" s="7" t="s">
        <v>405</v>
      </c>
      <c r="Q430" s="9" t="s">
        <v>229</v>
      </c>
      <c r="R430" s="7">
        <v>100</v>
      </c>
      <c r="S430" s="8">
        <v>2.79</v>
      </c>
      <c r="T430" s="8"/>
      <c r="U430" s="8">
        <v>0</v>
      </c>
      <c r="V430" s="8"/>
      <c r="W430" s="8"/>
    </row>
    <row r="431" spans="1:23" s="7" customFormat="1" x14ac:dyDescent="0.35">
      <c r="A431" s="7" t="s">
        <v>646</v>
      </c>
      <c r="B431" s="7" t="s">
        <v>522</v>
      </c>
      <c r="C431" s="7" t="s">
        <v>647</v>
      </c>
      <c r="D431" s="7">
        <v>2017</v>
      </c>
      <c r="E431" s="7">
        <v>93</v>
      </c>
      <c r="F431" s="7" t="s">
        <v>600</v>
      </c>
      <c r="G431" s="7" t="s">
        <v>11</v>
      </c>
      <c r="H431" s="7" t="s">
        <v>4</v>
      </c>
      <c r="K431" s="7" t="s">
        <v>378</v>
      </c>
      <c r="L431" s="7" t="s">
        <v>377</v>
      </c>
      <c r="M431" s="7" t="s">
        <v>348</v>
      </c>
      <c r="N431" s="7" t="s">
        <v>173</v>
      </c>
      <c r="O431" s="7" t="s">
        <v>439</v>
      </c>
      <c r="P431" s="7" t="s">
        <v>172</v>
      </c>
      <c r="Q431" s="9" t="s">
        <v>230</v>
      </c>
      <c r="R431" s="7">
        <v>0</v>
      </c>
      <c r="S431" s="8">
        <v>2.65</v>
      </c>
      <c r="T431" s="8">
        <v>0</v>
      </c>
      <c r="U431" s="8">
        <v>0</v>
      </c>
      <c r="V431" s="8"/>
      <c r="W431" s="8"/>
    </row>
    <row r="432" spans="1:23" s="7" customFormat="1" x14ac:dyDescent="0.35">
      <c r="A432" s="7" t="s">
        <v>646</v>
      </c>
      <c r="B432" s="7" t="s">
        <v>522</v>
      </c>
      <c r="C432" s="7" t="s">
        <v>647</v>
      </c>
      <c r="D432" s="7">
        <v>2017</v>
      </c>
      <c r="E432" s="7">
        <v>93</v>
      </c>
      <c r="F432" s="7" t="s">
        <v>600</v>
      </c>
      <c r="G432" s="7" t="s">
        <v>11</v>
      </c>
      <c r="H432" s="7" t="s">
        <v>4</v>
      </c>
      <c r="K432" s="7" t="s">
        <v>378</v>
      </c>
      <c r="L432" s="7" t="s">
        <v>377</v>
      </c>
      <c r="M432" s="7" t="s">
        <v>348</v>
      </c>
      <c r="N432" s="7" t="s">
        <v>173</v>
      </c>
      <c r="O432" s="7" t="s">
        <v>439</v>
      </c>
      <c r="P432" s="7" t="s">
        <v>172</v>
      </c>
      <c r="Q432" s="9" t="s">
        <v>230</v>
      </c>
      <c r="R432" s="7">
        <v>25</v>
      </c>
      <c r="S432" s="8">
        <v>2.75</v>
      </c>
      <c r="T432" s="8">
        <v>0</v>
      </c>
      <c r="U432" s="8">
        <v>4</v>
      </c>
      <c r="V432" s="8"/>
      <c r="W432" s="8"/>
    </row>
    <row r="433" spans="1:23" s="7" customFormat="1" x14ac:dyDescent="0.35">
      <c r="A433" s="7" t="s">
        <v>646</v>
      </c>
      <c r="B433" s="7" t="s">
        <v>522</v>
      </c>
      <c r="C433" s="7" t="s">
        <v>647</v>
      </c>
      <c r="D433" s="7">
        <v>2017</v>
      </c>
      <c r="E433" s="7">
        <v>93</v>
      </c>
      <c r="F433" s="7" t="s">
        <v>600</v>
      </c>
      <c r="G433" s="7" t="s">
        <v>11</v>
      </c>
      <c r="H433" s="7" t="s">
        <v>4</v>
      </c>
      <c r="K433" s="7" t="s">
        <v>378</v>
      </c>
      <c r="L433" s="7" t="s">
        <v>377</v>
      </c>
      <c r="M433" s="7" t="s">
        <v>348</v>
      </c>
      <c r="N433" s="7" t="s">
        <v>173</v>
      </c>
      <c r="O433" s="7" t="s">
        <v>439</v>
      </c>
      <c r="P433" s="7" t="s">
        <v>172</v>
      </c>
      <c r="Q433" s="9" t="s">
        <v>230</v>
      </c>
      <c r="R433" s="7">
        <v>50</v>
      </c>
      <c r="S433" s="8">
        <v>2.82</v>
      </c>
      <c r="T433" s="8">
        <v>0</v>
      </c>
      <c r="U433" s="8">
        <v>8</v>
      </c>
      <c r="V433" s="8"/>
      <c r="W433" s="8"/>
    </row>
    <row r="434" spans="1:23" s="7" customFormat="1" x14ac:dyDescent="0.35">
      <c r="A434" s="7" t="s">
        <v>646</v>
      </c>
      <c r="B434" s="7" t="s">
        <v>522</v>
      </c>
      <c r="C434" s="7" t="s">
        <v>647</v>
      </c>
      <c r="D434" s="7">
        <v>2017</v>
      </c>
      <c r="E434" s="7">
        <v>93</v>
      </c>
      <c r="F434" s="7" t="s">
        <v>600</v>
      </c>
      <c r="G434" s="7" t="s">
        <v>11</v>
      </c>
      <c r="H434" s="7" t="s">
        <v>4</v>
      </c>
      <c r="K434" s="7" t="s">
        <v>378</v>
      </c>
      <c r="L434" s="7" t="s">
        <v>377</v>
      </c>
      <c r="M434" s="7" t="s">
        <v>348</v>
      </c>
      <c r="N434" s="7" t="s">
        <v>173</v>
      </c>
      <c r="O434" s="7" t="s">
        <v>439</v>
      </c>
      <c r="P434" s="7" t="s">
        <v>172</v>
      </c>
      <c r="Q434" s="9" t="s">
        <v>230</v>
      </c>
      <c r="R434" s="7">
        <v>75</v>
      </c>
      <c r="S434" s="8">
        <v>2.46</v>
      </c>
      <c r="T434" s="8">
        <v>0</v>
      </c>
      <c r="U434" s="8">
        <v>10</v>
      </c>
      <c r="V434" s="8"/>
      <c r="W434" s="8"/>
    </row>
    <row r="435" spans="1:23" s="7" customFormat="1" x14ac:dyDescent="0.35">
      <c r="A435" s="7" t="s">
        <v>646</v>
      </c>
      <c r="B435" s="7" t="s">
        <v>522</v>
      </c>
      <c r="C435" s="7" t="s">
        <v>647</v>
      </c>
      <c r="D435" s="7">
        <v>2017</v>
      </c>
      <c r="E435" s="7">
        <v>93</v>
      </c>
      <c r="F435" s="7" t="s">
        <v>600</v>
      </c>
      <c r="G435" s="7" t="s">
        <v>11</v>
      </c>
      <c r="H435" s="7" t="s">
        <v>4</v>
      </c>
      <c r="K435" s="7" t="s">
        <v>378</v>
      </c>
      <c r="L435" s="7" t="s">
        <v>377</v>
      </c>
      <c r="M435" s="7" t="s">
        <v>348</v>
      </c>
      <c r="N435" s="7" t="s">
        <v>173</v>
      </c>
      <c r="O435" s="7" t="s">
        <v>439</v>
      </c>
      <c r="P435" s="7" t="s">
        <v>172</v>
      </c>
      <c r="Q435" s="9" t="s">
        <v>230</v>
      </c>
      <c r="R435" s="7">
        <v>100</v>
      </c>
      <c r="S435" s="8">
        <v>2.99</v>
      </c>
      <c r="T435" s="8">
        <v>292</v>
      </c>
      <c r="U435" s="8">
        <v>10</v>
      </c>
      <c r="V435" s="8"/>
      <c r="W435" s="8"/>
    </row>
    <row r="436" spans="1:23" s="7" customFormat="1" x14ac:dyDescent="0.35">
      <c r="A436" s="7" t="s">
        <v>648</v>
      </c>
      <c r="B436" s="7" t="s">
        <v>609</v>
      </c>
      <c r="C436" s="7" t="s">
        <v>366</v>
      </c>
      <c r="D436" s="7">
        <v>2017</v>
      </c>
      <c r="E436" s="7">
        <v>94</v>
      </c>
      <c r="F436" s="7" t="s">
        <v>600</v>
      </c>
      <c r="G436" s="7" t="s">
        <v>11</v>
      </c>
      <c r="H436" s="7" t="s">
        <v>4</v>
      </c>
      <c r="K436" s="7" t="s">
        <v>394</v>
      </c>
      <c r="M436" s="7" t="s">
        <v>348</v>
      </c>
      <c r="N436" s="7" t="s">
        <v>538</v>
      </c>
      <c r="O436" s="7" t="s">
        <v>95</v>
      </c>
      <c r="P436" s="7" t="s">
        <v>401</v>
      </c>
      <c r="Q436" s="9" t="s">
        <v>520</v>
      </c>
      <c r="R436" s="7">
        <v>0</v>
      </c>
      <c r="S436" s="8">
        <v>1.34</v>
      </c>
      <c r="T436" s="8">
        <v>0</v>
      </c>
      <c r="U436" s="8">
        <v>0</v>
      </c>
      <c r="V436" s="8"/>
      <c r="W436" s="8"/>
    </row>
    <row r="437" spans="1:23" s="7" customFormat="1" x14ac:dyDescent="0.35">
      <c r="A437" s="7" t="s">
        <v>648</v>
      </c>
      <c r="B437" s="7" t="s">
        <v>609</v>
      </c>
      <c r="C437" s="7" t="s">
        <v>366</v>
      </c>
      <c r="D437" s="7">
        <v>2017</v>
      </c>
      <c r="E437" s="7">
        <v>94</v>
      </c>
      <c r="F437" s="7" t="s">
        <v>600</v>
      </c>
      <c r="G437" s="7" t="s">
        <v>11</v>
      </c>
      <c r="H437" s="7" t="s">
        <v>4</v>
      </c>
      <c r="K437" s="7" t="s">
        <v>394</v>
      </c>
      <c r="M437" s="7" t="s">
        <v>348</v>
      </c>
      <c r="N437" s="7" t="s">
        <v>538</v>
      </c>
      <c r="O437" s="7" t="s">
        <v>95</v>
      </c>
      <c r="P437" s="7" t="s">
        <v>401</v>
      </c>
      <c r="Q437" s="9" t="s">
        <v>520</v>
      </c>
      <c r="R437" s="7">
        <v>33</v>
      </c>
      <c r="S437" s="8">
        <v>1.02</v>
      </c>
      <c r="T437" s="8">
        <v>33</v>
      </c>
      <c r="U437" s="8">
        <v>17</v>
      </c>
      <c r="V437" s="8"/>
      <c r="W437" s="8"/>
    </row>
    <row r="438" spans="1:23" s="7" customFormat="1" x14ac:dyDescent="0.35">
      <c r="A438" s="7" t="s">
        <v>648</v>
      </c>
      <c r="B438" s="7" t="s">
        <v>609</v>
      </c>
      <c r="C438" s="7" t="s">
        <v>366</v>
      </c>
      <c r="D438" s="7">
        <v>2017</v>
      </c>
      <c r="E438" s="7">
        <v>94</v>
      </c>
      <c r="F438" s="7" t="s">
        <v>600</v>
      </c>
      <c r="G438" s="7" t="s">
        <v>11</v>
      </c>
      <c r="H438" s="7" t="s">
        <v>4</v>
      </c>
      <c r="K438" s="7" t="s">
        <v>394</v>
      </c>
      <c r="M438" s="7" t="s">
        <v>348</v>
      </c>
      <c r="N438" s="7" t="s">
        <v>538</v>
      </c>
      <c r="O438" s="7" t="s">
        <v>95</v>
      </c>
      <c r="P438" s="7" t="s">
        <v>401</v>
      </c>
      <c r="Q438" s="9" t="s">
        <v>520</v>
      </c>
      <c r="R438" s="7">
        <v>76</v>
      </c>
      <c r="S438" s="8">
        <v>1.28</v>
      </c>
      <c r="T438" s="8">
        <v>58</v>
      </c>
      <c r="U438" s="8">
        <v>13</v>
      </c>
      <c r="V438" s="8"/>
      <c r="W438" s="8"/>
    </row>
    <row r="439" spans="1:23" s="7" customFormat="1" x14ac:dyDescent="0.35">
      <c r="A439" s="7" t="s">
        <v>649</v>
      </c>
      <c r="B439" s="7" t="s">
        <v>551</v>
      </c>
      <c r="C439" s="7" t="s">
        <v>488</v>
      </c>
      <c r="D439" s="7">
        <v>2003</v>
      </c>
      <c r="E439" s="7">
        <v>95</v>
      </c>
      <c r="F439" s="7" t="s">
        <v>600</v>
      </c>
      <c r="G439" s="7" t="s">
        <v>11</v>
      </c>
      <c r="H439" s="7" t="s">
        <v>645</v>
      </c>
      <c r="K439" s="7" t="s">
        <v>394</v>
      </c>
      <c r="M439" s="7" t="s">
        <v>348</v>
      </c>
      <c r="N439" s="7" t="s">
        <v>106</v>
      </c>
      <c r="O439" s="7" t="s">
        <v>416</v>
      </c>
      <c r="P439" s="7" t="s">
        <v>416</v>
      </c>
      <c r="Q439" s="9" t="s">
        <v>520</v>
      </c>
      <c r="R439" s="7">
        <v>0</v>
      </c>
      <c r="S439" s="8">
        <v>3.16</v>
      </c>
      <c r="T439" s="8"/>
      <c r="U439" s="8">
        <v>0</v>
      </c>
      <c r="V439" s="8"/>
      <c r="W439" s="8"/>
    </row>
    <row r="440" spans="1:23" s="7" customFormat="1" x14ac:dyDescent="0.35">
      <c r="A440" s="7" t="s">
        <v>649</v>
      </c>
      <c r="B440" s="7" t="s">
        <v>551</v>
      </c>
      <c r="C440" s="7" t="s">
        <v>488</v>
      </c>
      <c r="D440" s="7">
        <v>2003</v>
      </c>
      <c r="E440" s="7">
        <v>95</v>
      </c>
      <c r="F440" s="7" t="s">
        <v>600</v>
      </c>
      <c r="G440" s="7" t="s">
        <v>11</v>
      </c>
      <c r="H440" s="7" t="s">
        <v>645</v>
      </c>
      <c r="K440" s="7" t="s">
        <v>394</v>
      </c>
      <c r="M440" s="7" t="s">
        <v>348</v>
      </c>
      <c r="N440" s="7" t="s">
        <v>106</v>
      </c>
      <c r="O440" s="7" t="s">
        <v>416</v>
      </c>
      <c r="P440" s="7" t="s">
        <v>416</v>
      </c>
      <c r="Q440" s="9" t="s">
        <v>520</v>
      </c>
      <c r="R440" s="7">
        <v>100</v>
      </c>
      <c r="S440" s="8">
        <v>2.1</v>
      </c>
      <c r="T440" s="8"/>
      <c r="U440" s="8">
        <v>-1.5</v>
      </c>
      <c r="V440" s="8"/>
      <c r="W440" s="8"/>
    </row>
    <row r="441" spans="1:23" s="7" customFormat="1" x14ac:dyDescent="0.35">
      <c r="A441" s="7" t="s">
        <v>649</v>
      </c>
      <c r="B441" s="7" t="s">
        <v>551</v>
      </c>
      <c r="C441" s="7" t="s">
        <v>488</v>
      </c>
      <c r="D441" s="7">
        <v>2003</v>
      </c>
      <c r="E441" s="7">
        <v>95</v>
      </c>
      <c r="F441" s="7" t="s">
        <v>600</v>
      </c>
      <c r="G441" s="7" t="s">
        <v>11</v>
      </c>
      <c r="H441" s="7" t="s">
        <v>645</v>
      </c>
      <c r="K441" s="7" t="s">
        <v>394</v>
      </c>
      <c r="M441" s="7" t="s">
        <v>348</v>
      </c>
      <c r="N441" s="7" t="s">
        <v>106</v>
      </c>
      <c r="O441" s="7" t="s">
        <v>416</v>
      </c>
      <c r="P441" s="7" t="s">
        <v>416</v>
      </c>
      <c r="Q441" s="9" t="s">
        <v>520</v>
      </c>
      <c r="R441" s="7">
        <v>100</v>
      </c>
      <c r="S441" s="8">
        <v>2.98</v>
      </c>
      <c r="T441" s="8"/>
      <c r="U441" s="8">
        <v>-1.5</v>
      </c>
      <c r="V441" s="8"/>
      <c r="W441" s="8"/>
    </row>
    <row r="442" spans="1:23" s="7" customFormat="1" x14ac:dyDescent="0.35">
      <c r="A442" s="7" t="s">
        <v>651</v>
      </c>
      <c r="B442" s="7" t="s">
        <v>565</v>
      </c>
      <c r="C442" s="7" t="s">
        <v>652</v>
      </c>
      <c r="D442" s="7">
        <v>2017</v>
      </c>
      <c r="E442" s="7">
        <v>96</v>
      </c>
      <c r="F442" s="7" t="s">
        <v>600</v>
      </c>
      <c r="G442" s="7" t="s">
        <v>11</v>
      </c>
      <c r="H442" s="7" t="s">
        <v>650</v>
      </c>
      <c r="K442" s="7" t="s">
        <v>394</v>
      </c>
      <c r="M442" s="7" t="s">
        <v>348</v>
      </c>
      <c r="N442" s="7" t="s">
        <v>417</v>
      </c>
      <c r="O442" s="7" t="s">
        <v>654</v>
      </c>
      <c r="P442" s="7" t="s">
        <v>653</v>
      </c>
      <c r="Q442" s="9" t="s">
        <v>229</v>
      </c>
      <c r="R442" s="7">
        <v>0</v>
      </c>
      <c r="S442" s="8">
        <v>1.29</v>
      </c>
      <c r="T442" s="8"/>
      <c r="U442" s="8">
        <v>0</v>
      </c>
      <c r="V442" s="8"/>
      <c r="W442" s="8"/>
    </row>
    <row r="443" spans="1:23" s="7" customFormat="1" x14ac:dyDescent="0.35">
      <c r="A443" s="7" t="s">
        <v>651</v>
      </c>
      <c r="B443" s="7" t="s">
        <v>565</v>
      </c>
      <c r="C443" s="7" t="s">
        <v>652</v>
      </c>
      <c r="D443" s="7">
        <v>2017</v>
      </c>
      <c r="E443" s="7">
        <v>96</v>
      </c>
      <c r="F443" s="7" t="s">
        <v>600</v>
      </c>
      <c r="G443" s="7" t="s">
        <v>11</v>
      </c>
      <c r="H443" s="7" t="s">
        <v>650</v>
      </c>
      <c r="K443" s="7" t="s">
        <v>394</v>
      </c>
      <c r="M443" s="7" t="s">
        <v>348</v>
      </c>
      <c r="N443" s="7" t="s">
        <v>417</v>
      </c>
      <c r="O443" s="7" t="s">
        <v>654</v>
      </c>
      <c r="P443" s="7" t="s">
        <v>653</v>
      </c>
      <c r="Q443" s="9" t="s">
        <v>229</v>
      </c>
      <c r="R443" s="7">
        <v>10</v>
      </c>
      <c r="S443" s="8">
        <v>1.53</v>
      </c>
      <c r="T443" s="8"/>
      <c r="U443" s="8">
        <v>-2</v>
      </c>
      <c r="V443" s="8"/>
      <c r="W443" s="8"/>
    </row>
    <row r="444" spans="1:23" s="7" customFormat="1" x14ac:dyDescent="0.35">
      <c r="A444" s="7" t="s">
        <v>651</v>
      </c>
      <c r="B444" s="7" t="s">
        <v>565</v>
      </c>
      <c r="C444" s="7" t="s">
        <v>652</v>
      </c>
      <c r="D444" s="7">
        <v>2017</v>
      </c>
      <c r="E444" s="7">
        <v>96</v>
      </c>
      <c r="F444" s="7" t="s">
        <v>600</v>
      </c>
      <c r="G444" s="7" t="s">
        <v>11</v>
      </c>
      <c r="H444" s="7" t="s">
        <v>650</v>
      </c>
      <c r="K444" s="7" t="s">
        <v>394</v>
      </c>
      <c r="M444" s="7" t="s">
        <v>348</v>
      </c>
      <c r="N444" s="7" t="s">
        <v>417</v>
      </c>
      <c r="O444" s="7" t="s">
        <v>654</v>
      </c>
      <c r="P444" s="7" t="s">
        <v>653</v>
      </c>
      <c r="Q444" s="9" t="s">
        <v>229</v>
      </c>
      <c r="R444" s="7">
        <v>20</v>
      </c>
      <c r="S444" s="8">
        <v>1.52</v>
      </c>
      <c r="T444" s="8"/>
      <c r="U444" s="8">
        <v>-3.5</v>
      </c>
      <c r="V444" s="8"/>
      <c r="W444" s="8"/>
    </row>
    <row r="445" spans="1:23" s="7" customFormat="1" x14ac:dyDescent="0.35">
      <c r="A445" s="7" t="s">
        <v>651</v>
      </c>
      <c r="B445" s="7" t="s">
        <v>565</v>
      </c>
      <c r="C445" s="7" t="s">
        <v>652</v>
      </c>
      <c r="D445" s="7">
        <v>2017</v>
      </c>
      <c r="E445" s="7">
        <v>96</v>
      </c>
      <c r="F445" s="7" t="s">
        <v>600</v>
      </c>
      <c r="G445" s="7" t="s">
        <v>11</v>
      </c>
      <c r="H445" s="7" t="s">
        <v>650</v>
      </c>
      <c r="K445" s="7" t="s">
        <v>394</v>
      </c>
      <c r="M445" s="7" t="s">
        <v>348</v>
      </c>
      <c r="N445" s="7" t="s">
        <v>417</v>
      </c>
      <c r="O445" s="7" t="s">
        <v>654</v>
      </c>
      <c r="P445" s="7" t="s">
        <v>653</v>
      </c>
      <c r="Q445" s="9" t="s">
        <v>229</v>
      </c>
      <c r="R445" s="7">
        <v>40</v>
      </c>
      <c r="S445" s="8">
        <v>1.31</v>
      </c>
      <c r="T445" s="8"/>
      <c r="U445" s="8">
        <v>-6</v>
      </c>
      <c r="V445" s="8"/>
      <c r="W445" s="8"/>
    </row>
    <row r="446" spans="1:23" s="7" customFormat="1" x14ac:dyDescent="0.35">
      <c r="A446" s="7" t="s">
        <v>651</v>
      </c>
      <c r="B446" s="7" t="s">
        <v>565</v>
      </c>
      <c r="C446" s="7" t="s">
        <v>652</v>
      </c>
      <c r="D446" s="7">
        <v>2017</v>
      </c>
      <c r="E446" s="7">
        <v>96</v>
      </c>
      <c r="F446" s="7" t="s">
        <v>600</v>
      </c>
      <c r="G446" s="7" t="s">
        <v>11</v>
      </c>
      <c r="H446" s="7" t="s">
        <v>650</v>
      </c>
      <c r="K446" s="7" t="s">
        <v>394</v>
      </c>
      <c r="M446" s="7" t="s">
        <v>348</v>
      </c>
      <c r="N446" s="7" t="s">
        <v>417</v>
      </c>
      <c r="O446" s="7" t="s">
        <v>654</v>
      </c>
      <c r="P446" s="7" t="s">
        <v>653</v>
      </c>
      <c r="Q446" s="9" t="s">
        <v>229</v>
      </c>
      <c r="R446" s="7">
        <v>60</v>
      </c>
      <c r="S446" s="8">
        <v>1.25</v>
      </c>
      <c r="T446" s="8"/>
      <c r="U446" s="8">
        <v>-0.5</v>
      </c>
      <c r="V446" s="8"/>
      <c r="W446" s="8"/>
    </row>
    <row r="447" spans="1:23" s="7" customFormat="1" x14ac:dyDescent="0.35">
      <c r="A447" s="7" t="s">
        <v>655</v>
      </c>
      <c r="B447" s="7" t="s">
        <v>528</v>
      </c>
      <c r="C447" s="7" t="s">
        <v>548</v>
      </c>
      <c r="D447" s="7">
        <v>2012</v>
      </c>
      <c r="E447" s="7">
        <v>97</v>
      </c>
      <c r="F447" s="7" t="s">
        <v>600</v>
      </c>
      <c r="G447" s="7" t="s">
        <v>11</v>
      </c>
      <c r="H447" s="7" t="s">
        <v>656</v>
      </c>
      <c r="K447" s="7" t="s">
        <v>394</v>
      </c>
      <c r="M447" s="7" t="s">
        <v>348</v>
      </c>
      <c r="N447" s="7" t="s">
        <v>106</v>
      </c>
      <c r="O447" s="7" t="s">
        <v>657</v>
      </c>
      <c r="P447" s="7" t="s">
        <v>685</v>
      </c>
      <c r="Q447" s="9" t="s">
        <v>230</v>
      </c>
      <c r="R447" s="7">
        <v>0</v>
      </c>
      <c r="S447" s="8">
        <v>1.19</v>
      </c>
      <c r="T447" s="8">
        <v>0</v>
      </c>
      <c r="U447" s="8">
        <v>0</v>
      </c>
      <c r="V447" s="8"/>
      <c r="W447" s="8"/>
    </row>
    <row r="448" spans="1:23" s="7" customFormat="1" x14ac:dyDescent="0.35">
      <c r="A448" s="7" t="s">
        <v>655</v>
      </c>
      <c r="B448" s="7" t="s">
        <v>528</v>
      </c>
      <c r="C448" s="7" t="s">
        <v>548</v>
      </c>
      <c r="D448" s="7">
        <v>2012</v>
      </c>
      <c r="E448" s="7">
        <v>97</v>
      </c>
      <c r="F448" s="7" t="s">
        <v>600</v>
      </c>
      <c r="G448" s="7" t="s">
        <v>11</v>
      </c>
      <c r="H448" s="7" t="s">
        <v>656</v>
      </c>
      <c r="K448" s="7" t="s">
        <v>394</v>
      </c>
      <c r="M448" s="7" t="s">
        <v>348</v>
      </c>
      <c r="N448" s="7" t="s">
        <v>106</v>
      </c>
      <c r="O448" s="7" t="s">
        <v>657</v>
      </c>
      <c r="P448" s="7" t="s">
        <v>685</v>
      </c>
      <c r="Q448" s="9" t="s">
        <v>230</v>
      </c>
      <c r="R448" s="7">
        <v>14</v>
      </c>
      <c r="S448" s="8">
        <v>1.0900000000000001</v>
      </c>
      <c r="T448" s="8">
        <v>1700</v>
      </c>
      <c r="U448" s="8">
        <v>-13</v>
      </c>
      <c r="V448" s="8"/>
      <c r="W448" s="8"/>
    </row>
    <row r="449" spans="1:23" s="7" customFormat="1" x14ac:dyDescent="0.35">
      <c r="A449" s="7" t="s">
        <v>655</v>
      </c>
      <c r="B449" s="7" t="s">
        <v>528</v>
      </c>
      <c r="C449" s="7" t="s">
        <v>548</v>
      </c>
      <c r="D449" s="7">
        <v>2012</v>
      </c>
      <c r="E449" s="7">
        <v>97</v>
      </c>
      <c r="F449" s="7" t="s">
        <v>600</v>
      </c>
      <c r="G449" s="7" t="s">
        <v>11</v>
      </c>
      <c r="H449" s="7" t="s">
        <v>541</v>
      </c>
      <c r="K449" s="7" t="s">
        <v>394</v>
      </c>
      <c r="M449" s="7" t="s">
        <v>348</v>
      </c>
      <c r="N449" s="7" t="s">
        <v>106</v>
      </c>
      <c r="O449" s="7" t="s">
        <v>657</v>
      </c>
      <c r="P449" s="7" t="s">
        <v>685</v>
      </c>
      <c r="Q449" s="9" t="s">
        <v>230</v>
      </c>
      <c r="R449" s="7">
        <v>0</v>
      </c>
      <c r="S449" s="8">
        <v>1.19</v>
      </c>
      <c r="T449" s="8">
        <v>0</v>
      </c>
      <c r="U449" s="8">
        <v>0</v>
      </c>
      <c r="V449" s="8"/>
      <c r="W449" s="8"/>
    </row>
    <row r="450" spans="1:23" s="7" customFormat="1" x14ac:dyDescent="0.35">
      <c r="A450" s="7" t="s">
        <v>655</v>
      </c>
      <c r="B450" s="7" t="s">
        <v>528</v>
      </c>
      <c r="C450" s="7" t="s">
        <v>548</v>
      </c>
      <c r="D450" s="7">
        <v>2012</v>
      </c>
      <c r="E450" s="7">
        <v>97</v>
      </c>
      <c r="F450" s="7" t="s">
        <v>600</v>
      </c>
      <c r="G450" s="7" t="s">
        <v>11</v>
      </c>
      <c r="H450" s="7" t="s">
        <v>541</v>
      </c>
      <c r="K450" s="7" t="s">
        <v>394</v>
      </c>
      <c r="M450" s="7" t="s">
        <v>348</v>
      </c>
      <c r="N450" s="7" t="s">
        <v>106</v>
      </c>
      <c r="O450" s="7" t="s">
        <v>657</v>
      </c>
      <c r="P450" s="7" t="s">
        <v>685</v>
      </c>
      <c r="Q450" s="9" t="s">
        <v>230</v>
      </c>
      <c r="R450" s="7">
        <v>38</v>
      </c>
      <c r="S450" s="8">
        <v>1.4</v>
      </c>
      <c r="T450" s="8">
        <v>3200</v>
      </c>
      <c r="U450" s="8">
        <v>81</v>
      </c>
      <c r="V450" s="8"/>
      <c r="W450" s="8"/>
    </row>
    <row r="451" spans="1:23" s="7" customFormat="1" x14ac:dyDescent="0.35">
      <c r="A451" s="7" t="s">
        <v>658</v>
      </c>
      <c r="B451" s="7" t="s">
        <v>659</v>
      </c>
      <c r="C451" s="7" t="s">
        <v>366</v>
      </c>
      <c r="D451" s="7">
        <v>2017</v>
      </c>
      <c r="E451" s="7">
        <v>98</v>
      </c>
      <c r="F451" s="7" t="s">
        <v>600</v>
      </c>
      <c r="G451" s="7" t="s">
        <v>11</v>
      </c>
      <c r="H451" s="7" t="s">
        <v>30</v>
      </c>
      <c r="K451" s="7" t="s">
        <v>394</v>
      </c>
      <c r="M451" s="7" t="s">
        <v>348</v>
      </c>
      <c r="N451" s="7" t="s">
        <v>380</v>
      </c>
      <c r="O451" s="7" t="s">
        <v>413</v>
      </c>
      <c r="P451" s="7" t="s">
        <v>131</v>
      </c>
      <c r="Q451" s="9" t="s">
        <v>520</v>
      </c>
      <c r="R451" s="7">
        <v>0</v>
      </c>
      <c r="S451" s="8">
        <v>0.9</v>
      </c>
      <c r="T451" s="8">
        <v>0</v>
      </c>
      <c r="U451" s="8">
        <v>0</v>
      </c>
      <c r="V451" s="8"/>
      <c r="W451" s="8"/>
    </row>
    <row r="452" spans="1:23" s="7" customFormat="1" x14ac:dyDescent="0.35">
      <c r="A452" s="7" t="s">
        <v>658</v>
      </c>
      <c r="B452" s="7" t="s">
        <v>659</v>
      </c>
      <c r="C452" s="7" t="s">
        <v>366</v>
      </c>
      <c r="D452" s="7">
        <v>2017</v>
      </c>
      <c r="E452" s="7">
        <v>98</v>
      </c>
      <c r="F452" s="7" t="s">
        <v>600</v>
      </c>
      <c r="G452" s="7" t="s">
        <v>11</v>
      </c>
      <c r="H452" s="7" t="s">
        <v>30</v>
      </c>
      <c r="K452" s="7" t="s">
        <v>394</v>
      </c>
      <c r="M452" s="7" t="s">
        <v>348</v>
      </c>
      <c r="N452" s="7" t="s">
        <v>380</v>
      </c>
      <c r="O452" s="7" t="s">
        <v>413</v>
      </c>
      <c r="P452" s="7" t="s">
        <v>131</v>
      </c>
      <c r="Q452" s="9" t="s">
        <v>520</v>
      </c>
      <c r="R452" s="7">
        <v>25</v>
      </c>
      <c r="S452" s="8">
        <v>0.88</v>
      </c>
      <c r="T452" s="8">
        <v>32</v>
      </c>
      <c r="U452" s="8">
        <v>-23</v>
      </c>
      <c r="V452" s="8"/>
      <c r="W452" s="8"/>
    </row>
    <row r="453" spans="1:23" s="7" customFormat="1" x14ac:dyDescent="0.35">
      <c r="A453" s="7" t="s">
        <v>658</v>
      </c>
      <c r="B453" s="7" t="s">
        <v>659</v>
      </c>
      <c r="C453" s="7" t="s">
        <v>366</v>
      </c>
      <c r="D453" s="7">
        <v>2017</v>
      </c>
      <c r="E453" s="7">
        <v>98</v>
      </c>
      <c r="F453" s="7" t="s">
        <v>600</v>
      </c>
      <c r="G453" s="7" t="s">
        <v>11</v>
      </c>
      <c r="H453" s="7" t="s">
        <v>30</v>
      </c>
      <c r="K453" s="7" t="s">
        <v>394</v>
      </c>
      <c r="M453" s="7" t="s">
        <v>348</v>
      </c>
      <c r="N453" s="7" t="s">
        <v>380</v>
      </c>
      <c r="O453" s="7" t="s">
        <v>413</v>
      </c>
      <c r="P453" s="7" t="s">
        <v>131</v>
      </c>
      <c r="Q453" s="9" t="s">
        <v>520</v>
      </c>
      <c r="R453" s="7">
        <v>50</v>
      </c>
      <c r="S453" s="8">
        <v>0.9</v>
      </c>
      <c r="T453" s="8">
        <v>44</v>
      </c>
      <c r="U453" s="8">
        <v>-46</v>
      </c>
      <c r="V453" s="8"/>
      <c r="W453" s="8"/>
    </row>
    <row r="454" spans="1:23" s="7" customFormat="1" x14ac:dyDescent="0.35">
      <c r="A454" s="7" t="s">
        <v>660</v>
      </c>
      <c r="B454" s="7" t="s">
        <v>661</v>
      </c>
      <c r="C454" s="7" t="s">
        <v>366</v>
      </c>
      <c r="D454" s="7">
        <v>2015</v>
      </c>
      <c r="E454" s="7">
        <v>99</v>
      </c>
      <c r="F454" s="7" t="s">
        <v>600</v>
      </c>
      <c r="G454" s="7" t="s">
        <v>11</v>
      </c>
      <c r="H454" s="7" t="s">
        <v>4</v>
      </c>
      <c r="K454" s="7" t="s">
        <v>394</v>
      </c>
      <c r="M454" s="7" t="s">
        <v>348</v>
      </c>
      <c r="N454" s="7" t="s">
        <v>31</v>
      </c>
      <c r="O454" s="7" t="s">
        <v>663</v>
      </c>
      <c r="P454" s="7" t="s">
        <v>662</v>
      </c>
      <c r="Q454" s="9" t="s">
        <v>229</v>
      </c>
      <c r="R454" s="7">
        <v>0</v>
      </c>
      <c r="S454" s="8">
        <v>3.8</v>
      </c>
      <c r="T454" s="8">
        <v>0</v>
      </c>
      <c r="U454" s="8">
        <v>0</v>
      </c>
      <c r="V454" s="8"/>
      <c r="W454" s="8"/>
    </row>
    <row r="455" spans="1:23" s="7" customFormat="1" x14ac:dyDescent="0.35">
      <c r="A455" s="7" t="s">
        <v>660</v>
      </c>
      <c r="B455" s="7" t="s">
        <v>661</v>
      </c>
      <c r="C455" s="7" t="s">
        <v>366</v>
      </c>
      <c r="D455" s="7">
        <v>2015</v>
      </c>
      <c r="E455" s="7">
        <v>99</v>
      </c>
      <c r="F455" s="7" t="s">
        <v>600</v>
      </c>
      <c r="G455" s="7" t="s">
        <v>11</v>
      </c>
      <c r="H455" s="7" t="s">
        <v>4</v>
      </c>
      <c r="K455" s="7" t="s">
        <v>394</v>
      </c>
      <c r="M455" s="7" t="s">
        <v>348</v>
      </c>
      <c r="N455" s="7" t="s">
        <v>31</v>
      </c>
      <c r="O455" s="7" t="s">
        <v>663</v>
      </c>
      <c r="P455" s="7" t="s">
        <v>662</v>
      </c>
      <c r="Q455" s="9" t="s">
        <v>229</v>
      </c>
      <c r="R455" s="7">
        <v>50</v>
      </c>
      <c r="S455" s="8">
        <v>4.0999999999999996</v>
      </c>
      <c r="T455" s="8">
        <v>0</v>
      </c>
      <c r="U455" s="8">
        <v>0</v>
      </c>
      <c r="V455" s="8"/>
      <c r="W455" s="8"/>
    </row>
    <row r="456" spans="1:23" s="7" customFormat="1" x14ac:dyDescent="0.35">
      <c r="A456" s="7" t="s">
        <v>664</v>
      </c>
      <c r="B456" s="7" t="s">
        <v>468</v>
      </c>
      <c r="C456" s="7" t="s">
        <v>399</v>
      </c>
      <c r="D456" s="7">
        <v>2016</v>
      </c>
      <c r="E456" s="7">
        <v>100</v>
      </c>
      <c r="F456" s="7" t="s">
        <v>416</v>
      </c>
      <c r="G456" s="7" t="s">
        <v>11</v>
      </c>
      <c r="H456" s="7" t="s">
        <v>4</v>
      </c>
      <c r="I456" s="7" t="s">
        <v>665</v>
      </c>
      <c r="J456" s="7" t="s">
        <v>541</v>
      </c>
      <c r="K456" s="7" t="s">
        <v>394</v>
      </c>
      <c r="M456" s="7" t="s">
        <v>348</v>
      </c>
      <c r="N456" s="7" t="s">
        <v>417</v>
      </c>
      <c r="O456" s="7" t="s">
        <v>103</v>
      </c>
      <c r="P456" s="7" t="s">
        <v>102</v>
      </c>
      <c r="Q456" s="9" t="s">
        <v>520</v>
      </c>
      <c r="R456" s="7">
        <v>0</v>
      </c>
      <c r="S456" s="8">
        <f>1/1.03</f>
        <v>0.970873786407767</v>
      </c>
      <c r="T456" s="8">
        <v>0</v>
      </c>
      <c r="U456" s="8">
        <v>0</v>
      </c>
      <c r="V456" s="8"/>
      <c r="W456" s="8"/>
    </row>
    <row r="457" spans="1:23" s="7" customFormat="1" x14ac:dyDescent="0.35">
      <c r="A457" s="7" t="s">
        <v>664</v>
      </c>
      <c r="B457" s="7" t="s">
        <v>468</v>
      </c>
      <c r="C457" s="7" t="s">
        <v>399</v>
      </c>
      <c r="D457" s="7">
        <v>2016</v>
      </c>
      <c r="E457" s="7">
        <v>100</v>
      </c>
      <c r="F457" s="7" t="s">
        <v>416</v>
      </c>
      <c r="G457" s="7" t="s">
        <v>11</v>
      </c>
      <c r="H457" s="7" t="s">
        <v>4</v>
      </c>
      <c r="I457" s="7" t="s">
        <v>665</v>
      </c>
      <c r="J457" s="7" t="s">
        <v>541</v>
      </c>
      <c r="K457" s="7" t="s">
        <v>394</v>
      </c>
      <c r="M457" s="7" t="s">
        <v>348</v>
      </c>
      <c r="N457" s="7" t="s">
        <v>417</v>
      </c>
      <c r="O457" s="7" t="s">
        <v>103</v>
      </c>
      <c r="P457" s="7" t="s">
        <v>102</v>
      </c>
      <c r="Q457" s="9" t="s">
        <v>520</v>
      </c>
      <c r="R457" s="7">
        <v>48</v>
      </c>
      <c r="S457" s="8">
        <f>1/0.74</f>
        <v>1.3513513513513513</v>
      </c>
      <c r="T457" s="8">
        <v>53</v>
      </c>
      <c r="U457" s="8">
        <v>-1</v>
      </c>
      <c r="V457" s="8"/>
      <c r="W457" s="8"/>
    </row>
    <row r="458" spans="1:23" s="7" customFormat="1" x14ac:dyDescent="0.35">
      <c r="A458" s="7" t="s">
        <v>666</v>
      </c>
      <c r="B458" s="7" t="s">
        <v>473</v>
      </c>
      <c r="C458" s="7" t="s">
        <v>385</v>
      </c>
      <c r="D458" s="7">
        <v>2011</v>
      </c>
      <c r="E458" s="7">
        <v>101</v>
      </c>
      <c r="F458" s="7" t="s">
        <v>600</v>
      </c>
      <c r="G458" s="7" t="s">
        <v>11</v>
      </c>
      <c r="H458" s="7" t="s">
        <v>30</v>
      </c>
      <c r="K458" s="7" t="s">
        <v>378</v>
      </c>
      <c r="L458" s="7" t="s">
        <v>700</v>
      </c>
      <c r="M458" s="7" t="s">
        <v>348</v>
      </c>
      <c r="N458" s="7" t="s">
        <v>380</v>
      </c>
      <c r="O458" s="7" t="s">
        <v>413</v>
      </c>
      <c r="P458" s="7" t="s">
        <v>131</v>
      </c>
      <c r="Q458" s="9" t="s">
        <v>520</v>
      </c>
      <c r="R458" s="7">
        <v>0</v>
      </c>
      <c r="S458" s="8">
        <v>1.2</v>
      </c>
      <c r="T458" s="8">
        <v>0</v>
      </c>
      <c r="U458" s="8">
        <v>0</v>
      </c>
      <c r="V458" s="8"/>
      <c r="W458" s="8"/>
    </row>
    <row r="459" spans="1:23" s="7" customFormat="1" x14ac:dyDescent="0.35">
      <c r="A459" s="7" t="s">
        <v>666</v>
      </c>
      <c r="B459" s="7" t="s">
        <v>473</v>
      </c>
      <c r="C459" s="7" t="s">
        <v>385</v>
      </c>
      <c r="D459" s="7">
        <v>2011</v>
      </c>
      <c r="E459" s="7">
        <v>101</v>
      </c>
      <c r="F459" s="7" t="s">
        <v>600</v>
      </c>
      <c r="G459" s="7" t="s">
        <v>11</v>
      </c>
      <c r="H459" s="7" t="s">
        <v>30</v>
      </c>
      <c r="K459" s="7" t="s">
        <v>378</v>
      </c>
      <c r="L459" s="7" t="s">
        <v>700</v>
      </c>
      <c r="M459" s="7" t="s">
        <v>348</v>
      </c>
      <c r="N459" s="7" t="s">
        <v>380</v>
      </c>
      <c r="O459" s="7" t="s">
        <v>413</v>
      </c>
      <c r="P459" s="7" t="s">
        <v>131</v>
      </c>
      <c r="Q459" s="9" t="s">
        <v>520</v>
      </c>
      <c r="R459" s="7">
        <v>25</v>
      </c>
      <c r="S459" s="8">
        <v>1</v>
      </c>
      <c r="T459" s="8">
        <v>23</v>
      </c>
      <c r="U459" s="8">
        <v>0</v>
      </c>
      <c r="V459" s="8"/>
      <c r="W459" s="8"/>
    </row>
    <row r="460" spans="1:23" s="7" customFormat="1" x14ac:dyDescent="0.35">
      <c r="A460" s="7" t="s">
        <v>666</v>
      </c>
      <c r="B460" s="7" t="s">
        <v>473</v>
      </c>
      <c r="C460" s="7" t="s">
        <v>385</v>
      </c>
      <c r="D460" s="7">
        <v>2011</v>
      </c>
      <c r="E460" s="7">
        <v>101</v>
      </c>
      <c r="F460" s="7" t="s">
        <v>600</v>
      </c>
      <c r="G460" s="7" t="s">
        <v>11</v>
      </c>
      <c r="H460" s="7" t="s">
        <v>30</v>
      </c>
      <c r="K460" s="7" t="s">
        <v>378</v>
      </c>
      <c r="L460" s="7" t="s">
        <v>700</v>
      </c>
      <c r="M460" s="7" t="s">
        <v>348</v>
      </c>
      <c r="N460" s="7" t="s">
        <v>380</v>
      </c>
      <c r="O460" s="7" t="s">
        <v>413</v>
      </c>
      <c r="P460" s="7" t="s">
        <v>131</v>
      </c>
      <c r="Q460" s="9" t="s">
        <v>520</v>
      </c>
      <c r="R460" s="7">
        <v>50</v>
      </c>
      <c r="S460" s="8">
        <v>1</v>
      </c>
      <c r="T460" s="8">
        <v>0</v>
      </c>
      <c r="U460" s="8">
        <v>0</v>
      </c>
      <c r="V460" s="8"/>
      <c r="W460" s="8"/>
    </row>
    <row r="461" spans="1:23" s="7" customFormat="1" x14ac:dyDescent="0.35">
      <c r="A461" s="7" t="s">
        <v>666</v>
      </c>
      <c r="B461" s="7" t="s">
        <v>473</v>
      </c>
      <c r="C461" s="7" t="s">
        <v>385</v>
      </c>
      <c r="D461" s="7">
        <v>2011</v>
      </c>
      <c r="E461" s="7">
        <v>101</v>
      </c>
      <c r="F461" s="7" t="s">
        <v>600</v>
      </c>
      <c r="G461" s="7" t="s">
        <v>11</v>
      </c>
      <c r="H461" s="7" t="s">
        <v>30</v>
      </c>
      <c r="K461" s="7" t="s">
        <v>378</v>
      </c>
      <c r="L461" s="7" t="s">
        <v>700</v>
      </c>
      <c r="M461" s="7" t="s">
        <v>348</v>
      </c>
      <c r="N461" s="7" t="s">
        <v>380</v>
      </c>
      <c r="O461" s="7" t="s">
        <v>413</v>
      </c>
      <c r="P461" s="7" t="s">
        <v>131</v>
      </c>
      <c r="Q461" s="9" t="s">
        <v>520</v>
      </c>
      <c r="R461" s="7">
        <v>25</v>
      </c>
      <c r="S461" s="8">
        <v>1</v>
      </c>
      <c r="T461" s="8">
        <v>23</v>
      </c>
      <c r="U461" s="8">
        <v>0</v>
      </c>
      <c r="V461" s="8"/>
      <c r="W461" s="8"/>
    </row>
    <row r="462" spans="1:23" s="7" customFormat="1" x14ac:dyDescent="0.35">
      <c r="A462" s="7" t="s">
        <v>666</v>
      </c>
      <c r="B462" s="7" t="s">
        <v>473</v>
      </c>
      <c r="C462" s="7" t="s">
        <v>385</v>
      </c>
      <c r="D462" s="7">
        <v>2011</v>
      </c>
      <c r="E462" s="7">
        <v>101</v>
      </c>
      <c r="F462" s="7" t="s">
        <v>600</v>
      </c>
      <c r="G462" s="7" t="s">
        <v>11</v>
      </c>
      <c r="H462" s="7" t="s">
        <v>30</v>
      </c>
      <c r="K462" s="7" t="s">
        <v>378</v>
      </c>
      <c r="L462" s="7" t="s">
        <v>700</v>
      </c>
      <c r="M462" s="7" t="s">
        <v>348</v>
      </c>
      <c r="N462" s="7" t="s">
        <v>380</v>
      </c>
      <c r="O462" s="7" t="s">
        <v>413</v>
      </c>
      <c r="P462" s="7" t="s">
        <v>131</v>
      </c>
      <c r="Q462" s="9" t="s">
        <v>520</v>
      </c>
      <c r="R462" s="7">
        <v>50</v>
      </c>
      <c r="S462" s="8">
        <v>1.1000000000000001</v>
      </c>
      <c r="T462" s="8">
        <v>46</v>
      </c>
      <c r="U462" s="8">
        <v>0</v>
      </c>
      <c r="V462" s="8"/>
      <c r="W462" s="8"/>
    </row>
    <row r="463" spans="1:23" s="7" customFormat="1" x14ac:dyDescent="0.35">
      <c r="A463" s="7" t="s">
        <v>667</v>
      </c>
      <c r="B463" s="7" t="s">
        <v>668</v>
      </c>
      <c r="C463" s="7" t="s">
        <v>477</v>
      </c>
      <c r="D463" s="7">
        <v>2014</v>
      </c>
      <c r="E463" s="7">
        <v>102</v>
      </c>
      <c r="F463" s="7" t="s">
        <v>600</v>
      </c>
      <c r="G463" s="7" t="s">
        <v>11</v>
      </c>
      <c r="H463" s="7" t="s">
        <v>669</v>
      </c>
      <c r="K463" s="7" t="s">
        <v>394</v>
      </c>
      <c r="M463" s="7" t="s">
        <v>348</v>
      </c>
      <c r="N463" s="7" t="s">
        <v>173</v>
      </c>
      <c r="O463" s="7" t="s">
        <v>474</v>
      </c>
      <c r="P463" s="7" t="s">
        <v>489</v>
      </c>
      <c r="Q463" s="9" t="s">
        <v>230</v>
      </c>
      <c r="R463" s="7">
        <v>0</v>
      </c>
      <c r="S463" s="8">
        <v>1.26</v>
      </c>
      <c r="T463" s="8">
        <v>0</v>
      </c>
      <c r="U463" s="8">
        <v>0</v>
      </c>
      <c r="V463" s="8"/>
      <c r="W463" s="8"/>
    </row>
    <row r="464" spans="1:23" s="7" customFormat="1" x14ac:dyDescent="0.35">
      <c r="A464" s="7" t="s">
        <v>667</v>
      </c>
      <c r="B464" s="7" t="s">
        <v>668</v>
      </c>
      <c r="C464" s="7" t="s">
        <v>477</v>
      </c>
      <c r="D464" s="7">
        <v>2014</v>
      </c>
      <c r="E464" s="7">
        <v>102</v>
      </c>
      <c r="F464" s="7" t="s">
        <v>600</v>
      </c>
      <c r="G464" s="7" t="s">
        <v>11</v>
      </c>
      <c r="H464" s="7" t="s">
        <v>669</v>
      </c>
      <c r="K464" s="7" t="s">
        <v>394</v>
      </c>
      <c r="M464" s="7" t="s">
        <v>348</v>
      </c>
      <c r="N464" s="7" t="s">
        <v>173</v>
      </c>
      <c r="O464" s="7" t="s">
        <v>474</v>
      </c>
      <c r="P464" s="7" t="s">
        <v>489</v>
      </c>
      <c r="Q464" s="9" t="s">
        <v>230</v>
      </c>
      <c r="R464" s="7">
        <v>35</v>
      </c>
      <c r="S464" s="8">
        <v>2.23</v>
      </c>
      <c r="T464" s="8">
        <v>0</v>
      </c>
      <c r="U464" s="8">
        <v>0</v>
      </c>
      <c r="V464" s="8"/>
      <c r="W464" s="8"/>
    </row>
    <row r="465" spans="1:23" s="7" customFormat="1" x14ac:dyDescent="0.35">
      <c r="A465" s="7" t="s">
        <v>667</v>
      </c>
      <c r="B465" s="7" t="s">
        <v>668</v>
      </c>
      <c r="C465" s="7" t="s">
        <v>477</v>
      </c>
      <c r="D465" s="7">
        <v>2014</v>
      </c>
      <c r="E465" s="7">
        <v>102</v>
      </c>
      <c r="F465" s="7" t="s">
        <v>600</v>
      </c>
      <c r="G465" s="7" t="s">
        <v>11</v>
      </c>
      <c r="H465" s="7" t="s">
        <v>669</v>
      </c>
      <c r="K465" s="7" t="s">
        <v>394</v>
      </c>
      <c r="M465" s="7" t="s">
        <v>348</v>
      </c>
      <c r="N465" s="7" t="s">
        <v>173</v>
      </c>
      <c r="O465" s="7" t="s">
        <v>474</v>
      </c>
      <c r="P465" s="7" t="s">
        <v>489</v>
      </c>
      <c r="Q465" s="9" t="s">
        <v>230</v>
      </c>
      <c r="R465" s="7">
        <v>65</v>
      </c>
      <c r="S465" s="8">
        <v>3.13</v>
      </c>
      <c r="T465" s="8">
        <v>0</v>
      </c>
      <c r="U465" s="8">
        <v>0</v>
      </c>
      <c r="V465" s="8"/>
      <c r="W465" s="8"/>
    </row>
    <row r="466" spans="1:23" s="7" customFormat="1" x14ac:dyDescent="0.35">
      <c r="A466" s="7" t="s">
        <v>667</v>
      </c>
      <c r="B466" s="7" t="s">
        <v>668</v>
      </c>
      <c r="C466" s="7" t="s">
        <v>477</v>
      </c>
      <c r="D466" s="7">
        <v>2014</v>
      </c>
      <c r="E466" s="7">
        <v>102</v>
      </c>
      <c r="F466" s="7" t="s">
        <v>600</v>
      </c>
      <c r="G466" s="7" t="s">
        <v>11</v>
      </c>
      <c r="H466" s="7" t="s">
        <v>669</v>
      </c>
      <c r="K466" s="7" t="s">
        <v>394</v>
      </c>
      <c r="M466" s="7" t="s">
        <v>348</v>
      </c>
      <c r="N466" s="7" t="s">
        <v>173</v>
      </c>
      <c r="O466" s="7" t="s">
        <v>474</v>
      </c>
      <c r="P466" s="7" t="s">
        <v>489</v>
      </c>
      <c r="Q466" s="9" t="s">
        <v>230</v>
      </c>
      <c r="R466" s="7">
        <v>100</v>
      </c>
      <c r="S466" s="8">
        <v>3.69</v>
      </c>
      <c r="T466" s="8">
        <v>0</v>
      </c>
      <c r="U466" s="8">
        <v>0</v>
      </c>
      <c r="V466" s="8"/>
      <c r="W466" s="8"/>
    </row>
    <row r="467" spans="1:23" s="7" customFormat="1" x14ac:dyDescent="0.35">
      <c r="A467" s="7" t="s">
        <v>670</v>
      </c>
      <c r="B467" s="7" t="s">
        <v>671</v>
      </c>
      <c r="C467" s="7" t="s">
        <v>573</v>
      </c>
      <c r="D467" s="7">
        <v>2008</v>
      </c>
      <c r="E467" s="7">
        <v>103</v>
      </c>
      <c r="F467" s="7" t="s">
        <v>600</v>
      </c>
      <c r="G467" s="7" t="s">
        <v>11</v>
      </c>
      <c r="H467" s="7" t="s">
        <v>601</v>
      </c>
      <c r="K467" s="7" t="s">
        <v>394</v>
      </c>
      <c r="M467" s="7" t="s">
        <v>348</v>
      </c>
      <c r="N467" s="7" t="s">
        <v>31</v>
      </c>
      <c r="O467" s="7" t="s">
        <v>672</v>
      </c>
      <c r="P467" s="7" t="s">
        <v>673</v>
      </c>
      <c r="Q467" s="9" t="s">
        <v>229</v>
      </c>
      <c r="R467" s="7">
        <v>0</v>
      </c>
      <c r="S467" s="8">
        <v>1.73</v>
      </c>
      <c r="T467" s="8"/>
      <c r="U467" s="8">
        <v>0</v>
      </c>
      <c r="V467" s="8"/>
      <c r="W467" s="8"/>
    </row>
    <row r="468" spans="1:23" s="7" customFormat="1" x14ac:dyDescent="0.35">
      <c r="A468" s="7" t="s">
        <v>670</v>
      </c>
      <c r="B468" s="7" t="s">
        <v>671</v>
      </c>
      <c r="C468" s="7" t="s">
        <v>573</v>
      </c>
      <c r="D468" s="7">
        <v>2008</v>
      </c>
      <c r="E468" s="7">
        <v>103</v>
      </c>
      <c r="F468" s="7" t="s">
        <v>600</v>
      </c>
      <c r="G468" s="7" t="s">
        <v>11</v>
      </c>
      <c r="H468" s="7" t="s">
        <v>601</v>
      </c>
      <c r="K468" s="7" t="s">
        <v>394</v>
      </c>
      <c r="M468" s="7" t="s">
        <v>348</v>
      </c>
      <c r="N468" s="7" t="s">
        <v>31</v>
      </c>
      <c r="O468" s="7" t="s">
        <v>672</v>
      </c>
      <c r="P468" s="7" t="s">
        <v>673</v>
      </c>
      <c r="Q468" s="9" t="s">
        <v>229</v>
      </c>
      <c r="R468" s="7">
        <v>25</v>
      </c>
      <c r="S468" s="8">
        <v>1.51</v>
      </c>
      <c r="T468" s="8"/>
      <c r="U468" s="8">
        <v>0</v>
      </c>
      <c r="V468" s="8"/>
      <c r="W468" s="8"/>
    </row>
    <row r="469" spans="1:23" s="7" customFormat="1" x14ac:dyDescent="0.35">
      <c r="A469" s="7" t="s">
        <v>670</v>
      </c>
      <c r="B469" s="7" t="s">
        <v>671</v>
      </c>
      <c r="C469" s="7" t="s">
        <v>573</v>
      </c>
      <c r="D469" s="7">
        <v>2008</v>
      </c>
      <c r="E469" s="7">
        <v>103</v>
      </c>
      <c r="F469" s="7" t="s">
        <v>600</v>
      </c>
      <c r="G469" s="7" t="s">
        <v>11</v>
      </c>
      <c r="H469" s="7" t="s">
        <v>601</v>
      </c>
      <c r="K469" s="7" t="s">
        <v>394</v>
      </c>
      <c r="M469" s="7" t="s">
        <v>348</v>
      </c>
      <c r="N469" s="7" t="s">
        <v>31</v>
      </c>
      <c r="O469" s="7" t="s">
        <v>672</v>
      </c>
      <c r="P469" s="7" t="s">
        <v>673</v>
      </c>
      <c r="Q469" s="9" t="s">
        <v>229</v>
      </c>
      <c r="R469" s="7">
        <v>50</v>
      </c>
      <c r="S469" s="8">
        <v>1.79</v>
      </c>
      <c r="T469" s="8"/>
      <c r="U469" s="8">
        <v>0</v>
      </c>
      <c r="V469" s="8"/>
      <c r="W469" s="8"/>
    </row>
    <row r="470" spans="1:23" s="7" customFormat="1" x14ac:dyDescent="0.35">
      <c r="A470" s="7" t="s">
        <v>670</v>
      </c>
      <c r="B470" s="7" t="s">
        <v>671</v>
      </c>
      <c r="C470" s="7" t="s">
        <v>573</v>
      </c>
      <c r="D470" s="7">
        <v>2008</v>
      </c>
      <c r="E470" s="7">
        <v>103</v>
      </c>
      <c r="F470" s="7" t="s">
        <v>600</v>
      </c>
      <c r="G470" s="7" t="s">
        <v>11</v>
      </c>
      <c r="H470" s="7" t="s">
        <v>601</v>
      </c>
      <c r="K470" s="7" t="s">
        <v>394</v>
      </c>
      <c r="M470" s="7" t="s">
        <v>348</v>
      </c>
      <c r="N470" s="7" t="s">
        <v>31</v>
      </c>
      <c r="O470" s="7" t="s">
        <v>672</v>
      </c>
      <c r="P470" s="7" t="s">
        <v>673</v>
      </c>
      <c r="Q470" s="9" t="s">
        <v>229</v>
      </c>
      <c r="R470" s="7">
        <v>75</v>
      </c>
      <c r="S470" s="8">
        <v>2.06</v>
      </c>
      <c r="T470" s="8"/>
      <c r="U470" s="8">
        <v>0</v>
      </c>
      <c r="V470" s="8"/>
      <c r="W470" s="8"/>
    </row>
    <row r="471" spans="1:23" s="7" customFormat="1" x14ac:dyDescent="0.35">
      <c r="A471" s="7" t="s">
        <v>670</v>
      </c>
      <c r="B471" s="7" t="s">
        <v>671</v>
      </c>
      <c r="C471" s="7" t="s">
        <v>573</v>
      </c>
      <c r="D471" s="7">
        <v>2008</v>
      </c>
      <c r="E471" s="7">
        <v>103</v>
      </c>
      <c r="F471" s="7" t="s">
        <v>600</v>
      </c>
      <c r="G471" s="7" t="s">
        <v>11</v>
      </c>
      <c r="H471" s="7" t="s">
        <v>601</v>
      </c>
      <c r="K471" s="7" t="s">
        <v>394</v>
      </c>
      <c r="M471" s="7" t="s">
        <v>348</v>
      </c>
      <c r="N471" s="7" t="s">
        <v>31</v>
      </c>
      <c r="O471" s="7" t="s">
        <v>672</v>
      </c>
      <c r="P471" s="7" t="s">
        <v>673</v>
      </c>
      <c r="Q471" s="9" t="s">
        <v>229</v>
      </c>
      <c r="R471" s="7">
        <v>100</v>
      </c>
      <c r="S471" s="8">
        <v>2.59</v>
      </c>
      <c r="T471" s="8"/>
      <c r="U471" s="8">
        <v>0</v>
      </c>
      <c r="V471" s="8"/>
      <c r="W471" s="8"/>
    </row>
    <row r="472" spans="1:23" s="7" customFormat="1" x14ac:dyDescent="0.35">
      <c r="A472" s="7" t="s">
        <v>670</v>
      </c>
      <c r="B472" s="7" t="s">
        <v>614</v>
      </c>
      <c r="C472" s="7" t="s">
        <v>573</v>
      </c>
      <c r="D472" s="7">
        <v>2006</v>
      </c>
      <c r="E472" s="7">
        <v>104</v>
      </c>
      <c r="F472" s="7" t="s">
        <v>600</v>
      </c>
      <c r="G472" s="7" t="s">
        <v>11</v>
      </c>
      <c r="H472" s="7" t="s">
        <v>674</v>
      </c>
      <c r="K472" s="7" t="s">
        <v>394</v>
      </c>
      <c r="M472" s="7" t="s">
        <v>348</v>
      </c>
      <c r="N472" s="7" t="s">
        <v>31</v>
      </c>
      <c r="O472" s="7" t="s">
        <v>32</v>
      </c>
      <c r="P472" s="7" t="s">
        <v>405</v>
      </c>
      <c r="Q472" s="9" t="s">
        <v>229</v>
      </c>
      <c r="R472" s="7">
        <v>0</v>
      </c>
      <c r="S472" s="8">
        <v>1.39</v>
      </c>
      <c r="T472" s="8"/>
      <c r="U472" s="8">
        <v>0</v>
      </c>
      <c r="V472" s="8"/>
      <c r="W472" s="8"/>
    </row>
    <row r="473" spans="1:23" s="7" customFormat="1" x14ac:dyDescent="0.35">
      <c r="A473" s="7" t="s">
        <v>670</v>
      </c>
      <c r="B473" s="7" t="s">
        <v>614</v>
      </c>
      <c r="C473" s="7" t="s">
        <v>573</v>
      </c>
      <c r="D473" s="7">
        <v>2006</v>
      </c>
      <c r="E473" s="7">
        <v>104</v>
      </c>
      <c r="F473" s="7" t="s">
        <v>600</v>
      </c>
      <c r="G473" s="7" t="s">
        <v>11</v>
      </c>
      <c r="H473" s="7" t="s">
        <v>674</v>
      </c>
      <c r="K473" s="7" t="s">
        <v>394</v>
      </c>
      <c r="M473" s="7" t="s">
        <v>348</v>
      </c>
      <c r="N473" s="7" t="s">
        <v>31</v>
      </c>
      <c r="O473" s="7" t="s">
        <v>32</v>
      </c>
      <c r="P473" s="7" t="s">
        <v>405</v>
      </c>
      <c r="Q473" s="9" t="s">
        <v>229</v>
      </c>
      <c r="R473" s="7">
        <v>25</v>
      </c>
      <c r="S473" s="8">
        <v>1.21</v>
      </c>
      <c r="T473" s="8"/>
      <c r="U473" s="8">
        <v>0</v>
      </c>
      <c r="V473" s="8"/>
      <c r="W473" s="8"/>
    </row>
    <row r="474" spans="1:23" s="7" customFormat="1" x14ac:dyDescent="0.35">
      <c r="A474" s="7" t="s">
        <v>670</v>
      </c>
      <c r="B474" s="7" t="s">
        <v>614</v>
      </c>
      <c r="C474" s="7" t="s">
        <v>573</v>
      </c>
      <c r="D474" s="7">
        <v>2006</v>
      </c>
      <c r="E474" s="7">
        <v>104</v>
      </c>
      <c r="F474" s="7" t="s">
        <v>600</v>
      </c>
      <c r="G474" s="7" t="s">
        <v>11</v>
      </c>
      <c r="H474" s="7" t="s">
        <v>674</v>
      </c>
      <c r="K474" s="7" t="s">
        <v>394</v>
      </c>
      <c r="M474" s="7" t="s">
        <v>348</v>
      </c>
      <c r="N474" s="7" t="s">
        <v>31</v>
      </c>
      <c r="O474" s="7" t="s">
        <v>32</v>
      </c>
      <c r="P474" s="7" t="s">
        <v>405</v>
      </c>
      <c r="Q474" s="9" t="s">
        <v>229</v>
      </c>
      <c r="R474" s="7">
        <v>50</v>
      </c>
      <c r="S474" s="8">
        <v>1.31</v>
      </c>
      <c r="T474" s="8"/>
      <c r="U474" s="8">
        <v>0</v>
      </c>
      <c r="V474" s="8"/>
      <c r="W474" s="8"/>
    </row>
    <row r="475" spans="1:23" s="7" customFormat="1" x14ac:dyDescent="0.35">
      <c r="A475" s="7" t="s">
        <v>670</v>
      </c>
      <c r="B475" s="7" t="s">
        <v>614</v>
      </c>
      <c r="C475" s="7" t="s">
        <v>573</v>
      </c>
      <c r="D475" s="7">
        <v>2006</v>
      </c>
      <c r="E475" s="7">
        <v>104</v>
      </c>
      <c r="F475" s="7" t="s">
        <v>600</v>
      </c>
      <c r="G475" s="7" t="s">
        <v>11</v>
      </c>
      <c r="H475" s="7" t="s">
        <v>674</v>
      </c>
      <c r="K475" s="7" t="s">
        <v>394</v>
      </c>
      <c r="M475" s="7" t="s">
        <v>348</v>
      </c>
      <c r="N475" s="7" t="s">
        <v>31</v>
      </c>
      <c r="O475" s="7" t="s">
        <v>32</v>
      </c>
      <c r="P475" s="7" t="s">
        <v>405</v>
      </c>
      <c r="Q475" s="9" t="s">
        <v>229</v>
      </c>
      <c r="R475" s="7">
        <v>75</v>
      </c>
      <c r="S475" s="8">
        <v>1.39</v>
      </c>
      <c r="T475" s="8"/>
      <c r="U475" s="8">
        <v>0</v>
      </c>
      <c r="V475" s="8"/>
      <c r="W475" s="8"/>
    </row>
    <row r="476" spans="1:23" s="7" customFormat="1" x14ac:dyDescent="0.35">
      <c r="A476" s="7" t="s">
        <v>670</v>
      </c>
      <c r="B476" s="7" t="s">
        <v>614</v>
      </c>
      <c r="C476" s="7" t="s">
        <v>573</v>
      </c>
      <c r="D476" s="7">
        <v>2006</v>
      </c>
      <c r="E476" s="7">
        <v>104</v>
      </c>
      <c r="F476" s="7" t="s">
        <v>600</v>
      </c>
      <c r="G476" s="7" t="s">
        <v>11</v>
      </c>
      <c r="H476" s="7" t="s">
        <v>674</v>
      </c>
      <c r="K476" s="7" t="s">
        <v>394</v>
      </c>
      <c r="M476" s="7" t="s">
        <v>348</v>
      </c>
      <c r="N476" s="7" t="s">
        <v>31</v>
      </c>
      <c r="O476" s="7" t="s">
        <v>32</v>
      </c>
      <c r="P476" s="7" t="s">
        <v>405</v>
      </c>
      <c r="Q476" s="9" t="s">
        <v>229</v>
      </c>
      <c r="R476" s="7">
        <v>100</v>
      </c>
      <c r="S476" s="8">
        <v>1.44</v>
      </c>
      <c r="T476" s="8"/>
      <c r="U476" s="8">
        <v>0</v>
      </c>
      <c r="V476" s="8"/>
      <c r="W476" s="8"/>
    </row>
    <row r="477" spans="1:23" s="7" customFormat="1" x14ac:dyDescent="0.35">
      <c r="A477" s="7" t="s">
        <v>670</v>
      </c>
      <c r="B477" s="7" t="s">
        <v>453</v>
      </c>
      <c r="C477" s="7" t="s">
        <v>573</v>
      </c>
      <c r="D477" s="7">
        <v>2008</v>
      </c>
      <c r="E477" s="7">
        <v>105</v>
      </c>
      <c r="F477" s="7" t="s">
        <v>600</v>
      </c>
      <c r="G477" s="7" t="s">
        <v>11</v>
      </c>
      <c r="H477" s="7" t="s">
        <v>73</v>
      </c>
      <c r="K477" s="7" t="s">
        <v>394</v>
      </c>
      <c r="M477" s="7" t="s">
        <v>348</v>
      </c>
      <c r="N477" s="7" t="s">
        <v>31</v>
      </c>
      <c r="O477" s="7" t="s">
        <v>672</v>
      </c>
      <c r="P477" s="7" t="s">
        <v>673</v>
      </c>
      <c r="Q477" s="9" t="s">
        <v>229</v>
      </c>
      <c r="R477" s="7">
        <v>0</v>
      </c>
      <c r="S477" s="8">
        <v>2.96</v>
      </c>
      <c r="T477" s="8"/>
      <c r="U477" s="8">
        <v>0</v>
      </c>
      <c r="V477" s="8"/>
      <c r="W477" s="8"/>
    </row>
    <row r="478" spans="1:23" s="7" customFormat="1" x14ac:dyDescent="0.35">
      <c r="A478" s="7" t="s">
        <v>670</v>
      </c>
      <c r="B478" s="7" t="s">
        <v>453</v>
      </c>
      <c r="C478" s="7" t="s">
        <v>573</v>
      </c>
      <c r="D478" s="7">
        <v>2008</v>
      </c>
      <c r="E478" s="7">
        <v>105</v>
      </c>
      <c r="F478" s="7" t="s">
        <v>600</v>
      </c>
      <c r="G478" s="7" t="s">
        <v>11</v>
      </c>
      <c r="H478" s="7" t="s">
        <v>73</v>
      </c>
      <c r="K478" s="7" t="s">
        <v>394</v>
      </c>
      <c r="M478" s="7" t="s">
        <v>348</v>
      </c>
      <c r="N478" s="7" t="s">
        <v>31</v>
      </c>
      <c r="O478" s="7" t="s">
        <v>672</v>
      </c>
      <c r="P478" s="7" t="s">
        <v>673</v>
      </c>
      <c r="Q478" s="9" t="s">
        <v>229</v>
      </c>
      <c r="R478" s="7">
        <v>25</v>
      </c>
      <c r="S478" s="8">
        <v>3.09</v>
      </c>
      <c r="T478" s="8"/>
      <c r="U478" s="8">
        <v>0</v>
      </c>
      <c r="V478" s="8"/>
      <c r="W478" s="8"/>
    </row>
    <row r="479" spans="1:23" s="7" customFormat="1" x14ac:dyDescent="0.35">
      <c r="A479" s="7" t="s">
        <v>670</v>
      </c>
      <c r="B479" s="7" t="s">
        <v>453</v>
      </c>
      <c r="C479" s="7" t="s">
        <v>573</v>
      </c>
      <c r="D479" s="7">
        <v>2008</v>
      </c>
      <c r="E479" s="7">
        <v>105</v>
      </c>
      <c r="F479" s="7" t="s">
        <v>600</v>
      </c>
      <c r="G479" s="7" t="s">
        <v>11</v>
      </c>
      <c r="H479" s="7" t="s">
        <v>73</v>
      </c>
      <c r="K479" s="7" t="s">
        <v>394</v>
      </c>
      <c r="M479" s="7" t="s">
        <v>348</v>
      </c>
      <c r="N479" s="7" t="s">
        <v>31</v>
      </c>
      <c r="O479" s="7" t="s">
        <v>672</v>
      </c>
      <c r="P479" s="7" t="s">
        <v>673</v>
      </c>
      <c r="Q479" s="9" t="s">
        <v>229</v>
      </c>
      <c r="R479" s="7">
        <v>50</v>
      </c>
      <c r="S479" s="8">
        <v>2.88</v>
      </c>
      <c r="T479" s="8"/>
      <c r="U479" s="8">
        <v>0</v>
      </c>
      <c r="V479" s="8"/>
      <c r="W479" s="8"/>
    </row>
    <row r="480" spans="1:23" s="7" customFormat="1" x14ac:dyDescent="0.35">
      <c r="A480" s="7" t="s">
        <v>670</v>
      </c>
      <c r="B480" s="7" t="s">
        <v>453</v>
      </c>
      <c r="C480" s="7" t="s">
        <v>573</v>
      </c>
      <c r="D480" s="7">
        <v>2008</v>
      </c>
      <c r="E480" s="7">
        <v>105</v>
      </c>
      <c r="F480" s="7" t="s">
        <v>600</v>
      </c>
      <c r="G480" s="7" t="s">
        <v>11</v>
      </c>
      <c r="H480" s="7" t="s">
        <v>73</v>
      </c>
      <c r="K480" s="7" t="s">
        <v>394</v>
      </c>
      <c r="M480" s="7" t="s">
        <v>348</v>
      </c>
      <c r="N480" s="7" t="s">
        <v>31</v>
      </c>
      <c r="O480" s="7" t="s">
        <v>672</v>
      </c>
      <c r="P480" s="7" t="s">
        <v>673</v>
      </c>
      <c r="Q480" s="9" t="s">
        <v>229</v>
      </c>
      <c r="R480" s="7">
        <v>75</v>
      </c>
      <c r="S480" s="8">
        <v>3.67</v>
      </c>
      <c r="T480" s="8"/>
      <c r="U480" s="8">
        <v>0</v>
      </c>
      <c r="V480" s="8"/>
      <c r="W480" s="8"/>
    </row>
    <row r="481" spans="1:23" s="7" customFormat="1" x14ac:dyDescent="0.35">
      <c r="A481" s="7" t="s">
        <v>670</v>
      </c>
      <c r="B481" s="7" t="s">
        <v>453</v>
      </c>
      <c r="C481" s="7" t="s">
        <v>573</v>
      </c>
      <c r="D481" s="7">
        <v>2008</v>
      </c>
      <c r="E481" s="7">
        <v>105</v>
      </c>
      <c r="F481" s="7" t="s">
        <v>600</v>
      </c>
      <c r="G481" s="7" t="s">
        <v>11</v>
      </c>
      <c r="H481" s="7" t="s">
        <v>73</v>
      </c>
      <c r="K481" s="7" t="s">
        <v>394</v>
      </c>
      <c r="M481" s="7" t="s">
        <v>348</v>
      </c>
      <c r="N481" s="7" t="s">
        <v>31</v>
      </c>
      <c r="O481" s="7" t="s">
        <v>672</v>
      </c>
      <c r="P481" s="7" t="s">
        <v>673</v>
      </c>
      <c r="Q481" s="9" t="s">
        <v>229</v>
      </c>
      <c r="R481" s="7">
        <v>100</v>
      </c>
      <c r="S481" s="8">
        <v>3.44</v>
      </c>
      <c r="T481" s="8"/>
      <c r="U481" s="8">
        <v>0</v>
      </c>
      <c r="V481" s="8"/>
      <c r="W481" s="8"/>
    </row>
    <row r="482" spans="1:23" s="7" customFormat="1" x14ac:dyDescent="0.35">
      <c r="A482" s="7" t="s">
        <v>675</v>
      </c>
      <c r="B482" s="7" t="s">
        <v>676</v>
      </c>
      <c r="C482" s="7" t="s">
        <v>385</v>
      </c>
      <c r="D482" s="7">
        <v>2007</v>
      </c>
      <c r="E482" s="7">
        <v>106</v>
      </c>
      <c r="F482" s="7" t="s">
        <v>600</v>
      </c>
      <c r="G482" s="7" t="s">
        <v>11</v>
      </c>
      <c r="H482" s="7" t="s">
        <v>596</v>
      </c>
      <c r="K482" s="7" t="s">
        <v>394</v>
      </c>
      <c r="M482" s="7" t="s">
        <v>348</v>
      </c>
      <c r="N482" s="7" t="s">
        <v>380</v>
      </c>
      <c r="O482" s="7" t="s">
        <v>413</v>
      </c>
      <c r="P482" s="7" t="s">
        <v>131</v>
      </c>
      <c r="Q482" s="9" t="s">
        <v>520</v>
      </c>
      <c r="R482" s="7">
        <v>0</v>
      </c>
      <c r="S482" s="7">
        <v>1.18</v>
      </c>
      <c r="T482" s="8">
        <v>0</v>
      </c>
      <c r="U482" s="8">
        <v>0</v>
      </c>
      <c r="V482" s="8"/>
      <c r="W482" s="8"/>
    </row>
    <row r="483" spans="1:23" s="7" customFormat="1" x14ac:dyDescent="0.35">
      <c r="A483" s="7" t="s">
        <v>675</v>
      </c>
      <c r="B483" s="7" t="s">
        <v>676</v>
      </c>
      <c r="C483" s="7" t="s">
        <v>385</v>
      </c>
      <c r="D483" s="7">
        <v>2007</v>
      </c>
      <c r="E483" s="7">
        <v>106</v>
      </c>
      <c r="F483" s="7" t="s">
        <v>600</v>
      </c>
      <c r="G483" s="7" t="s">
        <v>11</v>
      </c>
      <c r="H483" s="7" t="s">
        <v>596</v>
      </c>
      <c r="K483" s="7" t="s">
        <v>394</v>
      </c>
      <c r="M483" s="7" t="s">
        <v>348</v>
      </c>
      <c r="N483" s="7" t="s">
        <v>380</v>
      </c>
      <c r="O483" s="7" t="s">
        <v>413</v>
      </c>
      <c r="P483" s="7" t="s">
        <v>131</v>
      </c>
      <c r="Q483" s="9" t="s">
        <v>520</v>
      </c>
      <c r="R483" s="7">
        <v>25</v>
      </c>
      <c r="S483" s="7">
        <v>1.22</v>
      </c>
      <c r="T483" s="8">
        <v>-2</v>
      </c>
      <c r="U483" s="8">
        <v>0</v>
      </c>
      <c r="V483" s="8"/>
      <c r="W483" s="8"/>
    </row>
    <row r="484" spans="1:23" s="7" customFormat="1" x14ac:dyDescent="0.35">
      <c r="A484" s="7" t="s">
        <v>675</v>
      </c>
      <c r="B484" s="7" t="s">
        <v>676</v>
      </c>
      <c r="C484" s="7" t="s">
        <v>385</v>
      </c>
      <c r="D484" s="7">
        <v>2007</v>
      </c>
      <c r="E484" s="7">
        <v>106</v>
      </c>
      <c r="F484" s="7" t="s">
        <v>600</v>
      </c>
      <c r="G484" s="7" t="s">
        <v>11</v>
      </c>
      <c r="H484" s="7" t="s">
        <v>30</v>
      </c>
      <c r="K484" s="7" t="s">
        <v>394</v>
      </c>
      <c r="M484" s="7" t="s">
        <v>348</v>
      </c>
      <c r="N484" s="7" t="s">
        <v>380</v>
      </c>
      <c r="O484" s="7" t="s">
        <v>413</v>
      </c>
      <c r="P484" s="7" t="s">
        <v>131</v>
      </c>
      <c r="Q484" s="9" t="s">
        <v>520</v>
      </c>
      <c r="R484" s="7">
        <v>0</v>
      </c>
      <c r="S484" s="7">
        <v>1.18</v>
      </c>
      <c r="T484" s="8">
        <v>0</v>
      </c>
      <c r="U484" s="8">
        <v>0</v>
      </c>
      <c r="V484" s="8"/>
      <c r="W484" s="8"/>
    </row>
    <row r="485" spans="1:23" s="7" customFormat="1" x14ac:dyDescent="0.35">
      <c r="A485" s="7" t="s">
        <v>675</v>
      </c>
      <c r="B485" s="7" t="s">
        <v>676</v>
      </c>
      <c r="C485" s="7" t="s">
        <v>385</v>
      </c>
      <c r="D485" s="7">
        <v>2007</v>
      </c>
      <c r="E485" s="7">
        <v>106</v>
      </c>
      <c r="F485" s="7" t="s">
        <v>600</v>
      </c>
      <c r="G485" s="7" t="s">
        <v>11</v>
      </c>
      <c r="H485" s="7" t="s">
        <v>30</v>
      </c>
      <c r="K485" s="7" t="s">
        <v>394</v>
      </c>
      <c r="M485" s="7" t="s">
        <v>348</v>
      </c>
      <c r="N485" s="7" t="s">
        <v>380</v>
      </c>
      <c r="O485" s="7" t="s">
        <v>413</v>
      </c>
      <c r="P485" s="7" t="s">
        <v>131</v>
      </c>
      <c r="Q485" s="9" t="s">
        <v>520</v>
      </c>
      <c r="R485" s="7">
        <v>25</v>
      </c>
      <c r="S485" s="7">
        <v>1.22</v>
      </c>
      <c r="T485" s="8">
        <v>-36</v>
      </c>
      <c r="U485" s="8">
        <v>0</v>
      </c>
      <c r="V485" s="8"/>
      <c r="W485" s="8"/>
    </row>
    <row r="486" spans="1:23" s="7" customFormat="1" x14ac:dyDescent="0.35">
      <c r="A486" s="7" t="s">
        <v>675</v>
      </c>
      <c r="B486" s="7" t="s">
        <v>676</v>
      </c>
      <c r="C486" s="7" t="s">
        <v>385</v>
      </c>
      <c r="D486" s="7">
        <v>2007</v>
      </c>
      <c r="E486" s="7">
        <v>106</v>
      </c>
      <c r="F486" s="7" t="s">
        <v>600</v>
      </c>
      <c r="G486" s="7" t="s">
        <v>11</v>
      </c>
      <c r="H486" s="7" t="s">
        <v>30</v>
      </c>
      <c r="K486" s="7" t="s">
        <v>394</v>
      </c>
      <c r="M486" s="7" t="s">
        <v>348</v>
      </c>
      <c r="N486" s="7" t="s">
        <v>380</v>
      </c>
      <c r="O486" s="7" t="s">
        <v>413</v>
      </c>
      <c r="P486" s="7" t="s">
        <v>131</v>
      </c>
      <c r="Q486" s="9" t="s">
        <v>520</v>
      </c>
      <c r="R486" s="7">
        <v>50</v>
      </c>
      <c r="S486" s="7">
        <v>1.47</v>
      </c>
      <c r="T486" s="8">
        <v>-72</v>
      </c>
      <c r="U486" s="8">
        <v>0</v>
      </c>
      <c r="V486" s="8"/>
      <c r="W486" s="8"/>
    </row>
    <row r="487" spans="1:23" s="7" customFormat="1" x14ac:dyDescent="0.35">
      <c r="A487" s="7" t="s">
        <v>677</v>
      </c>
      <c r="B487" s="7" t="s">
        <v>528</v>
      </c>
      <c r="C487" s="7" t="s">
        <v>370</v>
      </c>
      <c r="D487" s="7">
        <v>2017</v>
      </c>
      <c r="E487" s="7">
        <v>107</v>
      </c>
      <c r="F487" s="7" t="s">
        <v>600</v>
      </c>
      <c r="G487" s="7" t="s">
        <v>11</v>
      </c>
      <c r="H487" s="7" t="s">
        <v>4</v>
      </c>
      <c r="K487" s="7" t="s">
        <v>394</v>
      </c>
      <c r="M487" s="7" t="s">
        <v>348</v>
      </c>
      <c r="N487" s="7" t="s">
        <v>31</v>
      </c>
      <c r="O487" s="7" t="s">
        <v>611</v>
      </c>
      <c r="P487" s="7" t="s">
        <v>612</v>
      </c>
      <c r="Q487" s="9" t="s">
        <v>230</v>
      </c>
      <c r="R487" s="7">
        <v>0</v>
      </c>
      <c r="S487" s="8">
        <f>1/6.06</f>
        <v>0.16501650165016502</v>
      </c>
      <c r="T487" s="8"/>
      <c r="U487" s="8">
        <v>0</v>
      </c>
      <c r="V487" s="8"/>
      <c r="W487" s="8"/>
    </row>
    <row r="488" spans="1:23" s="7" customFormat="1" x14ac:dyDescent="0.35">
      <c r="A488" s="7" t="s">
        <v>677</v>
      </c>
      <c r="B488" s="7" t="s">
        <v>528</v>
      </c>
      <c r="C488" s="7" t="s">
        <v>370</v>
      </c>
      <c r="D488" s="7">
        <v>2017</v>
      </c>
      <c r="E488" s="7">
        <v>107</v>
      </c>
      <c r="F488" s="7" t="s">
        <v>600</v>
      </c>
      <c r="G488" s="7" t="s">
        <v>11</v>
      </c>
      <c r="H488" s="7" t="s">
        <v>4</v>
      </c>
      <c r="K488" s="7" t="s">
        <v>394</v>
      </c>
      <c r="M488" s="7" t="s">
        <v>348</v>
      </c>
      <c r="N488" s="7" t="s">
        <v>31</v>
      </c>
      <c r="O488" s="7" t="s">
        <v>611</v>
      </c>
      <c r="P488" s="7" t="s">
        <v>612</v>
      </c>
      <c r="Q488" s="9" t="s">
        <v>230</v>
      </c>
      <c r="R488" s="7">
        <v>25</v>
      </c>
      <c r="S488" s="8">
        <f>1/6.63</f>
        <v>0.15082956259426847</v>
      </c>
      <c r="T488" s="8"/>
      <c r="U488" s="8">
        <v>-4</v>
      </c>
      <c r="V488" s="8"/>
      <c r="W488" s="8"/>
    </row>
    <row r="489" spans="1:23" s="7" customFormat="1" x14ac:dyDescent="0.35">
      <c r="A489" s="7" t="s">
        <v>677</v>
      </c>
      <c r="B489" s="7" t="s">
        <v>528</v>
      </c>
      <c r="C489" s="7" t="s">
        <v>370</v>
      </c>
      <c r="D489" s="7">
        <v>2017</v>
      </c>
      <c r="E489" s="7">
        <v>107</v>
      </c>
      <c r="F489" s="7" t="s">
        <v>600</v>
      </c>
      <c r="G489" s="7" t="s">
        <v>11</v>
      </c>
      <c r="H489" s="7" t="s">
        <v>4</v>
      </c>
      <c r="K489" s="7" t="s">
        <v>394</v>
      </c>
      <c r="M489" s="7" t="s">
        <v>348</v>
      </c>
      <c r="N489" s="7" t="s">
        <v>31</v>
      </c>
      <c r="O489" s="7" t="s">
        <v>611</v>
      </c>
      <c r="P489" s="7" t="s">
        <v>612</v>
      </c>
      <c r="Q489" s="9" t="s">
        <v>230</v>
      </c>
      <c r="R489" s="7">
        <v>50</v>
      </c>
      <c r="S489" s="8">
        <f>1/5.99</f>
        <v>0.1669449081803005</v>
      </c>
      <c r="T489" s="8"/>
      <c r="U489" s="8">
        <v>-7</v>
      </c>
      <c r="V489" s="8"/>
      <c r="W489" s="8"/>
    </row>
    <row r="490" spans="1:23" s="7" customFormat="1" x14ac:dyDescent="0.35">
      <c r="A490" s="7" t="s">
        <v>677</v>
      </c>
      <c r="B490" s="7" t="s">
        <v>528</v>
      </c>
      <c r="C490" s="7" t="s">
        <v>370</v>
      </c>
      <c r="D490" s="7">
        <v>2017</v>
      </c>
      <c r="E490" s="7">
        <v>107</v>
      </c>
      <c r="F490" s="7" t="s">
        <v>600</v>
      </c>
      <c r="G490" s="7" t="s">
        <v>11</v>
      </c>
      <c r="H490" s="7" t="s">
        <v>4</v>
      </c>
      <c r="K490" s="7" t="s">
        <v>394</v>
      </c>
      <c r="M490" s="7" t="s">
        <v>348</v>
      </c>
      <c r="N490" s="7" t="s">
        <v>31</v>
      </c>
      <c r="O490" s="7" t="s">
        <v>611</v>
      </c>
      <c r="P490" s="7" t="s">
        <v>612</v>
      </c>
      <c r="Q490" s="9" t="s">
        <v>230</v>
      </c>
      <c r="R490" s="7">
        <v>75</v>
      </c>
      <c r="S490" s="8">
        <v>6.2</v>
      </c>
      <c r="T490" s="8"/>
      <c r="U490" s="8">
        <v>-11</v>
      </c>
      <c r="V490" s="8"/>
      <c r="W490" s="8"/>
    </row>
    <row r="491" spans="1:23" s="7" customFormat="1" x14ac:dyDescent="0.35">
      <c r="A491" s="7" t="s">
        <v>678</v>
      </c>
      <c r="B491" s="7" t="s">
        <v>679</v>
      </c>
      <c r="C491" s="7" t="s">
        <v>441</v>
      </c>
      <c r="D491" s="7">
        <v>2018</v>
      </c>
      <c r="E491" s="7">
        <v>108</v>
      </c>
      <c r="F491" s="7" t="s">
        <v>600</v>
      </c>
      <c r="G491" s="7" t="s">
        <v>11</v>
      </c>
      <c r="H491" s="7" t="s">
        <v>680</v>
      </c>
      <c r="K491" s="7" t="s">
        <v>394</v>
      </c>
      <c r="M491" s="7" t="s">
        <v>348</v>
      </c>
      <c r="N491" s="7" t="s">
        <v>31</v>
      </c>
      <c r="O491" s="7" t="s">
        <v>32</v>
      </c>
      <c r="P491" s="7" t="s">
        <v>405</v>
      </c>
      <c r="Q491" s="9" t="s">
        <v>229</v>
      </c>
      <c r="R491" s="7">
        <v>0</v>
      </c>
      <c r="S491" s="8">
        <v>3.5</v>
      </c>
      <c r="T491" s="8"/>
      <c r="U491" s="8">
        <v>0</v>
      </c>
      <c r="V491" s="8"/>
      <c r="W491" s="8"/>
    </row>
    <row r="492" spans="1:23" s="7" customFormat="1" x14ac:dyDescent="0.35">
      <c r="A492" s="7" t="s">
        <v>678</v>
      </c>
      <c r="B492" s="7" t="s">
        <v>679</v>
      </c>
      <c r="C492" s="7" t="s">
        <v>441</v>
      </c>
      <c r="D492" s="7">
        <v>2018</v>
      </c>
      <c r="E492" s="7">
        <v>108</v>
      </c>
      <c r="F492" s="7" t="s">
        <v>600</v>
      </c>
      <c r="G492" s="7" t="s">
        <v>11</v>
      </c>
      <c r="H492" s="7" t="s">
        <v>680</v>
      </c>
      <c r="K492" s="7" t="s">
        <v>394</v>
      </c>
      <c r="M492" s="7" t="s">
        <v>348</v>
      </c>
      <c r="N492" s="7" t="s">
        <v>31</v>
      </c>
      <c r="O492" s="7" t="s">
        <v>32</v>
      </c>
      <c r="P492" s="7" t="s">
        <v>405</v>
      </c>
      <c r="Q492" s="9" t="s">
        <v>229</v>
      </c>
      <c r="R492" s="7">
        <v>25</v>
      </c>
      <c r="S492" s="8">
        <v>3.48</v>
      </c>
      <c r="T492" s="8"/>
      <c r="U492" s="8">
        <v>0</v>
      </c>
      <c r="V492" s="8"/>
      <c r="W492" s="8"/>
    </row>
    <row r="493" spans="1:23" s="7" customFormat="1" x14ac:dyDescent="0.35">
      <c r="A493" s="7" t="s">
        <v>678</v>
      </c>
      <c r="B493" s="7" t="s">
        <v>679</v>
      </c>
      <c r="C493" s="7" t="s">
        <v>441</v>
      </c>
      <c r="D493" s="7">
        <v>2018</v>
      </c>
      <c r="E493" s="7">
        <v>108</v>
      </c>
      <c r="F493" s="7" t="s">
        <v>600</v>
      </c>
      <c r="G493" s="7" t="s">
        <v>11</v>
      </c>
      <c r="H493" s="7" t="s">
        <v>680</v>
      </c>
      <c r="K493" s="7" t="s">
        <v>394</v>
      </c>
      <c r="M493" s="7" t="s">
        <v>348</v>
      </c>
      <c r="N493" s="7" t="s">
        <v>31</v>
      </c>
      <c r="O493" s="7" t="s">
        <v>32</v>
      </c>
      <c r="P493" s="7" t="s">
        <v>405</v>
      </c>
      <c r="Q493" s="9" t="s">
        <v>229</v>
      </c>
      <c r="R493" s="7">
        <v>50</v>
      </c>
      <c r="S493" s="8">
        <v>3.43</v>
      </c>
      <c r="T493" s="8"/>
      <c r="U493" s="8">
        <v>0</v>
      </c>
      <c r="V493" s="8"/>
      <c r="W493" s="8"/>
    </row>
    <row r="494" spans="1:23" s="7" customFormat="1" x14ac:dyDescent="0.35">
      <c r="A494" s="7" t="s">
        <v>678</v>
      </c>
      <c r="B494" s="7" t="s">
        <v>679</v>
      </c>
      <c r="C494" s="7" t="s">
        <v>441</v>
      </c>
      <c r="D494" s="7">
        <v>2018</v>
      </c>
      <c r="E494" s="7">
        <v>108</v>
      </c>
      <c r="F494" s="7" t="s">
        <v>600</v>
      </c>
      <c r="G494" s="7" t="s">
        <v>11</v>
      </c>
      <c r="H494" s="7" t="s">
        <v>680</v>
      </c>
      <c r="K494" s="7" t="s">
        <v>394</v>
      </c>
      <c r="M494" s="7" t="s">
        <v>348</v>
      </c>
      <c r="N494" s="7" t="s">
        <v>31</v>
      </c>
      <c r="O494" s="7" t="s">
        <v>32</v>
      </c>
      <c r="P494" s="7" t="s">
        <v>405</v>
      </c>
      <c r="Q494" s="9" t="s">
        <v>229</v>
      </c>
      <c r="R494" s="7">
        <v>75</v>
      </c>
      <c r="S494" s="8">
        <v>2.87</v>
      </c>
      <c r="T494" s="8"/>
      <c r="U494" s="8">
        <v>0</v>
      </c>
      <c r="V494" s="8"/>
      <c r="W494" s="8"/>
    </row>
    <row r="495" spans="1:23" s="7" customFormat="1" x14ac:dyDescent="0.35">
      <c r="A495" s="7" t="s">
        <v>678</v>
      </c>
      <c r="B495" s="7" t="s">
        <v>679</v>
      </c>
      <c r="C495" s="7" t="s">
        <v>441</v>
      </c>
      <c r="D495" s="7">
        <v>2018</v>
      </c>
      <c r="E495" s="7">
        <v>108</v>
      </c>
      <c r="F495" s="7" t="s">
        <v>600</v>
      </c>
      <c r="G495" s="7" t="s">
        <v>11</v>
      </c>
      <c r="H495" s="7" t="s">
        <v>680</v>
      </c>
      <c r="K495" s="7" t="s">
        <v>394</v>
      </c>
      <c r="M495" s="7" t="s">
        <v>348</v>
      </c>
      <c r="N495" s="7" t="s">
        <v>31</v>
      </c>
      <c r="O495" s="7" t="s">
        <v>32</v>
      </c>
      <c r="P495" s="7" t="s">
        <v>405</v>
      </c>
      <c r="Q495" s="9" t="s">
        <v>229</v>
      </c>
      <c r="R495" s="7">
        <v>100</v>
      </c>
      <c r="S495" s="8">
        <v>2.2000000000000002</v>
      </c>
      <c r="T495" s="8"/>
      <c r="U495" s="8">
        <v>0</v>
      </c>
      <c r="V495" s="8"/>
      <c r="W495" s="8"/>
    </row>
    <row r="496" spans="1:23" s="7" customFormat="1" x14ac:dyDescent="0.35">
      <c r="A496" s="7" t="s">
        <v>681</v>
      </c>
      <c r="B496" s="7" t="s">
        <v>468</v>
      </c>
      <c r="C496" s="7" t="s">
        <v>370</v>
      </c>
      <c r="D496" s="7">
        <v>2016</v>
      </c>
      <c r="E496" s="7">
        <v>109</v>
      </c>
      <c r="F496" s="7" t="s">
        <v>600</v>
      </c>
      <c r="G496" s="7" t="s">
        <v>11</v>
      </c>
      <c r="H496" s="7" t="s">
        <v>596</v>
      </c>
      <c r="K496" s="7" t="s">
        <v>394</v>
      </c>
      <c r="M496" s="7" t="s">
        <v>348</v>
      </c>
      <c r="N496" s="7" t="s">
        <v>417</v>
      </c>
      <c r="O496" s="7" t="s">
        <v>103</v>
      </c>
      <c r="P496" s="7" t="s">
        <v>102</v>
      </c>
      <c r="Q496" s="9" t="s">
        <v>520</v>
      </c>
      <c r="R496" s="7">
        <v>0</v>
      </c>
      <c r="S496" s="8">
        <v>1.36</v>
      </c>
      <c r="T496" s="8"/>
      <c r="U496" s="8">
        <v>0</v>
      </c>
      <c r="V496" s="8"/>
      <c r="W496" s="8"/>
    </row>
    <row r="497" spans="1:23" s="7" customFormat="1" x14ac:dyDescent="0.35">
      <c r="A497" s="7" t="s">
        <v>681</v>
      </c>
      <c r="B497" s="7" t="s">
        <v>468</v>
      </c>
      <c r="C497" s="7" t="s">
        <v>370</v>
      </c>
      <c r="D497" s="7">
        <v>2016</v>
      </c>
      <c r="E497" s="7">
        <v>109</v>
      </c>
      <c r="F497" s="7" t="s">
        <v>600</v>
      </c>
      <c r="G497" s="7" t="s">
        <v>11</v>
      </c>
      <c r="H497" s="7" t="s">
        <v>596</v>
      </c>
      <c r="K497" s="7" t="s">
        <v>394</v>
      </c>
      <c r="M497" s="7" t="s">
        <v>348</v>
      </c>
      <c r="N497" s="7" t="s">
        <v>417</v>
      </c>
      <c r="O497" s="7" t="s">
        <v>103</v>
      </c>
      <c r="P497" s="7" t="s">
        <v>102</v>
      </c>
      <c r="Q497" s="9" t="s">
        <v>520</v>
      </c>
      <c r="R497" s="7">
        <v>25</v>
      </c>
      <c r="S497" s="8">
        <v>1.45</v>
      </c>
      <c r="T497" s="8"/>
      <c r="U497" s="8">
        <v>-3</v>
      </c>
      <c r="V497" s="8"/>
      <c r="W497" s="8"/>
    </row>
    <row r="498" spans="1:23" s="7" customFormat="1" x14ac:dyDescent="0.35">
      <c r="A498" s="7" t="s">
        <v>681</v>
      </c>
      <c r="B498" s="7" t="s">
        <v>468</v>
      </c>
      <c r="C498" s="7" t="s">
        <v>370</v>
      </c>
      <c r="D498" s="7">
        <v>2016</v>
      </c>
      <c r="E498" s="7">
        <v>109</v>
      </c>
      <c r="F498" s="7" t="s">
        <v>600</v>
      </c>
      <c r="G498" s="7" t="s">
        <v>11</v>
      </c>
      <c r="H498" s="7" t="s">
        <v>596</v>
      </c>
      <c r="K498" s="7" t="s">
        <v>394</v>
      </c>
      <c r="M498" s="7" t="s">
        <v>348</v>
      </c>
      <c r="N498" s="7" t="s">
        <v>417</v>
      </c>
      <c r="O498" s="7" t="s">
        <v>103</v>
      </c>
      <c r="P498" s="7" t="s">
        <v>102</v>
      </c>
      <c r="Q498" s="9" t="s">
        <v>520</v>
      </c>
      <c r="R498" s="7">
        <v>50</v>
      </c>
      <c r="S498" s="8">
        <v>1.45</v>
      </c>
      <c r="T498" s="8"/>
      <c r="U498" s="8">
        <v>-6</v>
      </c>
      <c r="V498" s="8"/>
      <c r="W498" s="8"/>
    </row>
    <row r="499" spans="1:23" s="7" customFormat="1" x14ac:dyDescent="0.35">
      <c r="A499" s="7" t="s">
        <v>681</v>
      </c>
      <c r="B499" s="7" t="s">
        <v>468</v>
      </c>
      <c r="C499" s="7" t="s">
        <v>370</v>
      </c>
      <c r="D499" s="7">
        <v>2016</v>
      </c>
      <c r="E499" s="7">
        <v>109</v>
      </c>
      <c r="F499" s="7" t="s">
        <v>600</v>
      </c>
      <c r="G499" s="7" t="s">
        <v>11</v>
      </c>
      <c r="H499" s="7" t="s">
        <v>596</v>
      </c>
      <c r="K499" s="7" t="s">
        <v>394</v>
      </c>
      <c r="M499" s="7" t="s">
        <v>348</v>
      </c>
      <c r="N499" s="7" t="s">
        <v>417</v>
      </c>
      <c r="O499" s="7" t="s">
        <v>103</v>
      </c>
      <c r="P499" s="7" t="s">
        <v>102</v>
      </c>
      <c r="Q499" s="9" t="s">
        <v>520</v>
      </c>
      <c r="R499" s="7">
        <v>75</v>
      </c>
      <c r="S499" s="8">
        <v>1.32</v>
      </c>
      <c r="T499" s="8"/>
      <c r="U499" s="8">
        <v>-9</v>
      </c>
      <c r="V499" s="8"/>
      <c r="W499" s="8"/>
    </row>
    <row r="500" spans="1:23" s="7" customFormat="1" x14ac:dyDescent="0.35">
      <c r="A500" s="7" t="s">
        <v>681</v>
      </c>
      <c r="B500" s="7" t="s">
        <v>468</v>
      </c>
      <c r="C500" s="7" t="s">
        <v>370</v>
      </c>
      <c r="D500" s="7">
        <v>2016</v>
      </c>
      <c r="E500" s="7">
        <v>109</v>
      </c>
      <c r="F500" s="7" t="s">
        <v>600</v>
      </c>
      <c r="G500" s="7" t="s">
        <v>11</v>
      </c>
      <c r="H500" s="7" t="s">
        <v>596</v>
      </c>
      <c r="K500" s="7" t="s">
        <v>394</v>
      </c>
      <c r="M500" s="7" t="s">
        <v>348</v>
      </c>
      <c r="N500" s="7" t="s">
        <v>417</v>
      </c>
      <c r="O500" s="7" t="s">
        <v>103</v>
      </c>
      <c r="P500" s="7" t="s">
        <v>102</v>
      </c>
      <c r="Q500" s="9" t="s">
        <v>520</v>
      </c>
      <c r="R500" s="7">
        <v>100</v>
      </c>
      <c r="S500" s="8">
        <v>1.86</v>
      </c>
      <c r="T500" s="8"/>
      <c r="U500" s="8">
        <v>-12</v>
      </c>
      <c r="V500" s="8"/>
      <c r="W500" s="8"/>
    </row>
    <row r="501" spans="1:23" s="7" customFormat="1" x14ac:dyDescent="0.35">
      <c r="A501" s="7" t="s">
        <v>682</v>
      </c>
      <c r="B501" s="7" t="s">
        <v>398</v>
      </c>
      <c r="C501" s="7" t="s">
        <v>370</v>
      </c>
      <c r="D501" s="7">
        <v>2018</v>
      </c>
      <c r="E501" s="7">
        <v>110</v>
      </c>
      <c r="F501" s="7" t="s">
        <v>600</v>
      </c>
      <c r="G501" s="7" t="s">
        <v>11</v>
      </c>
      <c r="H501" s="7" t="s">
        <v>30</v>
      </c>
      <c r="K501" s="7" t="s">
        <v>394</v>
      </c>
      <c r="M501" s="7" t="s">
        <v>348</v>
      </c>
      <c r="N501" s="7" t="s">
        <v>31</v>
      </c>
      <c r="O501" s="7" t="s">
        <v>611</v>
      </c>
      <c r="P501" s="7" t="s">
        <v>612</v>
      </c>
      <c r="Q501" s="9" t="s">
        <v>237</v>
      </c>
      <c r="R501" s="7">
        <v>0</v>
      </c>
      <c r="S501" s="8">
        <v>1.08</v>
      </c>
      <c r="T501" s="8">
        <v>0</v>
      </c>
      <c r="U501" s="8">
        <v>0</v>
      </c>
      <c r="V501" s="8"/>
      <c r="W501" s="8"/>
    </row>
    <row r="502" spans="1:23" s="7" customFormat="1" x14ac:dyDescent="0.35">
      <c r="A502" s="7" t="s">
        <v>682</v>
      </c>
      <c r="B502" s="7" t="s">
        <v>398</v>
      </c>
      <c r="C502" s="7" t="s">
        <v>370</v>
      </c>
      <c r="D502" s="7">
        <v>2018</v>
      </c>
      <c r="E502" s="7">
        <v>110</v>
      </c>
      <c r="F502" s="7" t="s">
        <v>600</v>
      </c>
      <c r="G502" s="7" t="s">
        <v>11</v>
      </c>
      <c r="H502" s="7" t="s">
        <v>30</v>
      </c>
      <c r="K502" s="7" t="s">
        <v>394</v>
      </c>
      <c r="M502" s="7" t="s">
        <v>348</v>
      </c>
      <c r="N502" s="7" t="s">
        <v>31</v>
      </c>
      <c r="O502" s="7" t="s">
        <v>611</v>
      </c>
      <c r="P502" s="7" t="s">
        <v>612</v>
      </c>
      <c r="Q502" s="9" t="s">
        <v>237</v>
      </c>
      <c r="R502" s="7">
        <v>13</v>
      </c>
      <c r="S502" s="8">
        <v>0.9</v>
      </c>
      <c r="T502" s="8">
        <v>0</v>
      </c>
      <c r="U502" s="8">
        <v>2</v>
      </c>
      <c r="V502" s="8"/>
      <c r="W502" s="8"/>
    </row>
    <row r="503" spans="1:23" s="7" customFormat="1" x14ac:dyDescent="0.35">
      <c r="A503" s="7" t="s">
        <v>682</v>
      </c>
      <c r="B503" s="7" t="s">
        <v>398</v>
      </c>
      <c r="C503" s="7" t="s">
        <v>370</v>
      </c>
      <c r="D503" s="7">
        <v>2018</v>
      </c>
      <c r="E503" s="7">
        <v>110</v>
      </c>
      <c r="F503" s="7" t="s">
        <v>600</v>
      </c>
      <c r="G503" s="7" t="s">
        <v>11</v>
      </c>
      <c r="H503" s="7" t="s">
        <v>30</v>
      </c>
      <c r="K503" s="7" t="s">
        <v>394</v>
      </c>
      <c r="M503" s="7" t="s">
        <v>348</v>
      </c>
      <c r="N503" s="7" t="s">
        <v>31</v>
      </c>
      <c r="O503" s="7" t="s">
        <v>611</v>
      </c>
      <c r="P503" s="7" t="s">
        <v>612</v>
      </c>
      <c r="Q503" s="9" t="s">
        <v>237</v>
      </c>
      <c r="R503" s="7">
        <v>25</v>
      </c>
      <c r="S503" s="8">
        <v>0.89</v>
      </c>
      <c r="T503" s="8">
        <v>0</v>
      </c>
      <c r="U503" s="8">
        <v>4</v>
      </c>
      <c r="V503" s="8"/>
      <c r="W503" s="8"/>
    </row>
    <row r="504" spans="1:23" s="7" customFormat="1" x14ac:dyDescent="0.35">
      <c r="A504" s="7" t="s">
        <v>682</v>
      </c>
      <c r="B504" s="7" t="s">
        <v>398</v>
      </c>
      <c r="C504" s="7" t="s">
        <v>370</v>
      </c>
      <c r="D504" s="7">
        <v>2018</v>
      </c>
      <c r="E504" s="7">
        <v>110</v>
      </c>
      <c r="F504" s="7" t="s">
        <v>600</v>
      </c>
      <c r="G504" s="7" t="s">
        <v>11</v>
      </c>
      <c r="H504" s="7" t="s">
        <v>30</v>
      </c>
      <c r="K504" s="7" t="s">
        <v>394</v>
      </c>
      <c r="M504" s="7" t="s">
        <v>348</v>
      </c>
      <c r="N504" s="7" t="s">
        <v>31</v>
      </c>
      <c r="O504" s="7" t="s">
        <v>611</v>
      </c>
      <c r="P504" s="7" t="s">
        <v>612</v>
      </c>
      <c r="Q504" s="9" t="s">
        <v>237</v>
      </c>
      <c r="R504" s="7">
        <v>37</v>
      </c>
      <c r="S504" s="8">
        <v>0.91</v>
      </c>
      <c r="T504" s="8">
        <v>0</v>
      </c>
      <c r="U504" s="8">
        <v>6</v>
      </c>
      <c r="V504" s="8"/>
      <c r="W504" s="8"/>
    </row>
    <row r="505" spans="1:23" s="7" customFormat="1" x14ac:dyDescent="0.35">
      <c r="A505" s="7" t="s">
        <v>682</v>
      </c>
      <c r="B505" s="7" t="s">
        <v>398</v>
      </c>
      <c r="C505" s="7" t="s">
        <v>370</v>
      </c>
      <c r="D505" s="7">
        <v>2018</v>
      </c>
      <c r="E505" s="7">
        <v>110</v>
      </c>
      <c r="F505" s="7" t="s">
        <v>600</v>
      </c>
      <c r="G505" s="7" t="s">
        <v>11</v>
      </c>
      <c r="H505" s="7" t="s">
        <v>30</v>
      </c>
      <c r="K505" s="7" t="s">
        <v>394</v>
      </c>
      <c r="M505" s="7" t="s">
        <v>348</v>
      </c>
      <c r="N505" s="7" t="s">
        <v>31</v>
      </c>
      <c r="O505" s="7" t="s">
        <v>611</v>
      </c>
      <c r="P505" s="7" t="s">
        <v>612</v>
      </c>
      <c r="Q505" s="9" t="s">
        <v>237</v>
      </c>
      <c r="R505" s="7">
        <v>48</v>
      </c>
      <c r="S505" s="8">
        <v>0.93</v>
      </c>
      <c r="T505" s="8">
        <v>0</v>
      </c>
      <c r="U505" s="8">
        <v>9</v>
      </c>
      <c r="V505" s="8"/>
      <c r="W505" s="8"/>
    </row>
    <row r="506" spans="1:23" s="7" customFormat="1" x14ac:dyDescent="0.35">
      <c r="A506" s="7" t="s">
        <v>682</v>
      </c>
      <c r="B506" s="7" t="s">
        <v>398</v>
      </c>
      <c r="C506" s="7" t="s">
        <v>370</v>
      </c>
      <c r="D506" s="7">
        <v>2018</v>
      </c>
      <c r="E506" s="7">
        <v>110</v>
      </c>
      <c r="F506" s="7" t="s">
        <v>600</v>
      </c>
      <c r="G506" s="7" t="s">
        <v>11</v>
      </c>
      <c r="H506" s="7" t="s">
        <v>30</v>
      </c>
      <c r="K506" s="7" t="s">
        <v>394</v>
      </c>
      <c r="M506" s="7" t="s">
        <v>348</v>
      </c>
      <c r="N506" s="7" t="s">
        <v>31</v>
      </c>
      <c r="O506" s="7" t="s">
        <v>611</v>
      </c>
      <c r="P506" s="7" t="s">
        <v>612</v>
      </c>
      <c r="Q506" s="9" t="s">
        <v>237</v>
      </c>
      <c r="R506" s="7">
        <v>68</v>
      </c>
      <c r="S506" s="8">
        <v>1.08</v>
      </c>
      <c r="T506" s="8">
        <v>0</v>
      </c>
      <c r="U506" s="8">
        <v>15</v>
      </c>
      <c r="V506" s="8"/>
      <c r="W506" s="8"/>
    </row>
    <row r="507" spans="1:23" s="7" customFormat="1" x14ac:dyDescent="0.35">
      <c r="A507" s="7" t="s">
        <v>694</v>
      </c>
      <c r="B507" s="7" t="s">
        <v>398</v>
      </c>
      <c r="C507" s="7" t="s">
        <v>370</v>
      </c>
      <c r="D507" s="7">
        <v>2018</v>
      </c>
      <c r="E507" s="7">
        <v>110</v>
      </c>
      <c r="F507" s="7" t="s">
        <v>600</v>
      </c>
      <c r="G507" s="7" t="s">
        <v>11</v>
      </c>
      <c r="H507" s="7" t="s">
        <v>30</v>
      </c>
      <c r="K507" s="7" t="s">
        <v>394</v>
      </c>
      <c r="M507" s="7" t="s">
        <v>348</v>
      </c>
      <c r="N507" s="7" t="s">
        <v>31</v>
      </c>
      <c r="O507" s="7" t="s">
        <v>611</v>
      </c>
      <c r="P507" s="7" t="s">
        <v>612</v>
      </c>
      <c r="Q507" s="9" t="s">
        <v>237</v>
      </c>
      <c r="R507" s="7">
        <v>85</v>
      </c>
      <c r="S507" s="8">
        <v>1.19</v>
      </c>
      <c r="T507" s="8">
        <v>-100</v>
      </c>
      <c r="U507" s="8">
        <v>21</v>
      </c>
      <c r="V507" s="8"/>
      <c r="W507" s="8"/>
    </row>
    <row r="508" spans="1:23" s="7" customFormat="1" x14ac:dyDescent="0.35">
      <c r="A508" s="7" t="s">
        <v>682</v>
      </c>
      <c r="B508" s="7" t="s">
        <v>398</v>
      </c>
      <c r="C508" s="7" t="s">
        <v>370</v>
      </c>
      <c r="D508" s="7">
        <v>2018</v>
      </c>
      <c r="E508" s="7">
        <v>110</v>
      </c>
      <c r="F508" s="7" t="s">
        <v>600</v>
      </c>
      <c r="G508" s="7" t="s">
        <v>11</v>
      </c>
      <c r="H508" s="7" t="s">
        <v>30</v>
      </c>
      <c r="K508" s="7" t="s">
        <v>394</v>
      </c>
      <c r="M508" s="7" t="s">
        <v>348</v>
      </c>
      <c r="N508" s="7" t="s">
        <v>31</v>
      </c>
      <c r="O508" s="7" t="s">
        <v>611</v>
      </c>
      <c r="P508" s="7" t="s">
        <v>612</v>
      </c>
      <c r="Q508" s="9" t="s">
        <v>237</v>
      </c>
      <c r="R508" s="7">
        <v>100</v>
      </c>
      <c r="S508" s="8">
        <v>1.66</v>
      </c>
      <c r="T508" s="8">
        <v>-100</v>
      </c>
      <c r="U508" s="8">
        <v>28</v>
      </c>
      <c r="V508" s="8"/>
      <c r="W508" s="8"/>
    </row>
    <row r="509" spans="1:23" s="7" customFormat="1" x14ac:dyDescent="0.35">
      <c r="A509" s="7" t="s">
        <v>683</v>
      </c>
      <c r="B509" s="7" t="s">
        <v>468</v>
      </c>
      <c r="C509" s="7" t="s">
        <v>370</v>
      </c>
      <c r="D509" s="7">
        <v>2017</v>
      </c>
      <c r="E509" s="7">
        <v>111</v>
      </c>
      <c r="F509" s="7" t="s">
        <v>416</v>
      </c>
      <c r="G509" s="7" t="s">
        <v>11</v>
      </c>
      <c r="H509" s="7" t="s">
        <v>645</v>
      </c>
      <c r="I509" s="7" t="s">
        <v>684</v>
      </c>
      <c r="K509" s="7" t="s">
        <v>394</v>
      </c>
      <c r="M509" s="7" t="s">
        <v>348</v>
      </c>
      <c r="N509" s="7" t="s">
        <v>106</v>
      </c>
      <c r="O509" s="7" t="s">
        <v>657</v>
      </c>
      <c r="P509" s="7" t="s">
        <v>685</v>
      </c>
      <c r="Q509" s="9" t="s">
        <v>230</v>
      </c>
      <c r="R509" s="7">
        <v>0</v>
      </c>
      <c r="S509" s="8">
        <v>1.36</v>
      </c>
      <c r="T509" s="8"/>
      <c r="U509" s="8">
        <v>0</v>
      </c>
      <c r="V509" s="8"/>
      <c r="W509" s="8"/>
    </row>
    <row r="510" spans="1:23" s="7" customFormat="1" x14ac:dyDescent="0.35">
      <c r="A510" s="7" t="s">
        <v>683</v>
      </c>
      <c r="B510" s="7" t="s">
        <v>468</v>
      </c>
      <c r="C510" s="7" t="s">
        <v>370</v>
      </c>
      <c r="D510" s="7">
        <v>2017</v>
      </c>
      <c r="E510" s="7">
        <v>111</v>
      </c>
      <c r="F510" s="7" t="s">
        <v>416</v>
      </c>
      <c r="G510" s="7" t="s">
        <v>11</v>
      </c>
      <c r="H510" s="7" t="s">
        <v>645</v>
      </c>
      <c r="I510" s="7" t="s">
        <v>684</v>
      </c>
      <c r="K510" s="7" t="s">
        <v>394</v>
      </c>
      <c r="M510" s="7" t="s">
        <v>348</v>
      </c>
      <c r="N510" s="7" t="s">
        <v>106</v>
      </c>
      <c r="O510" s="7" t="s">
        <v>657</v>
      </c>
      <c r="P510" s="7" t="s">
        <v>685</v>
      </c>
      <c r="Q510" s="9" t="s">
        <v>230</v>
      </c>
      <c r="R510" s="7">
        <v>25</v>
      </c>
      <c r="S510" s="8">
        <v>1.4</v>
      </c>
      <c r="T510" s="8"/>
      <c r="U510" s="8">
        <v>-2</v>
      </c>
      <c r="V510" s="8"/>
      <c r="W510" s="8"/>
    </row>
    <row r="511" spans="1:23" s="7" customFormat="1" x14ac:dyDescent="0.35">
      <c r="A511" s="7" t="s">
        <v>683</v>
      </c>
      <c r="B511" s="7" t="s">
        <v>468</v>
      </c>
      <c r="C511" s="7" t="s">
        <v>370</v>
      </c>
      <c r="D511" s="7">
        <v>2017</v>
      </c>
      <c r="E511" s="7">
        <v>111</v>
      </c>
      <c r="F511" s="7" t="s">
        <v>416</v>
      </c>
      <c r="G511" s="7" t="s">
        <v>11</v>
      </c>
      <c r="H511" s="7" t="s">
        <v>645</v>
      </c>
      <c r="I511" s="7" t="s">
        <v>684</v>
      </c>
      <c r="K511" s="7" t="s">
        <v>394</v>
      </c>
      <c r="M511" s="7" t="s">
        <v>348</v>
      </c>
      <c r="N511" s="7" t="s">
        <v>106</v>
      </c>
      <c r="O511" s="7" t="s">
        <v>657</v>
      </c>
      <c r="P511" s="7" t="s">
        <v>685</v>
      </c>
      <c r="Q511" s="9" t="s">
        <v>230</v>
      </c>
      <c r="R511" s="7">
        <v>50</v>
      </c>
      <c r="S511" s="8">
        <v>1.56</v>
      </c>
      <c r="T511" s="8"/>
      <c r="U511" s="8">
        <v>-4</v>
      </c>
      <c r="V511" s="8"/>
      <c r="W511" s="8"/>
    </row>
    <row r="512" spans="1:23" s="7" customFormat="1" x14ac:dyDescent="0.35">
      <c r="A512" s="7" t="s">
        <v>683</v>
      </c>
      <c r="B512" s="7" t="s">
        <v>468</v>
      </c>
      <c r="C512" s="7" t="s">
        <v>370</v>
      </c>
      <c r="D512" s="7">
        <v>2017</v>
      </c>
      <c r="E512" s="7">
        <v>111</v>
      </c>
      <c r="F512" s="7" t="s">
        <v>416</v>
      </c>
      <c r="G512" s="7" t="s">
        <v>11</v>
      </c>
      <c r="H512" s="7" t="s">
        <v>645</v>
      </c>
      <c r="I512" s="7" t="s">
        <v>684</v>
      </c>
      <c r="K512" s="7" t="s">
        <v>394</v>
      </c>
      <c r="M512" s="7" t="s">
        <v>348</v>
      </c>
      <c r="N512" s="7" t="s">
        <v>106</v>
      </c>
      <c r="O512" s="7" t="s">
        <v>657</v>
      </c>
      <c r="P512" s="7" t="s">
        <v>685</v>
      </c>
      <c r="Q512" s="9" t="s">
        <v>230</v>
      </c>
      <c r="R512" s="7">
        <v>75</v>
      </c>
      <c r="S512" s="8">
        <v>1.51</v>
      </c>
      <c r="T512" s="8"/>
      <c r="U512" s="8">
        <v>-6</v>
      </c>
      <c r="V512" s="8"/>
      <c r="W512" s="8"/>
    </row>
    <row r="513" spans="1:23" s="7" customFormat="1" x14ac:dyDescent="0.35">
      <c r="A513" s="7" t="s">
        <v>683</v>
      </c>
      <c r="B513" s="7" t="s">
        <v>468</v>
      </c>
      <c r="C513" s="7" t="s">
        <v>370</v>
      </c>
      <c r="D513" s="7">
        <v>2017</v>
      </c>
      <c r="E513" s="7">
        <v>111</v>
      </c>
      <c r="F513" s="7" t="s">
        <v>416</v>
      </c>
      <c r="G513" s="7" t="s">
        <v>11</v>
      </c>
      <c r="H513" s="7" t="s">
        <v>645</v>
      </c>
      <c r="I513" s="7" t="s">
        <v>684</v>
      </c>
      <c r="K513" s="7" t="s">
        <v>394</v>
      </c>
      <c r="M513" s="7" t="s">
        <v>348</v>
      </c>
      <c r="N513" s="7" t="s">
        <v>106</v>
      </c>
      <c r="O513" s="7" t="s">
        <v>657</v>
      </c>
      <c r="P513" s="7" t="s">
        <v>685</v>
      </c>
      <c r="Q513" s="9" t="s">
        <v>230</v>
      </c>
      <c r="R513" s="7">
        <v>100</v>
      </c>
      <c r="S513" s="8">
        <v>1.63</v>
      </c>
      <c r="T513" s="8"/>
      <c r="U513" s="8">
        <v>-8</v>
      </c>
      <c r="V513" s="8"/>
      <c r="W513" s="8"/>
    </row>
    <row r="514" spans="1:23" s="7" customFormat="1" x14ac:dyDescent="0.35">
      <c r="A514" s="7" t="s">
        <v>683</v>
      </c>
      <c r="B514" s="7" t="s">
        <v>468</v>
      </c>
      <c r="C514" s="7" t="s">
        <v>370</v>
      </c>
      <c r="D514" s="7">
        <v>2016</v>
      </c>
      <c r="E514" s="7">
        <v>112</v>
      </c>
      <c r="F514" s="7" t="s">
        <v>600</v>
      </c>
      <c r="G514" s="7" t="s">
        <v>11</v>
      </c>
      <c r="H514" s="7" t="s">
        <v>30</v>
      </c>
      <c r="K514" s="7" t="s">
        <v>394</v>
      </c>
      <c r="M514" s="7" t="s">
        <v>348</v>
      </c>
      <c r="N514" s="7" t="s">
        <v>106</v>
      </c>
      <c r="O514" s="7" t="s">
        <v>616</v>
      </c>
      <c r="P514" s="7" t="s">
        <v>686</v>
      </c>
      <c r="Q514" s="9" t="s">
        <v>230</v>
      </c>
      <c r="R514" s="7">
        <v>0</v>
      </c>
      <c r="S514" s="8">
        <v>1.18</v>
      </c>
      <c r="T514" s="8"/>
      <c r="U514" s="8">
        <v>0</v>
      </c>
      <c r="V514" s="8"/>
      <c r="W514" s="8"/>
    </row>
    <row r="515" spans="1:23" s="7" customFormat="1" x14ac:dyDescent="0.35">
      <c r="A515" s="7" t="s">
        <v>683</v>
      </c>
      <c r="B515" s="7" t="s">
        <v>468</v>
      </c>
      <c r="C515" s="7" t="s">
        <v>370</v>
      </c>
      <c r="D515" s="7">
        <v>2016</v>
      </c>
      <c r="E515" s="7">
        <v>112</v>
      </c>
      <c r="F515" s="7" t="s">
        <v>600</v>
      </c>
      <c r="G515" s="7" t="s">
        <v>11</v>
      </c>
      <c r="H515" s="7" t="s">
        <v>30</v>
      </c>
      <c r="K515" s="7" t="s">
        <v>394</v>
      </c>
      <c r="M515" s="7" t="s">
        <v>348</v>
      </c>
      <c r="N515" s="7" t="s">
        <v>106</v>
      </c>
      <c r="O515" s="7" t="s">
        <v>616</v>
      </c>
      <c r="P515" s="7" t="s">
        <v>686</v>
      </c>
      <c r="Q515" s="9" t="s">
        <v>230</v>
      </c>
      <c r="R515" s="7">
        <v>25</v>
      </c>
      <c r="S515" s="8">
        <v>1.2</v>
      </c>
      <c r="T515" s="8"/>
      <c r="U515" s="8">
        <v>-1</v>
      </c>
      <c r="V515" s="8"/>
      <c r="W515" s="8"/>
    </row>
    <row r="516" spans="1:23" s="7" customFormat="1" x14ac:dyDescent="0.35">
      <c r="A516" s="7" t="s">
        <v>683</v>
      </c>
      <c r="B516" s="7" t="s">
        <v>468</v>
      </c>
      <c r="C516" s="7" t="s">
        <v>370</v>
      </c>
      <c r="D516" s="7">
        <v>2016</v>
      </c>
      <c r="E516" s="7">
        <v>112</v>
      </c>
      <c r="F516" s="7" t="s">
        <v>600</v>
      </c>
      <c r="G516" s="7" t="s">
        <v>11</v>
      </c>
      <c r="H516" s="7" t="s">
        <v>30</v>
      </c>
      <c r="K516" s="7" t="s">
        <v>394</v>
      </c>
      <c r="M516" s="7" t="s">
        <v>348</v>
      </c>
      <c r="N516" s="7" t="s">
        <v>106</v>
      </c>
      <c r="O516" s="7" t="s">
        <v>616</v>
      </c>
      <c r="P516" s="7" t="s">
        <v>686</v>
      </c>
      <c r="Q516" s="9" t="s">
        <v>230</v>
      </c>
      <c r="R516" s="7">
        <v>50</v>
      </c>
      <c r="S516" s="8">
        <v>1.2</v>
      </c>
      <c r="T516" s="8"/>
      <c r="U516" s="8">
        <v>-2</v>
      </c>
      <c r="V516" s="8"/>
      <c r="W516" s="8"/>
    </row>
    <row r="517" spans="1:23" s="7" customFormat="1" x14ac:dyDescent="0.35">
      <c r="A517" s="7" t="s">
        <v>683</v>
      </c>
      <c r="B517" s="7" t="s">
        <v>468</v>
      </c>
      <c r="C517" s="7" t="s">
        <v>370</v>
      </c>
      <c r="D517" s="7">
        <v>2016</v>
      </c>
      <c r="E517" s="7">
        <v>112</v>
      </c>
      <c r="F517" s="7" t="s">
        <v>600</v>
      </c>
      <c r="G517" s="7" t="s">
        <v>11</v>
      </c>
      <c r="H517" s="7" t="s">
        <v>30</v>
      </c>
      <c r="K517" s="7" t="s">
        <v>394</v>
      </c>
      <c r="M517" s="7" t="s">
        <v>348</v>
      </c>
      <c r="N517" s="7" t="s">
        <v>106</v>
      </c>
      <c r="O517" s="7" t="s">
        <v>616</v>
      </c>
      <c r="P517" s="7" t="s">
        <v>686</v>
      </c>
      <c r="Q517" s="9" t="s">
        <v>230</v>
      </c>
      <c r="R517" s="7">
        <v>75</v>
      </c>
      <c r="S517" s="8">
        <v>1.1200000000000001</v>
      </c>
      <c r="T517" s="8"/>
      <c r="U517" s="8">
        <v>-4</v>
      </c>
      <c r="V517" s="8"/>
      <c r="W517" s="8"/>
    </row>
    <row r="518" spans="1:23" s="7" customFormat="1" x14ac:dyDescent="0.35">
      <c r="A518" s="7" t="s">
        <v>683</v>
      </c>
      <c r="B518" s="7" t="s">
        <v>468</v>
      </c>
      <c r="C518" s="7" t="s">
        <v>370</v>
      </c>
      <c r="D518" s="7">
        <v>2016</v>
      </c>
      <c r="E518" s="7">
        <v>112</v>
      </c>
      <c r="F518" s="7" t="s">
        <v>600</v>
      </c>
      <c r="G518" s="7" t="s">
        <v>11</v>
      </c>
      <c r="H518" s="7" t="s">
        <v>30</v>
      </c>
      <c r="K518" s="7" t="s">
        <v>394</v>
      </c>
      <c r="M518" s="7" t="s">
        <v>348</v>
      </c>
      <c r="N518" s="7" t="s">
        <v>106</v>
      </c>
      <c r="O518" s="7" t="s">
        <v>616</v>
      </c>
      <c r="P518" s="7" t="s">
        <v>686</v>
      </c>
      <c r="Q518" s="9" t="s">
        <v>230</v>
      </c>
      <c r="R518" s="7">
        <v>100</v>
      </c>
      <c r="S518" s="8">
        <v>1.1299999999999999</v>
      </c>
      <c r="T518" s="8"/>
      <c r="U518" s="8">
        <v>-5</v>
      </c>
      <c r="V518" s="8"/>
      <c r="W518" s="8"/>
    </row>
    <row r="519" spans="1:23" s="7" customFormat="1" x14ac:dyDescent="0.35">
      <c r="A519" s="7" t="s">
        <v>687</v>
      </c>
      <c r="B519" s="7" t="s">
        <v>508</v>
      </c>
      <c r="C519" s="7" t="s">
        <v>404</v>
      </c>
      <c r="D519" s="7">
        <v>2013</v>
      </c>
      <c r="E519" s="7">
        <v>113</v>
      </c>
      <c r="F519" s="7" t="s">
        <v>600</v>
      </c>
      <c r="G519" s="7" t="s">
        <v>317</v>
      </c>
      <c r="H519" s="7" t="s">
        <v>593</v>
      </c>
      <c r="K519" s="7" t="s">
        <v>394</v>
      </c>
      <c r="M519" s="7" t="s">
        <v>348</v>
      </c>
      <c r="N519" s="7" t="s">
        <v>417</v>
      </c>
      <c r="O519" s="7" t="s">
        <v>103</v>
      </c>
      <c r="P519" s="7" t="s">
        <v>102</v>
      </c>
      <c r="Q519" s="9" t="s">
        <v>229</v>
      </c>
      <c r="R519" s="7">
        <v>0</v>
      </c>
      <c r="S519" s="8">
        <v>2.35</v>
      </c>
      <c r="T519" s="8">
        <v>0</v>
      </c>
      <c r="U519" s="8">
        <v>0</v>
      </c>
      <c r="V519" s="8"/>
      <c r="W519" s="8"/>
    </row>
    <row r="520" spans="1:23" s="7" customFormat="1" x14ac:dyDescent="0.35">
      <c r="A520" s="7" t="s">
        <v>687</v>
      </c>
      <c r="B520" s="7" t="s">
        <v>508</v>
      </c>
      <c r="C520" s="7" t="s">
        <v>404</v>
      </c>
      <c r="D520" s="7">
        <v>2013</v>
      </c>
      <c r="E520" s="7">
        <v>113</v>
      </c>
      <c r="F520" s="7" t="s">
        <v>600</v>
      </c>
      <c r="G520" s="7" t="s">
        <v>317</v>
      </c>
      <c r="H520" s="7" t="s">
        <v>593</v>
      </c>
      <c r="K520" s="7" t="s">
        <v>394</v>
      </c>
      <c r="M520" s="7" t="s">
        <v>348</v>
      </c>
      <c r="N520" s="7" t="s">
        <v>417</v>
      </c>
      <c r="O520" s="7" t="s">
        <v>103</v>
      </c>
      <c r="P520" s="7" t="s">
        <v>102</v>
      </c>
      <c r="Q520" s="9" t="s">
        <v>229</v>
      </c>
      <c r="R520" s="7">
        <v>25</v>
      </c>
      <c r="S520" s="8">
        <v>2.81</v>
      </c>
      <c r="T520" s="8">
        <v>0</v>
      </c>
      <c r="U520" s="8">
        <v>-5</v>
      </c>
      <c r="V520" s="8"/>
      <c r="W520" s="8"/>
    </row>
    <row r="521" spans="1:23" s="7" customFormat="1" x14ac:dyDescent="0.35">
      <c r="A521" s="7" t="s">
        <v>687</v>
      </c>
      <c r="B521" s="7" t="s">
        <v>508</v>
      </c>
      <c r="C521" s="7" t="s">
        <v>404</v>
      </c>
      <c r="D521" s="7">
        <v>2013</v>
      </c>
      <c r="E521" s="7">
        <v>113</v>
      </c>
      <c r="F521" s="7" t="s">
        <v>600</v>
      </c>
      <c r="G521" s="7" t="s">
        <v>317</v>
      </c>
      <c r="H521" s="7" t="s">
        <v>593</v>
      </c>
      <c r="K521" s="7" t="s">
        <v>394</v>
      </c>
      <c r="M521" s="7" t="s">
        <v>348</v>
      </c>
      <c r="N521" s="7" t="s">
        <v>417</v>
      </c>
      <c r="O521" s="7" t="s">
        <v>103</v>
      </c>
      <c r="P521" s="7" t="s">
        <v>102</v>
      </c>
      <c r="Q521" s="9" t="s">
        <v>229</v>
      </c>
      <c r="R521" s="7">
        <v>50</v>
      </c>
      <c r="S521" s="8">
        <v>3.11</v>
      </c>
      <c r="T521" s="8">
        <v>0</v>
      </c>
      <c r="U521" s="8">
        <v>-10</v>
      </c>
      <c r="V521" s="8"/>
      <c r="W521" s="8"/>
    </row>
    <row r="522" spans="1:23" s="7" customFormat="1" x14ac:dyDescent="0.35">
      <c r="A522" s="7" t="s">
        <v>687</v>
      </c>
      <c r="B522" s="7" t="s">
        <v>508</v>
      </c>
      <c r="C522" s="7" t="s">
        <v>404</v>
      </c>
      <c r="D522" s="7">
        <v>2013</v>
      </c>
      <c r="E522" s="7">
        <v>113</v>
      </c>
      <c r="F522" s="7" t="s">
        <v>600</v>
      </c>
      <c r="G522" s="7" t="s">
        <v>317</v>
      </c>
      <c r="H522" s="7" t="s">
        <v>593</v>
      </c>
      <c r="K522" s="7" t="s">
        <v>394</v>
      </c>
      <c r="M522" s="7" t="s">
        <v>348</v>
      </c>
      <c r="N522" s="7" t="s">
        <v>417</v>
      </c>
      <c r="O522" s="7" t="s">
        <v>103</v>
      </c>
      <c r="P522" s="7" t="s">
        <v>102</v>
      </c>
      <c r="Q522" s="9" t="s">
        <v>229</v>
      </c>
      <c r="R522" s="7">
        <v>75</v>
      </c>
      <c r="S522" s="8">
        <v>4.1399999999999997</v>
      </c>
      <c r="T522" s="8">
        <v>0</v>
      </c>
      <c r="U522" s="8">
        <v>-15</v>
      </c>
      <c r="V522" s="8"/>
      <c r="W522" s="8"/>
    </row>
    <row r="523" spans="1:23" s="7" customFormat="1" x14ac:dyDescent="0.35">
      <c r="A523" s="7" t="s">
        <v>687</v>
      </c>
      <c r="B523" s="7" t="s">
        <v>508</v>
      </c>
      <c r="C523" s="7" t="s">
        <v>404</v>
      </c>
      <c r="D523" s="7">
        <v>2013</v>
      </c>
      <c r="E523" s="7">
        <v>113</v>
      </c>
      <c r="F523" s="7" t="s">
        <v>600</v>
      </c>
      <c r="G523" s="7" t="s">
        <v>317</v>
      </c>
      <c r="H523" s="7" t="s">
        <v>688</v>
      </c>
      <c r="K523" s="7" t="s">
        <v>394</v>
      </c>
      <c r="M523" s="7" t="s">
        <v>348</v>
      </c>
      <c r="N523" s="7" t="s">
        <v>417</v>
      </c>
      <c r="O523" s="7" t="s">
        <v>103</v>
      </c>
      <c r="P523" s="7" t="s">
        <v>102</v>
      </c>
      <c r="Q523" s="9" t="s">
        <v>229</v>
      </c>
      <c r="R523" s="7">
        <v>0</v>
      </c>
      <c r="S523" s="8">
        <v>2.35</v>
      </c>
      <c r="T523" s="8">
        <v>0</v>
      </c>
      <c r="U523" s="8">
        <v>0</v>
      </c>
      <c r="V523" s="8"/>
      <c r="W523" s="8"/>
    </row>
    <row r="524" spans="1:23" s="7" customFormat="1" x14ac:dyDescent="0.35">
      <c r="A524" s="7" t="s">
        <v>687</v>
      </c>
      <c r="B524" s="7" t="s">
        <v>508</v>
      </c>
      <c r="C524" s="7" t="s">
        <v>404</v>
      </c>
      <c r="D524" s="7">
        <v>2013</v>
      </c>
      <c r="E524" s="7">
        <v>113</v>
      </c>
      <c r="F524" s="7" t="s">
        <v>600</v>
      </c>
      <c r="G524" s="7" t="s">
        <v>317</v>
      </c>
      <c r="H524" s="7" t="s">
        <v>688</v>
      </c>
      <c r="K524" s="7" t="s">
        <v>394</v>
      </c>
      <c r="M524" s="7" t="s">
        <v>348</v>
      </c>
      <c r="N524" s="7" t="s">
        <v>417</v>
      </c>
      <c r="O524" s="7" t="s">
        <v>103</v>
      </c>
      <c r="P524" s="7" t="s">
        <v>102</v>
      </c>
      <c r="Q524" s="9" t="s">
        <v>229</v>
      </c>
      <c r="R524" s="7">
        <v>25</v>
      </c>
      <c r="S524" s="8">
        <v>2.71</v>
      </c>
      <c r="T524" s="8">
        <v>0</v>
      </c>
      <c r="U524" s="8">
        <v>-5</v>
      </c>
      <c r="V524" s="8"/>
      <c r="W524" s="8"/>
    </row>
    <row r="525" spans="1:23" s="7" customFormat="1" x14ac:dyDescent="0.35">
      <c r="A525" s="7" t="s">
        <v>687</v>
      </c>
      <c r="B525" s="7" t="s">
        <v>508</v>
      </c>
      <c r="C525" s="7" t="s">
        <v>404</v>
      </c>
      <c r="D525" s="7">
        <v>2013</v>
      </c>
      <c r="E525" s="7">
        <v>113</v>
      </c>
      <c r="F525" s="7" t="s">
        <v>600</v>
      </c>
      <c r="G525" s="7" t="s">
        <v>317</v>
      </c>
      <c r="H525" s="7" t="s">
        <v>688</v>
      </c>
      <c r="K525" s="7" t="s">
        <v>394</v>
      </c>
      <c r="M525" s="7" t="s">
        <v>348</v>
      </c>
      <c r="N525" s="7" t="s">
        <v>417</v>
      </c>
      <c r="O525" s="7" t="s">
        <v>103</v>
      </c>
      <c r="P525" s="7" t="s">
        <v>102</v>
      </c>
      <c r="Q525" s="9" t="s">
        <v>229</v>
      </c>
      <c r="R525" s="7">
        <v>50</v>
      </c>
      <c r="S525" s="8">
        <v>3.34</v>
      </c>
      <c r="T525" s="8">
        <v>0</v>
      </c>
      <c r="U525" s="8">
        <v>-10</v>
      </c>
      <c r="V525" s="8"/>
      <c r="W525" s="8"/>
    </row>
    <row r="526" spans="1:23" s="7" customFormat="1" x14ac:dyDescent="0.35">
      <c r="A526" s="7" t="s">
        <v>687</v>
      </c>
      <c r="B526" s="7" t="s">
        <v>508</v>
      </c>
      <c r="C526" s="7" t="s">
        <v>404</v>
      </c>
      <c r="D526" s="7">
        <v>2013</v>
      </c>
      <c r="E526" s="7">
        <v>113</v>
      </c>
      <c r="F526" s="7" t="s">
        <v>600</v>
      </c>
      <c r="G526" s="7" t="s">
        <v>317</v>
      </c>
      <c r="H526" s="7" t="s">
        <v>688</v>
      </c>
      <c r="K526" s="7" t="s">
        <v>394</v>
      </c>
      <c r="M526" s="7" t="s">
        <v>348</v>
      </c>
      <c r="N526" s="7" t="s">
        <v>417</v>
      </c>
      <c r="O526" s="7" t="s">
        <v>103</v>
      </c>
      <c r="P526" s="7" t="s">
        <v>102</v>
      </c>
      <c r="Q526" s="9" t="s">
        <v>229</v>
      </c>
      <c r="R526" s="7">
        <v>75</v>
      </c>
      <c r="S526" s="8">
        <v>3.52</v>
      </c>
      <c r="T526" s="8">
        <v>0</v>
      </c>
      <c r="U526" s="8">
        <v>-15</v>
      </c>
      <c r="V526" s="8"/>
      <c r="W526" s="8"/>
    </row>
    <row r="527" spans="1:23" s="7" customFormat="1" x14ac:dyDescent="0.35">
      <c r="A527" s="7" t="s">
        <v>690</v>
      </c>
      <c r="B527" s="7" t="s">
        <v>522</v>
      </c>
      <c r="C527" s="7" t="s">
        <v>385</v>
      </c>
      <c r="D527" s="7">
        <v>2018</v>
      </c>
      <c r="E527" s="7">
        <v>114</v>
      </c>
      <c r="F527" s="7" t="s">
        <v>600</v>
      </c>
      <c r="G527" s="7" t="s">
        <v>317</v>
      </c>
      <c r="H527" s="7" t="s">
        <v>689</v>
      </c>
      <c r="K527" s="7" t="s">
        <v>378</v>
      </c>
      <c r="L527" s="7" t="s">
        <v>700</v>
      </c>
      <c r="M527" s="7" t="s">
        <v>348</v>
      </c>
      <c r="N527" s="7" t="s">
        <v>380</v>
      </c>
      <c r="O527" s="7" t="s">
        <v>413</v>
      </c>
      <c r="P527" s="7" t="s">
        <v>131</v>
      </c>
      <c r="Q527" s="9" t="s">
        <v>230</v>
      </c>
      <c r="R527" s="7">
        <v>0</v>
      </c>
      <c r="S527" s="8">
        <v>0.8</v>
      </c>
      <c r="T527" s="8">
        <v>0</v>
      </c>
      <c r="U527" s="8">
        <v>0</v>
      </c>
      <c r="V527" s="8"/>
      <c r="W527" s="8"/>
    </row>
    <row r="528" spans="1:23" s="7" customFormat="1" x14ac:dyDescent="0.35">
      <c r="A528" s="7" t="s">
        <v>690</v>
      </c>
      <c r="B528" s="7" t="s">
        <v>522</v>
      </c>
      <c r="C528" s="7" t="s">
        <v>385</v>
      </c>
      <c r="D528" s="7">
        <v>2018</v>
      </c>
      <c r="E528" s="7">
        <v>114</v>
      </c>
      <c r="F528" s="7" t="s">
        <v>600</v>
      </c>
      <c r="G528" s="7" t="s">
        <v>317</v>
      </c>
      <c r="H528" s="7" t="s">
        <v>689</v>
      </c>
      <c r="K528" s="7" t="s">
        <v>378</v>
      </c>
      <c r="L528" s="7" t="s">
        <v>700</v>
      </c>
      <c r="M528" s="7" t="s">
        <v>348</v>
      </c>
      <c r="N528" s="7" t="s">
        <v>380</v>
      </c>
      <c r="O528" s="7" t="s">
        <v>413</v>
      </c>
      <c r="P528" s="7" t="s">
        <v>131</v>
      </c>
      <c r="Q528" s="9" t="s">
        <v>230</v>
      </c>
      <c r="R528" s="7">
        <v>50</v>
      </c>
      <c r="S528" s="8">
        <v>0.8</v>
      </c>
      <c r="T528" s="8">
        <v>-2</v>
      </c>
      <c r="U528" s="8">
        <v>-11</v>
      </c>
      <c r="V528" s="8"/>
      <c r="W528" s="8"/>
    </row>
    <row r="529" spans="1:23" s="7" customFormat="1" x14ac:dyDescent="0.35">
      <c r="A529" s="7" t="s">
        <v>690</v>
      </c>
      <c r="B529" s="7" t="s">
        <v>522</v>
      </c>
      <c r="C529" s="7" t="s">
        <v>385</v>
      </c>
      <c r="D529" s="7">
        <v>2018</v>
      </c>
      <c r="E529" s="7">
        <v>114</v>
      </c>
      <c r="F529" s="7" t="s">
        <v>600</v>
      </c>
      <c r="G529" s="7" t="s">
        <v>317</v>
      </c>
      <c r="H529" s="7" t="s">
        <v>689</v>
      </c>
      <c r="K529" s="7" t="s">
        <v>378</v>
      </c>
      <c r="L529" s="7" t="s">
        <v>700</v>
      </c>
      <c r="M529" s="7" t="s">
        <v>348</v>
      </c>
      <c r="N529" s="7" t="s">
        <v>380</v>
      </c>
      <c r="O529" s="7" t="s">
        <v>413</v>
      </c>
      <c r="P529" s="7" t="s">
        <v>131</v>
      </c>
      <c r="Q529" s="9" t="s">
        <v>230</v>
      </c>
      <c r="R529" s="7">
        <v>75</v>
      </c>
      <c r="S529" s="8">
        <v>0.9</v>
      </c>
      <c r="T529" s="8">
        <v>-4</v>
      </c>
      <c r="U529" s="8">
        <v>-22</v>
      </c>
      <c r="V529" s="8"/>
      <c r="W529" s="8"/>
    </row>
    <row r="530" spans="1:23" s="7" customFormat="1" x14ac:dyDescent="0.35">
      <c r="A530" s="7" t="s">
        <v>691</v>
      </c>
      <c r="B530" s="7" t="s">
        <v>420</v>
      </c>
      <c r="C530" s="7" t="s">
        <v>692</v>
      </c>
      <c r="D530" s="7">
        <v>2008</v>
      </c>
      <c r="E530" s="7">
        <v>115</v>
      </c>
      <c r="F530" s="7" t="s">
        <v>600</v>
      </c>
      <c r="G530" s="7" t="s">
        <v>317</v>
      </c>
      <c r="H530" s="7" t="s">
        <v>593</v>
      </c>
      <c r="K530" s="7" t="s">
        <v>378</v>
      </c>
      <c r="L530" s="7" t="s">
        <v>574</v>
      </c>
      <c r="M530" s="7" t="s">
        <v>348</v>
      </c>
      <c r="N530" s="7" t="s">
        <v>417</v>
      </c>
      <c r="O530" s="7" t="s">
        <v>103</v>
      </c>
      <c r="P530" s="7" t="s">
        <v>102</v>
      </c>
      <c r="Q530" s="9" t="s">
        <v>229</v>
      </c>
      <c r="R530" s="7">
        <v>0</v>
      </c>
      <c r="S530" s="8">
        <v>2.2999999999999998</v>
      </c>
      <c r="T530" s="8">
        <v>0</v>
      </c>
      <c r="U530" s="8">
        <v>0</v>
      </c>
      <c r="V530" s="8"/>
      <c r="W530" s="8"/>
    </row>
    <row r="531" spans="1:23" s="7" customFormat="1" x14ac:dyDescent="0.35">
      <c r="A531" s="7" t="s">
        <v>691</v>
      </c>
      <c r="B531" s="7" t="s">
        <v>422</v>
      </c>
      <c r="C531" s="7" t="s">
        <v>692</v>
      </c>
      <c r="D531" s="7">
        <v>2008</v>
      </c>
      <c r="E531" s="7">
        <v>115</v>
      </c>
      <c r="F531" s="7" t="s">
        <v>600</v>
      </c>
      <c r="G531" s="7" t="s">
        <v>317</v>
      </c>
      <c r="H531" s="7" t="s">
        <v>593</v>
      </c>
      <c r="K531" s="7" t="s">
        <v>378</v>
      </c>
      <c r="M531" s="7" t="s">
        <v>348</v>
      </c>
      <c r="N531" s="7" t="s">
        <v>417</v>
      </c>
      <c r="O531" s="7" t="s">
        <v>103</v>
      </c>
      <c r="P531" s="7" t="s">
        <v>102</v>
      </c>
      <c r="Q531" s="9" t="s">
        <v>229</v>
      </c>
      <c r="R531" s="7">
        <v>25</v>
      </c>
      <c r="S531" s="8">
        <v>2.2999999999999998</v>
      </c>
      <c r="T531" s="8">
        <v>10</v>
      </c>
      <c r="U531" s="8">
        <v>-0.5</v>
      </c>
      <c r="V531" s="8"/>
      <c r="W531" s="8"/>
    </row>
    <row r="532" spans="1:23" s="7" customFormat="1" x14ac:dyDescent="0.35">
      <c r="A532" s="7" t="s">
        <v>691</v>
      </c>
      <c r="B532" s="7" t="s">
        <v>423</v>
      </c>
      <c r="C532" s="7" t="s">
        <v>692</v>
      </c>
      <c r="D532" s="7">
        <v>2008</v>
      </c>
      <c r="E532" s="7">
        <v>115</v>
      </c>
      <c r="F532" s="7" t="s">
        <v>600</v>
      </c>
      <c r="G532" s="7" t="s">
        <v>317</v>
      </c>
      <c r="H532" s="7" t="s">
        <v>593</v>
      </c>
      <c r="K532" s="7" t="s">
        <v>378</v>
      </c>
      <c r="M532" s="7" t="s">
        <v>348</v>
      </c>
      <c r="N532" s="7" t="s">
        <v>417</v>
      </c>
      <c r="O532" s="7" t="s">
        <v>103</v>
      </c>
      <c r="P532" s="7" t="s">
        <v>102</v>
      </c>
      <c r="Q532" s="9" t="s">
        <v>229</v>
      </c>
      <c r="R532" s="7">
        <v>50</v>
      </c>
      <c r="S532" s="8">
        <v>2.14</v>
      </c>
      <c r="T532" s="8">
        <v>18</v>
      </c>
      <c r="U532" s="8">
        <v>1</v>
      </c>
      <c r="V532" s="8"/>
      <c r="W532" s="8"/>
    </row>
    <row r="533" spans="1:23" s="7" customFormat="1" x14ac:dyDescent="0.35">
      <c r="A533" s="7" t="s">
        <v>691</v>
      </c>
      <c r="B533" s="7" t="s">
        <v>424</v>
      </c>
      <c r="C533" s="7" t="s">
        <v>692</v>
      </c>
      <c r="D533" s="7">
        <v>2008</v>
      </c>
      <c r="E533" s="7">
        <v>115</v>
      </c>
      <c r="F533" s="7" t="s">
        <v>600</v>
      </c>
      <c r="G533" s="7" t="s">
        <v>317</v>
      </c>
      <c r="H533" s="7" t="s">
        <v>593</v>
      </c>
      <c r="K533" s="7" t="s">
        <v>378</v>
      </c>
      <c r="M533" s="7" t="s">
        <v>348</v>
      </c>
      <c r="N533" s="7" t="s">
        <v>417</v>
      </c>
      <c r="O533" s="7" t="s">
        <v>103</v>
      </c>
      <c r="P533" s="7" t="s">
        <v>102</v>
      </c>
      <c r="Q533" s="9" t="s">
        <v>229</v>
      </c>
      <c r="R533" s="7">
        <v>75</v>
      </c>
      <c r="S533" s="8">
        <v>2.15</v>
      </c>
      <c r="T533" s="8">
        <v>28</v>
      </c>
      <c r="U533" s="8">
        <v>-1.5</v>
      </c>
      <c r="V533" s="8"/>
      <c r="W533" s="8"/>
    </row>
    <row r="534" spans="1:23" s="7" customFormat="1" x14ac:dyDescent="0.35">
      <c r="A534" s="7" t="s">
        <v>691</v>
      </c>
      <c r="B534" s="7" t="s">
        <v>425</v>
      </c>
      <c r="C534" s="7" t="s">
        <v>692</v>
      </c>
      <c r="D534" s="7">
        <v>2008</v>
      </c>
      <c r="E534" s="7">
        <v>115</v>
      </c>
      <c r="F534" s="7" t="s">
        <v>600</v>
      </c>
      <c r="G534" s="7" t="s">
        <v>317</v>
      </c>
      <c r="H534" s="7" t="s">
        <v>593</v>
      </c>
      <c r="K534" s="7" t="s">
        <v>378</v>
      </c>
      <c r="M534" s="7" t="s">
        <v>348</v>
      </c>
      <c r="N534" s="7" t="s">
        <v>417</v>
      </c>
      <c r="O534" s="7" t="s">
        <v>103</v>
      </c>
      <c r="P534" s="7" t="s">
        <v>102</v>
      </c>
      <c r="Q534" s="9" t="s">
        <v>229</v>
      </c>
      <c r="R534" s="7">
        <v>100</v>
      </c>
      <c r="S534" s="8">
        <v>2.2999999999999998</v>
      </c>
      <c r="T534" s="8">
        <v>37</v>
      </c>
      <c r="U534" s="8">
        <v>2</v>
      </c>
      <c r="V534" s="8"/>
      <c r="W534" s="8"/>
    </row>
    <row r="535" spans="1:23" s="7" customFormat="1" x14ac:dyDescent="0.35">
      <c r="A535" s="7" t="s">
        <v>693</v>
      </c>
      <c r="B535" s="7" t="s">
        <v>384</v>
      </c>
      <c r="C535" s="7" t="s">
        <v>385</v>
      </c>
      <c r="D535" s="7">
        <v>2011</v>
      </c>
      <c r="E535" s="7">
        <v>116</v>
      </c>
      <c r="F535" s="7" t="s">
        <v>600</v>
      </c>
      <c r="G535" s="7" t="s">
        <v>317</v>
      </c>
      <c r="H535" s="7" t="s">
        <v>689</v>
      </c>
      <c r="K535" s="7" t="s">
        <v>378</v>
      </c>
      <c r="L535" s="7" t="s">
        <v>377</v>
      </c>
      <c r="M535" s="7" t="s">
        <v>348</v>
      </c>
      <c r="N535" s="7" t="s">
        <v>538</v>
      </c>
      <c r="O535" s="7" t="s">
        <v>695</v>
      </c>
      <c r="P535" s="7" t="s">
        <v>696</v>
      </c>
      <c r="Q535" s="9" t="s">
        <v>230</v>
      </c>
      <c r="R535" s="7">
        <v>0</v>
      </c>
      <c r="S535" s="8">
        <v>1.4</v>
      </c>
      <c r="T535" s="8">
        <v>0</v>
      </c>
      <c r="U535" s="8">
        <v>0</v>
      </c>
      <c r="V535" s="8"/>
      <c r="W535" s="8"/>
    </row>
    <row r="536" spans="1:23" s="7" customFormat="1" x14ac:dyDescent="0.35">
      <c r="A536" s="7" t="s">
        <v>693</v>
      </c>
      <c r="B536" s="7" t="s">
        <v>384</v>
      </c>
      <c r="C536" s="7" t="s">
        <v>385</v>
      </c>
      <c r="D536" s="7">
        <v>2011</v>
      </c>
      <c r="E536" s="7">
        <v>116</v>
      </c>
      <c r="F536" s="7" t="s">
        <v>600</v>
      </c>
      <c r="G536" s="7" t="s">
        <v>317</v>
      </c>
      <c r="H536" s="7" t="s">
        <v>689</v>
      </c>
      <c r="K536" s="7" t="s">
        <v>378</v>
      </c>
      <c r="L536" s="7" t="s">
        <v>377</v>
      </c>
      <c r="M536" s="7" t="s">
        <v>348</v>
      </c>
      <c r="N536" s="7" t="s">
        <v>538</v>
      </c>
      <c r="O536" s="7" t="s">
        <v>695</v>
      </c>
      <c r="P536" s="7" t="s">
        <v>696</v>
      </c>
      <c r="Q536" s="9" t="s">
        <v>230</v>
      </c>
      <c r="R536" s="7">
        <v>25</v>
      </c>
      <c r="S536" s="8">
        <v>1.4</v>
      </c>
      <c r="T536" s="8">
        <v>0</v>
      </c>
      <c r="U536" s="8">
        <v>-11</v>
      </c>
      <c r="V536" s="8"/>
      <c r="W536" s="8"/>
    </row>
    <row r="537" spans="1:23" s="7" customFormat="1" x14ac:dyDescent="0.35">
      <c r="A537" s="7" t="s">
        <v>693</v>
      </c>
      <c r="B537" s="7" t="s">
        <v>384</v>
      </c>
      <c r="C537" s="7" t="s">
        <v>385</v>
      </c>
      <c r="D537" s="7">
        <v>2011</v>
      </c>
      <c r="E537" s="7">
        <v>116</v>
      </c>
      <c r="F537" s="7" t="s">
        <v>600</v>
      </c>
      <c r="G537" s="7" t="s">
        <v>317</v>
      </c>
      <c r="H537" s="7" t="s">
        <v>689</v>
      </c>
      <c r="K537" s="7" t="s">
        <v>378</v>
      </c>
      <c r="L537" s="7" t="s">
        <v>377</v>
      </c>
      <c r="M537" s="7" t="s">
        <v>348</v>
      </c>
      <c r="N537" s="7" t="s">
        <v>538</v>
      </c>
      <c r="O537" s="7" t="s">
        <v>695</v>
      </c>
      <c r="P537" s="7" t="s">
        <v>696</v>
      </c>
      <c r="Q537" s="9" t="s">
        <v>230</v>
      </c>
      <c r="R537" s="7">
        <v>50</v>
      </c>
      <c r="S537" s="8">
        <v>1.4</v>
      </c>
      <c r="T537" s="8">
        <v>0</v>
      </c>
      <c r="U537" s="8">
        <v>-20</v>
      </c>
      <c r="V537" s="8"/>
      <c r="W537" s="8"/>
    </row>
    <row r="538" spans="1:23" s="7" customFormat="1" x14ac:dyDescent="0.35">
      <c r="A538" s="7" t="s">
        <v>693</v>
      </c>
      <c r="B538" s="7" t="s">
        <v>384</v>
      </c>
      <c r="C538" s="7" t="s">
        <v>385</v>
      </c>
      <c r="D538" s="7">
        <v>2011</v>
      </c>
      <c r="E538" s="7">
        <v>116</v>
      </c>
      <c r="F538" s="7" t="s">
        <v>600</v>
      </c>
      <c r="G538" s="7" t="s">
        <v>317</v>
      </c>
      <c r="H538" s="7" t="s">
        <v>689</v>
      </c>
      <c r="K538" s="7" t="s">
        <v>378</v>
      </c>
      <c r="L538" s="7" t="s">
        <v>377</v>
      </c>
      <c r="M538" s="7" t="s">
        <v>348</v>
      </c>
      <c r="N538" s="7" t="s">
        <v>538</v>
      </c>
      <c r="O538" s="7" t="s">
        <v>695</v>
      </c>
      <c r="P538" s="7" t="s">
        <v>696</v>
      </c>
      <c r="Q538" s="9" t="s">
        <v>230</v>
      </c>
      <c r="R538" s="7">
        <v>75</v>
      </c>
      <c r="S538" s="8">
        <v>1.5</v>
      </c>
      <c r="T538" s="8">
        <v>0</v>
      </c>
      <c r="U538" s="8">
        <v>-30</v>
      </c>
      <c r="V538" s="8"/>
      <c r="W538" s="8"/>
    </row>
    <row r="539" spans="1:23" s="7" customFormat="1" x14ac:dyDescent="0.35">
      <c r="A539" s="7" t="s">
        <v>693</v>
      </c>
      <c r="B539" s="7" t="s">
        <v>384</v>
      </c>
      <c r="C539" s="7" t="s">
        <v>385</v>
      </c>
      <c r="D539" s="7">
        <v>2011</v>
      </c>
      <c r="E539" s="7">
        <v>116</v>
      </c>
      <c r="F539" s="7" t="s">
        <v>600</v>
      </c>
      <c r="G539" s="7" t="s">
        <v>317</v>
      </c>
      <c r="H539" s="7" t="s">
        <v>689</v>
      </c>
      <c r="K539" s="7" t="s">
        <v>378</v>
      </c>
      <c r="L539" s="7" t="s">
        <v>377</v>
      </c>
      <c r="M539" s="7" t="s">
        <v>348</v>
      </c>
      <c r="N539" s="7" t="s">
        <v>538</v>
      </c>
      <c r="O539" s="7" t="s">
        <v>695</v>
      </c>
      <c r="P539" s="7" t="s">
        <v>696</v>
      </c>
      <c r="Q539" s="9" t="s">
        <v>230</v>
      </c>
      <c r="R539" s="7">
        <v>100</v>
      </c>
      <c r="S539" s="8">
        <v>2.2999999999999998</v>
      </c>
      <c r="T539" s="8">
        <v>0</v>
      </c>
      <c r="U539" s="8">
        <v>-40</v>
      </c>
      <c r="V539" s="8"/>
      <c r="W539" s="8"/>
    </row>
    <row r="540" spans="1:23" s="7" customFormat="1" x14ac:dyDescent="0.35">
      <c r="A540" s="7" t="s">
        <v>697</v>
      </c>
      <c r="B540" s="7" t="s">
        <v>455</v>
      </c>
      <c r="C540" s="7" t="s">
        <v>533</v>
      </c>
      <c r="D540" s="7">
        <v>2012</v>
      </c>
      <c r="E540" s="7">
        <v>117</v>
      </c>
      <c r="F540" s="7" t="s">
        <v>600</v>
      </c>
      <c r="G540" s="7" t="s">
        <v>317</v>
      </c>
      <c r="H540" s="7" t="s">
        <v>698</v>
      </c>
      <c r="K540" s="7" t="s">
        <v>394</v>
      </c>
      <c r="M540" s="7" t="s">
        <v>348</v>
      </c>
      <c r="N540" s="7" t="s">
        <v>380</v>
      </c>
      <c r="O540" s="7" t="s">
        <v>413</v>
      </c>
      <c r="P540" s="7" t="s">
        <v>131</v>
      </c>
      <c r="Q540" s="9" t="s">
        <v>230</v>
      </c>
      <c r="R540" s="7">
        <v>0</v>
      </c>
      <c r="S540" s="8">
        <v>0.84</v>
      </c>
      <c r="T540" s="8">
        <v>0</v>
      </c>
      <c r="U540" s="8">
        <v>0</v>
      </c>
      <c r="V540" s="8"/>
      <c r="W540" s="8"/>
    </row>
    <row r="541" spans="1:23" s="7" customFormat="1" x14ac:dyDescent="0.35">
      <c r="A541" s="7" t="s">
        <v>697</v>
      </c>
      <c r="B541" s="7" t="s">
        <v>455</v>
      </c>
      <c r="C541" s="7" t="s">
        <v>533</v>
      </c>
      <c r="D541" s="7">
        <v>2012</v>
      </c>
      <c r="E541" s="7">
        <v>117</v>
      </c>
      <c r="F541" s="7" t="s">
        <v>600</v>
      </c>
      <c r="G541" s="7" t="s">
        <v>317</v>
      </c>
      <c r="H541" s="7" t="s">
        <v>698</v>
      </c>
      <c r="K541" s="7" t="s">
        <v>394</v>
      </c>
      <c r="M541" s="7" t="s">
        <v>348</v>
      </c>
      <c r="N541" s="7" t="s">
        <v>380</v>
      </c>
      <c r="O541" s="7" t="s">
        <v>413</v>
      </c>
      <c r="P541" s="7" t="s">
        <v>131</v>
      </c>
      <c r="Q541" s="9" t="s">
        <v>230</v>
      </c>
      <c r="R541" s="7">
        <v>9</v>
      </c>
      <c r="S541" s="8">
        <v>0.89</v>
      </c>
      <c r="T541" s="8">
        <v>2</v>
      </c>
      <c r="U541" s="8">
        <v>25</v>
      </c>
      <c r="V541" s="8"/>
      <c r="W541" s="8"/>
    </row>
    <row r="542" spans="1:23" s="7" customFormat="1" x14ac:dyDescent="0.35">
      <c r="A542" s="7" t="s">
        <v>697</v>
      </c>
      <c r="B542" s="7" t="s">
        <v>455</v>
      </c>
      <c r="C542" s="7" t="s">
        <v>533</v>
      </c>
      <c r="D542" s="7">
        <v>2012</v>
      </c>
      <c r="E542" s="7">
        <v>117</v>
      </c>
      <c r="F542" s="7" t="s">
        <v>600</v>
      </c>
      <c r="G542" s="7" t="s">
        <v>317</v>
      </c>
      <c r="H542" s="7" t="s">
        <v>698</v>
      </c>
      <c r="K542" s="7" t="s">
        <v>394</v>
      </c>
      <c r="M542" s="7" t="s">
        <v>348</v>
      </c>
      <c r="N542" s="7" t="s">
        <v>380</v>
      </c>
      <c r="O542" s="7" t="s">
        <v>413</v>
      </c>
      <c r="P542" s="7" t="s">
        <v>131</v>
      </c>
      <c r="Q542" s="9" t="s">
        <v>230</v>
      </c>
      <c r="R542" s="7">
        <v>18</v>
      </c>
      <c r="S542" s="8">
        <v>0.87</v>
      </c>
      <c r="T542" s="8">
        <v>3</v>
      </c>
      <c r="U542" s="8">
        <v>50</v>
      </c>
      <c r="V542" s="8"/>
      <c r="W542" s="8"/>
    </row>
    <row r="543" spans="1:23" s="7" customFormat="1" x14ac:dyDescent="0.35">
      <c r="A543" s="7" t="s">
        <v>697</v>
      </c>
      <c r="B543" s="7" t="s">
        <v>455</v>
      </c>
      <c r="C543" s="7" t="s">
        <v>533</v>
      </c>
      <c r="D543" s="7">
        <v>2012</v>
      </c>
      <c r="E543" s="7">
        <v>117</v>
      </c>
      <c r="F543" s="7" t="s">
        <v>600</v>
      </c>
      <c r="G543" s="7" t="s">
        <v>317</v>
      </c>
      <c r="H543" s="7" t="s">
        <v>698</v>
      </c>
      <c r="K543" s="7" t="s">
        <v>394</v>
      </c>
      <c r="M543" s="7" t="s">
        <v>348</v>
      </c>
      <c r="N543" s="7" t="s">
        <v>380</v>
      </c>
      <c r="O543" s="7" t="s">
        <v>413</v>
      </c>
      <c r="P543" s="7" t="s">
        <v>131</v>
      </c>
      <c r="Q543" s="9" t="s">
        <v>230</v>
      </c>
      <c r="R543" s="7">
        <v>26</v>
      </c>
      <c r="S543" s="8">
        <v>0.87</v>
      </c>
      <c r="T543" s="8">
        <v>7</v>
      </c>
      <c r="U543" s="8">
        <v>76</v>
      </c>
      <c r="V543" s="8"/>
      <c r="W543" s="8"/>
    </row>
    <row r="544" spans="1:23" s="7" customFormat="1" x14ac:dyDescent="0.35">
      <c r="A544" s="7" t="s">
        <v>699</v>
      </c>
      <c r="B544" s="7" t="s">
        <v>355</v>
      </c>
      <c r="C544" s="7" t="s">
        <v>385</v>
      </c>
      <c r="D544" s="7">
        <v>2014</v>
      </c>
      <c r="E544" s="7">
        <v>118</v>
      </c>
      <c r="F544" s="7" t="s">
        <v>600</v>
      </c>
      <c r="G544" s="7" t="s">
        <v>317</v>
      </c>
      <c r="H544" s="7" t="s">
        <v>689</v>
      </c>
      <c r="K544" s="7" t="s">
        <v>378</v>
      </c>
      <c r="L544" s="7" t="s">
        <v>700</v>
      </c>
      <c r="M544" s="7" t="s">
        <v>348</v>
      </c>
      <c r="N544" s="7" t="s">
        <v>380</v>
      </c>
      <c r="O544" s="7" t="s">
        <v>413</v>
      </c>
      <c r="P544" s="7" t="s">
        <v>131</v>
      </c>
      <c r="Q544" s="9" t="s">
        <v>230</v>
      </c>
      <c r="R544" s="7">
        <v>0</v>
      </c>
      <c r="S544" s="8">
        <v>0.87</v>
      </c>
      <c r="T544" s="8">
        <v>0</v>
      </c>
      <c r="U544" s="8">
        <v>0</v>
      </c>
      <c r="V544" s="8"/>
      <c r="W544" s="8"/>
    </row>
    <row r="545" spans="1:23" s="7" customFormat="1" x14ac:dyDescent="0.35">
      <c r="A545" s="7" t="s">
        <v>699</v>
      </c>
      <c r="B545" s="7" t="s">
        <v>355</v>
      </c>
      <c r="C545" s="7" t="s">
        <v>385</v>
      </c>
      <c r="D545" s="7">
        <v>2014</v>
      </c>
      <c r="E545" s="7">
        <v>118</v>
      </c>
      <c r="F545" s="7" t="s">
        <v>600</v>
      </c>
      <c r="G545" s="7" t="s">
        <v>317</v>
      </c>
      <c r="H545" s="7" t="s">
        <v>689</v>
      </c>
      <c r="K545" s="7" t="s">
        <v>378</v>
      </c>
      <c r="L545" s="7" t="s">
        <v>700</v>
      </c>
      <c r="M545" s="7" t="s">
        <v>348</v>
      </c>
      <c r="N545" s="7" t="s">
        <v>380</v>
      </c>
      <c r="O545" s="7" t="s">
        <v>413</v>
      </c>
      <c r="P545" s="7" t="s">
        <v>131</v>
      </c>
      <c r="Q545" s="9" t="s">
        <v>230</v>
      </c>
      <c r="R545" s="7">
        <v>25</v>
      </c>
      <c r="S545" s="8">
        <v>0.93</v>
      </c>
      <c r="T545" s="8">
        <v>1</v>
      </c>
      <c r="U545" s="8">
        <v>-11</v>
      </c>
      <c r="V545" s="8"/>
      <c r="W545" s="8"/>
    </row>
    <row r="546" spans="1:23" s="7" customFormat="1" x14ac:dyDescent="0.35">
      <c r="A546" s="7" t="s">
        <v>699</v>
      </c>
      <c r="B546" s="7" t="s">
        <v>355</v>
      </c>
      <c r="C546" s="7" t="s">
        <v>385</v>
      </c>
      <c r="D546" s="7">
        <v>2014</v>
      </c>
      <c r="E546" s="7">
        <v>118</v>
      </c>
      <c r="F546" s="7" t="s">
        <v>600</v>
      </c>
      <c r="G546" s="7" t="s">
        <v>317</v>
      </c>
      <c r="H546" s="7" t="s">
        <v>689</v>
      </c>
      <c r="K546" s="7" t="s">
        <v>378</v>
      </c>
      <c r="L546" s="7" t="s">
        <v>700</v>
      </c>
      <c r="M546" s="7" t="s">
        <v>348</v>
      </c>
      <c r="N546" s="7" t="s">
        <v>380</v>
      </c>
      <c r="O546" s="7" t="s">
        <v>413</v>
      </c>
      <c r="P546" s="7" t="s">
        <v>131</v>
      </c>
      <c r="Q546" s="9" t="s">
        <v>230</v>
      </c>
      <c r="R546" s="7">
        <v>37.5</v>
      </c>
      <c r="S546" s="8">
        <v>0.94</v>
      </c>
      <c r="T546" s="8">
        <v>1</v>
      </c>
      <c r="U546" s="8">
        <v>-15</v>
      </c>
      <c r="V546" s="8"/>
      <c r="W546" s="8"/>
    </row>
    <row r="547" spans="1:23" s="7" customFormat="1" x14ac:dyDescent="0.35">
      <c r="A547" s="7" t="s">
        <v>699</v>
      </c>
      <c r="B547" s="7" t="s">
        <v>355</v>
      </c>
      <c r="C547" s="7" t="s">
        <v>385</v>
      </c>
      <c r="D547" s="7">
        <v>2014</v>
      </c>
      <c r="E547" s="7">
        <v>118</v>
      </c>
      <c r="F547" s="7" t="s">
        <v>600</v>
      </c>
      <c r="G547" s="7" t="s">
        <v>317</v>
      </c>
      <c r="H547" s="7" t="s">
        <v>689</v>
      </c>
      <c r="K547" s="7" t="s">
        <v>378</v>
      </c>
      <c r="L547" s="7" t="s">
        <v>700</v>
      </c>
      <c r="M547" s="7" t="s">
        <v>348</v>
      </c>
      <c r="N547" s="7" t="s">
        <v>380</v>
      </c>
      <c r="O547" s="7" t="s">
        <v>413</v>
      </c>
      <c r="P547" s="7" t="s">
        <v>131</v>
      </c>
      <c r="Q547" s="9" t="s">
        <v>230</v>
      </c>
      <c r="R547" s="7">
        <v>50</v>
      </c>
      <c r="S547" s="8">
        <v>1.03</v>
      </c>
      <c r="T547" s="8">
        <v>2</v>
      </c>
      <c r="U547" s="8">
        <v>-18</v>
      </c>
      <c r="V547" s="8"/>
      <c r="W547" s="8"/>
    </row>
    <row r="548" spans="1:23" s="7" customFormat="1" x14ac:dyDescent="0.35">
      <c r="A548" s="7" t="s">
        <v>699</v>
      </c>
      <c r="B548" s="7" t="s">
        <v>355</v>
      </c>
      <c r="C548" s="7" t="s">
        <v>385</v>
      </c>
      <c r="D548" s="7">
        <v>2014</v>
      </c>
      <c r="E548" s="7">
        <v>118</v>
      </c>
      <c r="F548" s="7" t="s">
        <v>600</v>
      </c>
      <c r="G548" s="7" t="s">
        <v>317</v>
      </c>
      <c r="H548" s="7" t="s">
        <v>689</v>
      </c>
      <c r="K548" s="7" t="s">
        <v>378</v>
      </c>
      <c r="L548" s="7" t="s">
        <v>700</v>
      </c>
      <c r="M548" s="7" t="s">
        <v>348</v>
      </c>
      <c r="N548" s="7" t="s">
        <v>380</v>
      </c>
      <c r="O548" s="7" t="s">
        <v>413</v>
      </c>
      <c r="P548" s="7" t="s">
        <v>131</v>
      </c>
      <c r="Q548" s="9" t="s">
        <v>230</v>
      </c>
      <c r="R548" s="7">
        <v>62.5</v>
      </c>
      <c r="S548" s="8">
        <v>0.96</v>
      </c>
      <c r="T548" s="8">
        <v>3</v>
      </c>
      <c r="U548" s="8">
        <v>-22</v>
      </c>
      <c r="V548" s="8"/>
      <c r="W548" s="8"/>
    </row>
    <row r="549" spans="1:23" s="7" customFormat="1" x14ac:dyDescent="0.35">
      <c r="A549" s="7" t="s">
        <v>699</v>
      </c>
      <c r="B549" s="7" t="s">
        <v>355</v>
      </c>
      <c r="C549" s="7" t="s">
        <v>385</v>
      </c>
      <c r="D549" s="7">
        <v>2014</v>
      </c>
      <c r="E549" s="7">
        <v>118</v>
      </c>
      <c r="F549" s="7" t="s">
        <v>600</v>
      </c>
      <c r="G549" s="7" t="s">
        <v>317</v>
      </c>
      <c r="H549" s="7" t="s">
        <v>689</v>
      </c>
      <c r="K549" s="7" t="s">
        <v>378</v>
      </c>
      <c r="L549" s="7" t="s">
        <v>700</v>
      </c>
      <c r="M549" s="7" t="s">
        <v>348</v>
      </c>
      <c r="N549" s="7" t="s">
        <v>380</v>
      </c>
      <c r="O549" s="7" t="s">
        <v>413</v>
      </c>
      <c r="P549" s="7" t="s">
        <v>131</v>
      </c>
      <c r="Q549" s="9" t="s">
        <v>230</v>
      </c>
      <c r="R549" s="7">
        <v>75</v>
      </c>
      <c r="S549" s="8">
        <v>1.01</v>
      </c>
      <c r="T549" s="8">
        <v>3</v>
      </c>
      <c r="U549" s="8">
        <v>-25</v>
      </c>
      <c r="V549" s="8"/>
      <c r="W549" s="8"/>
    </row>
    <row r="550" spans="1:23" s="7" customFormat="1" x14ac:dyDescent="0.35">
      <c r="A550" s="7" t="s">
        <v>699</v>
      </c>
      <c r="B550" s="7" t="s">
        <v>355</v>
      </c>
      <c r="C550" s="7" t="s">
        <v>385</v>
      </c>
      <c r="D550" s="7">
        <v>2014</v>
      </c>
      <c r="E550" s="7">
        <v>118</v>
      </c>
      <c r="F550" s="7" t="s">
        <v>600</v>
      </c>
      <c r="G550" s="7" t="s">
        <v>317</v>
      </c>
      <c r="H550" s="7" t="s">
        <v>689</v>
      </c>
      <c r="K550" s="7" t="s">
        <v>378</v>
      </c>
      <c r="L550" s="7" t="s">
        <v>700</v>
      </c>
      <c r="M550" s="7" t="s">
        <v>348</v>
      </c>
      <c r="N550" s="7" t="s">
        <v>380</v>
      </c>
      <c r="O550" s="7" t="s">
        <v>413</v>
      </c>
      <c r="P550" s="7" t="s">
        <v>131</v>
      </c>
      <c r="Q550" s="9" t="s">
        <v>230</v>
      </c>
      <c r="R550" s="7">
        <v>87.5</v>
      </c>
      <c r="S550" s="8">
        <v>1.04</v>
      </c>
      <c r="T550" s="8">
        <v>4</v>
      </c>
      <c r="U550" s="8">
        <v>-30</v>
      </c>
      <c r="V550" s="8"/>
      <c r="W550" s="8"/>
    </row>
    <row r="551" spans="1:23" s="7" customFormat="1" x14ac:dyDescent="0.35">
      <c r="A551" s="7" t="s">
        <v>699</v>
      </c>
      <c r="B551" s="7" t="s">
        <v>355</v>
      </c>
      <c r="C551" s="7" t="s">
        <v>385</v>
      </c>
      <c r="D551" s="7">
        <v>2014</v>
      </c>
      <c r="E551" s="7">
        <v>118</v>
      </c>
      <c r="F551" s="7" t="s">
        <v>600</v>
      </c>
      <c r="G551" s="7" t="s">
        <v>317</v>
      </c>
      <c r="H551" s="7" t="s">
        <v>689</v>
      </c>
      <c r="K551" s="7" t="s">
        <v>378</v>
      </c>
      <c r="L551" s="7" t="s">
        <v>700</v>
      </c>
      <c r="M551" s="7" t="s">
        <v>348</v>
      </c>
      <c r="N551" s="7" t="s">
        <v>380</v>
      </c>
      <c r="O551" s="7" t="s">
        <v>413</v>
      </c>
      <c r="P551" s="7" t="s">
        <v>131</v>
      </c>
      <c r="Q551" s="9" t="s">
        <v>230</v>
      </c>
      <c r="R551" s="7">
        <v>100</v>
      </c>
      <c r="S551" s="8">
        <v>1.1000000000000001</v>
      </c>
      <c r="T551" s="8">
        <v>5</v>
      </c>
      <c r="U551" s="8">
        <v>-33</v>
      </c>
      <c r="V551" s="8"/>
      <c r="W551" s="8"/>
    </row>
    <row r="552" spans="1:23" s="7" customFormat="1" x14ac:dyDescent="0.35">
      <c r="A552" s="7" t="s">
        <v>701</v>
      </c>
      <c r="B552" s="7" t="s">
        <v>455</v>
      </c>
      <c r="C552" s="7" t="s">
        <v>533</v>
      </c>
      <c r="D552" s="7">
        <v>2014</v>
      </c>
      <c r="E552" s="7">
        <v>119</v>
      </c>
      <c r="F552" s="7" t="s">
        <v>600</v>
      </c>
      <c r="G552" s="7" t="s">
        <v>317</v>
      </c>
      <c r="H552" s="7" t="s">
        <v>698</v>
      </c>
      <c r="K552" s="7" t="s">
        <v>394</v>
      </c>
      <c r="M552" s="7" t="s">
        <v>348</v>
      </c>
      <c r="N552" s="7" t="s">
        <v>380</v>
      </c>
      <c r="O552" s="7" t="s">
        <v>413</v>
      </c>
      <c r="P552" s="7" t="s">
        <v>131</v>
      </c>
      <c r="Q552" s="9" t="s">
        <v>230</v>
      </c>
      <c r="R552" s="7">
        <v>0</v>
      </c>
      <c r="S552" s="8">
        <v>1.99</v>
      </c>
      <c r="T552" s="8">
        <v>0</v>
      </c>
      <c r="U552" s="8">
        <v>0</v>
      </c>
      <c r="V552" s="8"/>
      <c r="W552" s="8"/>
    </row>
    <row r="553" spans="1:23" s="7" customFormat="1" x14ac:dyDescent="0.35">
      <c r="A553" s="7" t="s">
        <v>701</v>
      </c>
      <c r="B553" s="7" t="s">
        <v>455</v>
      </c>
      <c r="C553" s="7" t="s">
        <v>533</v>
      </c>
      <c r="D553" s="7">
        <v>2014</v>
      </c>
      <c r="E553" s="7">
        <v>119</v>
      </c>
      <c r="F553" s="7" t="s">
        <v>600</v>
      </c>
      <c r="G553" s="7" t="s">
        <v>317</v>
      </c>
      <c r="H553" s="7" t="s">
        <v>698</v>
      </c>
      <c r="K553" s="7" t="s">
        <v>394</v>
      </c>
      <c r="M553" s="7" t="s">
        <v>348</v>
      </c>
      <c r="N553" s="7" t="s">
        <v>380</v>
      </c>
      <c r="O553" s="7" t="s">
        <v>413</v>
      </c>
      <c r="P553" s="7" t="s">
        <v>131</v>
      </c>
      <c r="Q553" s="9" t="s">
        <v>230</v>
      </c>
      <c r="R553" s="7">
        <v>17</v>
      </c>
      <c r="S553" s="8">
        <v>1.88</v>
      </c>
      <c r="T553" s="8">
        <v>8</v>
      </c>
      <c r="U553" s="8">
        <v>43</v>
      </c>
      <c r="V553" s="8"/>
      <c r="W553" s="8"/>
    </row>
    <row r="554" spans="1:23" s="7" customFormat="1" x14ac:dyDescent="0.35">
      <c r="A554" s="7" t="s">
        <v>701</v>
      </c>
      <c r="B554" s="7" t="s">
        <v>455</v>
      </c>
      <c r="C554" s="7" t="s">
        <v>533</v>
      </c>
      <c r="D554" s="7">
        <v>2014</v>
      </c>
      <c r="E554" s="7">
        <v>119</v>
      </c>
      <c r="F554" s="7" t="s">
        <v>600</v>
      </c>
      <c r="G554" s="7" t="s">
        <v>317</v>
      </c>
      <c r="H554" s="7" t="s">
        <v>698</v>
      </c>
      <c r="K554" s="7" t="s">
        <v>394</v>
      </c>
      <c r="M554" s="7" t="s">
        <v>348</v>
      </c>
      <c r="N554" s="7" t="s">
        <v>380</v>
      </c>
      <c r="O554" s="7" t="s">
        <v>413</v>
      </c>
      <c r="P554" s="7" t="s">
        <v>131</v>
      </c>
      <c r="Q554" s="9" t="s">
        <v>230</v>
      </c>
      <c r="R554" s="7">
        <v>29</v>
      </c>
      <c r="S554" s="8">
        <v>1.52</v>
      </c>
      <c r="T554" s="8">
        <v>13</v>
      </c>
      <c r="U554" s="8">
        <v>33</v>
      </c>
      <c r="V554" s="8"/>
      <c r="W554" s="8"/>
    </row>
    <row r="555" spans="1:23" s="7" customFormat="1" x14ac:dyDescent="0.35">
      <c r="A555" s="7" t="s">
        <v>701</v>
      </c>
      <c r="B555" s="7" t="s">
        <v>455</v>
      </c>
      <c r="C555" s="7" t="s">
        <v>533</v>
      </c>
      <c r="D555" s="7">
        <v>2014</v>
      </c>
      <c r="E555" s="7">
        <v>119</v>
      </c>
      <c r="F555" s="7" t="s">
        <v>600</v>
      </c>
      <c r="G555" s="7" t="s">
        <v>317</v>
      </c>
      <c r="H555" s="7" t="s">
        <v>698</v>
      </c>
      <c r="K555" s="7" t="s">
        <v>394</v>
      </c>
      <c r="M555" s="7" t="s">
        <v>348</v>
      </c>
      <c r="N555" s="7" t="s">
        <v>380</v>
      </c>
      <c r="O555" s="7" t="s">
        <v>413</v>
      </c>
      <c r="P555" s="7" t="s">
        <v>131</v>
      </c>
      <c r="Q555" s="9" t="s">
        <v>230</v>
      </c>
      <c r="R555" s="7">
        <v>41</v>
      </c>
      <c r="S555" s="8">
        <v>1.63</v>
      </c>
      <c r="T555" s="8">
        <v>19</v>
      </c>
      <c r="U555" s="8">
        <v>34</v>
      </c>
      <c r="V555" s="8"/>
      <c r="W555" s="8"/>
    </row>
    <row r="556" spans="1:23" s="7" customFormat="1" x14ac:dyDescent="0.35">
      <c r="A556" s="7" t="s">
        <v>702</v>
      </c>
      <c r="B556" s="7" t="s">
        <v>703</v>
      </c>
      <c r="C556" s="7" t="s">
        <v>533</v>
      </c>
      <c r="D556" s="7">
        <v>2011</v>
      </c>
      <c r="E556" s="7">
        <v>120</v>
      </c>
      <c r="F556" s="7" t="s">
        <v>600</v>
      </c>
      <c r="G556" s="7" t="s">
        <v>317</v>
      </c>
      <c r="H556" s="7" t="s">
        <v>593</v>
      </c>
      <c r="K556" s="7" t="s">
        <v>378</v>
      </c>
      <c r="L556" s="7" t="s">
        <v>377</v>
      </c>
      <c r="M556" s="7" t="s">
        <v>348</v>
      </c>
      <c r="N556" s="7" t="s">
        <v>380</v>
      </c>
      <c r="O556" s="7" t="s">
        <v>413</v>
      </c>
      <c r="P556" s="7" t="s">
        <v>131</v>
      </c>
      <c r="Q556" s="9" t="s">
        <v>230</v>
      </c>
      <c r="R556" s="7">
        <v>0</v>
      </c>
      <c r="S556" s="8">
        <v>2.21</v>
      </c>
      <c r="T556" s="8"/>
      <c r="U556" s="8">
        <v>0</v>
      </c>
      <c r="V556" s="8"/>
      <c r="W556" s="8"/>
    </row>
    <row r="557" spans="1:23" s="7" customFormat="1" x14ac:dyDescent="0.35">
      <c r="A557" s="7" t="s">
        <v>702</v>
      </c>
      <c r="B557" s="7" t="s">
        <v>703</v>
      </c>
      <c r="C557" s="7" t="s">
        <v>533</v>
      </c>
      <c r="D557" s="7">
        <v>2011</v>
      </c>
      <c r="E557" s="7">
        <v>120</v>
      </c>
      <c r="F557" s="7" t="s">
        <v>600</v>
      </c>
      <c r="G557" s="7" t="s">
        <v>317</v>
      </c>
      <c r="H557" s="7" t="s">
        <v>593</v>
      </c>
      <c r="K557" s="7" t="s">
        <v>378</v>
      </c>
      <c r="L557" s="7" t="s">
        <v>377</v>
      </c>
      <c r="M557" s="7" t="s">
        <v>348</v>
      </c>
      <c r="N557" s="7" t="s">
        <v>380</v>
      </c>
      <c r="O557" s="7" t="s">
        <v>413</v>
      </c>
      <c r="P557" s="7" t="s">
        <v>131</v>
      </c>
      <c r="Q557" s="9" t="s">
        <v>230</v>
      </c>
      <c r="R557" s="7">
        <v>10</v>
      </c>
      <c r="S557" s="8">
        <v>2.23</v>
      </c>
      <c r="T557" s="8"/>
      <c r="U557" s="8">
        <v>2</v>
      </c>
      <c r="V557" s="8"/>
      <c r="W557" s="8"/>
    </row>
    <row r="558" spans="1:23" s="7" customFormat="1" x14ac:dyDescent="0.35">
      <c r="A558" s="7" t="s">
        <v>702</v>
      </c>
      <c r="B558" s="7" t="s">
        <v>703</v>
      </c>
      <c r="C558" s="7" t="s">
        <v>533</v>
      </c>
      <c r="D558" s="7">
        <v>2011</v>
      </c>
      <c r="E558" s="7">
        <v>120</v>
      </c>
      <c r="F558" s="7" t="s">
        <v>600</v>
      </c>
      <c r="G558" s="7" t="s">
        <v>317</v>
      </c>
      <c r="H558" s="7" t="s">
        <v>593</v>
      </c>
      <c r="K558" s="7" t="s">
        <v>378</v>
      </c>
      <c r="L558" s="7" t="s">
        <v>377</v>
      </c>
      <c r="M558" s="7" t="s">
        <v>348</v>
      </c>
      <c r="N558" s="7" t="s">
        <v>380</v>
      </c>
      <c r="O558" s="7" t="s">
        <v>413</v>
      </c>
      <c r="P558" s="7" t="s">
        <v>131</v>
      </c>
      <c r="Q558" s="9" t="s">
        <v>230</v>
      </c>
      <c r="R558" s="7">
        <v>20</v>
      </c>
      <c r="S558" s="8">
        <v>2.2599999999999998</v>
      </c>
      <c r="T558" s="8"/>
      <c r="U558" s="8">
        <v>4</v>
      </c>
      <c r="V558" s="8"/>
      <c r="W558" s="8"/>
    </row>
    <row r="559" spans="1:23" s="7" customFormat="1" x14ac:dyDescent="0.35">
      <c r="A559" s="7" t="s">
        <v>702</v>
      </c>
      <c r="B559" s="7" t="s">
        <v>703</v>
      </c>
      <c r="C559" s="7" t="s">
        <v>533</v>
      </c>
      <c r="D559" s="7">
        <v>2011</v>
      </c>
      <c r="E559" s="7">
        <v>120</v>
      </c>
      <c r="F559" s="7" t="s">
        <v>600</v>
      </c>
      <c r="G559" s="7" t="s">
        <v>317</v>
      </c>
      <c r="H559" s="7" t="s">
        <v>593</v>
      </c>
      <c r="K559" s="7" t="s">
        <v>378</v>
      </c>
      <c r="L559" s="7" t="s">
        <v>377</v>
      </c>
      <c r="M559" s="7" t="s">
        <v>348</v>
      </c>
      <c r="N559" s="7" t="s">
        <v>380</v>
      </c>
      <c r="O559" s="7" t="s">
        <v>413</v>
      </c>
      <c r="P559" s="7" t="s">
        <v>131</v>
      </c>
      <c r="Q559" s="9" t="s">
        <v>230</v>
      </c>
      <c r="R559" s="7">
        <v>30</v>
      </c>
      <c r="S559" s="8">
        <v>2.3199999999999998</v>
      </c>
      <c r="T559" s="8"/>
      <c r="U559" s="8">
        <v>4</v>
      </c>
      <c r="V559" s="8"/>
      <c r="W559" s="8"/>
    </row>
    <row r="560" spans="1:23" s="7" customFormat="1" x14ac:dyDescent="0.35">
      <c r="A560" s="7" t="s">
        <v>702</v>
      </c>
      <c r="B560" s="7" t="s">
        <v>703</v>
      </c>
      <c r="C560" s="7" t="s">
        <v>533</v>
      </c>
      <c r="D560" s="7">
        <v>2011</v>
      </c>
      <c r="E560" s="7">
        <v>120</v>
      </c>
      <c r="F560" s="7" t="s">
        <v>600</v>
      </c>
      <c r="G560" s="7" t="s">
        <v>317</v>
      </c>
      <c r="H560" s="7" t="s">
        <v>593</v>
      </c>
      <c r="K560" s="7" t="s">
        <v>378</v>
      </c>
      <c r="L560" s="7" t="s">
        <v>377</v>
      </c>
      <c r="M560" s="7" t="s">
        <v>348</v>
      </c>
      <c r="N560" s="7" t="s">
        <v>380</v>
      </c>
      <c r="O560" s="7" t="s">
        <v>413</v>
      </c>
      <c r="P560" s="7" t="s">
        <v>131</v>
      </c>
      <c r="Q560" s="9" t="s">
        <v>230</v>
      </c>
      <c r="R560" s="7">
        <v>40</v>
      </c>
      <c r="S560" s="8">
        <v>3.07</v>
      </c>
      <c r="T560" s="8"/>
      <c r="U560" s="8">
        <v>6</v>
      </c>
      <c r="V560" s="8"/>
      <c r="W560" s="8"/>
    </row>
    <row r="561" spans="1:23" s="7" customFormat="1" x14ac:dyDescent="0.35">
      <c r="A561" s="7" t="s">
        <v>702</v>
      </c>
      <c r="B561" s="7" t="s">
        <v>703</v>
      </c>
      <c r="C561" s="7" t="s">
        <v>533</v>
      </c>
      <c r="D561" s="7">
        <v>2011</v>
      </c>
      <c r="E561" s="7">
        <v>120</v>
      </c>
      <c r="F561" s="7" t="s">
        <v>600</v>
      </c>
      <c r="G561" s="7" t="s">
        <v>317</v>
      </c>
      <c r="H561" s="7" t="s">
        <v>593</v>
      </c>
      <c r="K561" s="7" t="s">
        <v>378</v>
      </c>
      <c r="L561" s="7" t="s">
        <v>377</v>
      </c>
      <c r="M561" s="7" t="s">
        <v>348</v>
      </c>
      <c r="N561" s="7" t="s">
        <v>380</v>
      </c>
      <c r="O561" s="7" t="s">
        <v>413</v>
      </c>
      <c r="P561" s="7" t="s">
        <v>131</v>
      </c>
      <c r="Q561" s="9" t="s">
        <v>230</v>
      </c>
      <c r="R561" s="7">
        <v>50</v>
      </c>
      <c r="S561" s="8">
        <v>3.13</v>
      </c>
      <c r="T561" s="8"/>
      <c r="U561" s="8">
        <v>6</v>
      </c>
      <c r="V561" s="8"/>
      <c r="W561" s="8"/>
    </row>
    <row r="562" spans="1:23" s="7" customFormat="1" x14ac:dyDescent="0.35">
      <c r="A562" s="7" t="s">
        <v>704</v>
      </c>
      <c r="B562" s="7" t="s">
        <v>522</v>
      </c>
      <c r="C562" s="7" t="s">
        <v>385</v>
      </c>
      <c r="D562" s="7">
        <v>2006</v>
      </c>
      <c r="E562" s="7">
        <v>121</v>
      </c>
      <c r="F562" s="7" t="s">
        <v>600</v>
      </c>
      <c r="G562" s="7" t="s">
        <v>317</v>
      </c>
      <c r="H562" s="7" t="s">
        <v>698</v>
      </c>
      <c r="K562" s="7" t="s">
        <v>394</v>
      </c>
      <c r="M562" s="7" t="s">
        <v>348</v>
      </c>
      <c r="N562" s="7" t="s">
        <v>538</v>
      </c>
      <c r="O562" s="7" t="s">
        <v>705</v>
      </c>
      <c r="P562" s="7" t="s">
        <v>706</v>
      </c>
      <c r="Q562" s="9" t="s">
        <v>230</v>
      </c>
      <c r="R562" s="7">
        <v>0</v>
      </c>
      <c r="S562" s="8">
        <v>1.9</v>
      </c>
      <c r="T562" s="8">
        <v>0</v>
      </c>
      <c r="V562" s="8"/>
      <c r="W562" s="8"/>
    </row>
    <row r="563" spans="1:23" s="7" customFormat="1" x14ac:dyDescent="0.35">
      <c r="A563" s="7" t="s">
        <v>704</v>
      </c>
      <c r="B563" s="7" t="s">
        <v>522</v>
      </c>
      <c r="C563" s="7" t="s">
        <v>385</v>
      </c>
      <c r="D563" s="7">
        <v>2006</v>
      </c>
      <c r="E563" s="7">
        <v>121</v>
      </c>
      <c r="F563" s="7" t="s">
        <v>600</v>
      </c>
      <c r="G563" s="7" t="s">
        <v>317</v>
      </c>
      <c r="H563" s="7" t="s">
        <v>698</v>
      </c>
      <c r="K563" s="7" t="s">
        <v>394</v>
      </c>
      <c r="M563" s="7" t="s">
        <v>348</v>
      </c>
      <c r="N563" s="7" t="s">
        <v>538</v>
      </c>
      <c r="O563" s="7" t="s">
        <v>705</v>
      </c>
      <c r="P563" s="7" t="s">
        <v>706</v>
      </c>
      <c r="Q563" s="9" t="s">
        <v>230</v>
      </c>
      <c r="R563" s="7">
        <v>25</v>
      </c>
      <c r="S563" s="8">
        <v>1.9</v>
      </c>
      <c r="T563" s="8">
        <v>0</v>
      </c>
      <c r="V563" s="8"/>
      <c r="W563" s="8"/>
    </row>
    <row r="564" spans="1:23" s="7" customFormat="1" x14ac:dyDescent="0.35">
      <c r="A564" s="7" t="s">
        <v>704</v>
      </c>
      <c r="B564" s="7" t="s">
        <v>522</v>
      </c>
      <c r="C564" s="7" t="s">
        <v>385</v>
      </c>
      <c r="D564" s="7">
        <v>2006</v>
      </c>
      <c r="E564" s="7">
        <v>121</v>
      </c>
      <c r="F564" s="7" t="s">
        <v>600</v>
      </c>
      <c r="G564" s="7" t="s">
        <v>317</v>
      </c>
      <c r="H564" s="7" t="s">
        <v>698</v>
      </c>
      <c r="K564" s="7" t="s">
        <v>394</v>
      </c>
      <c r="M564" s="7" t="s">
        <v>348</v>
      </c>
      <c r="N564" s="7" t="s">
        <v>538</v>
      </c>
      <c r="O564" s="7" t="s">
        <v>705</v>
      </c>
      <c r="P564" s="7" t="s">
        <v>706</v>
      </c>
      <c r="Q564" s="9" t="s">
        <v>230</v>
      </c>
      <c r="R564" s="7">
        <v>50</v>
      </c>
      <c r="S564" s="8">
        <v>2.4</v>
      </c>
      <c r="T564" s="8">
        <v>1</v>
      </c>
      <c r="V564" s="8"/>
      <c r="W564" s="8"/>
    </row>
    <row r="565" spans="1:23" s="7" customFormat="1" x14ac:dyDescent="0.35">
      <c r="A565" s="7" t="s">
        <v>704</v>
      </c>
      <c r="B565" s="7" t="s">
        <v>522</v>
      </c>
      <c r="C565" s="7" t="s">
        <v>385</v>
      </c>
      <c r="D565" s="7">
        <v>2006</v>
      </c>
      <c r="E565" s="7">
        <v>121</v>
      </c>
      <c r="F565" s="7" t="s">
        <v>600</v>
      </c>
      <c r="G565" s="7" t="s">
        <v>317</v>
      </c>
      <c r="H565" s="7" t="s">
        <v>698</v>
      </c>
      <c r="K565" s="7" t="s">
        <v>394</v>
      </c>
      <c r="M565" s="7" t="s">
        <v>348</v>
      </c>
      <c r="N565" s="7" t="s">
        <v>538</v>
      </c>
      <c r="O565" s="7" t="s">
        <v>705</v>
      </c>
      <c r="P565" s="7" t="s">
        <v>706</v>
      </c>
      <c r="Q565" s="9" t="s">
        <v>230</v>
      </c>
      <c r="R565" s="7">
        <v>75</v>
      </c>
      <c r="S565" s="8">
        <v>3</v>
      </c>
      <c r="T565" s="8">
        <v>2</v>
      </c>
      <c r="V565" s="8"/>
      <c r="W565" s="8"/>
    </row>
    <row r="566" spans="1:23" s="7" customFormat="1" x14ac:dyDescent="0.35">
      <c r="A566" s="7" t="s">
        <v>704</v>
      </c>
      <c r="B566" s="7" t="s">
        <v>522</v>
      </c>
      <c r="C566" s="7" t="s">
        <v>385</v>
      </c>
      <c r="D566" s="7">
        <v>2006</v>
      </c>
      <c r="E566" s="7">
        <v>121</v>
      </c>
      <c r="F566" s="7" t="s">
        <v>600</v>
      </c>
      <c r="G566" s="7" t="s">
        <v>317</v>
      </c>
      <c r="H566" s="7" t="s">
        <v>698</v>
      </c>
      <c r="K566" s="7" t="s">
        <v>394</v>
      </c>
      <c r="M566" s="7" t="s">
        <v>348</v>
      </c>
      <c r="N566" s="7" t="s">
        <v>538</v>
      </c>
      <c r="O566" s="7" t="s">
        <v>705</v>
      </c>
      <c r="P566" s="7" t="s">
        <v>706</v>
      </c>
      <c r="Q566" s="9" t="s">
        <v>230</v>
      </c>
      <c r="R566" s="7">
        <v>100</v>
      </c>
      <c r="S566" s="8">
        <v>5.8</v>
      </c>
      <c r="T566" s="8">
        <v>2</v>
      </c>
      <c r="V566" s="8"/>
      <c r="W566" s="8"/>
    </row>
    <row r="567" spans="1:23" s="7" customFormat="1" x14ac:dyDescent="0.35">
      <c r="A567" s="7" t="s">
        <v>704</v>
      </c>
      <c r="B567" s="7" t="s">
        <v>522</v>
      </c>
      <c r="C567" s="7" t="s">
        <v>385</v>
      </c>
      <c r="D567" s="7">
        <v>2007</v>
      </c>
      <c r="E567" s="7">
        <v>122</v>
      </c>
      <c r="F567" s="7" t="s">
        <v>600</v>
      </c>
      <c r="G567" s="7" t="s">
        <v>317</v>
      </c>
      <c r="H567" s="7" t="s">
        <v>698</v>
      </c>
      <c r="K567" s="7" t="s">
        <v>378</v>
      </c>
      <c r="L567" s="7" t="s">
        <v>707</v>
      </c>
      <c r="M567" s="7" t="s">
        <v>348</v>
      </c>
      <c r="N567" s="7" t="s">
        <v>538</v>
      </c>
      <c r="O567" s="7" t="s">
        <v>705</v>
      </c>
      <c r="P567" s="7" t="s">
        <v>706</v>
      </c>
      <c r="Q567" s="9" t="s">
        <v>230</v>
      </c>
      <c r="R567" s="7">
        <v>0</v>
      </c>
      <c r="S567" s="8">
        <f>1/0.39</f>
        <v>2.5641025641025639</v>
      </c>
      <c r="T567" s="8">
        <v>0</v>
      </c>
      <c r="V567" s="8"/>
      <c r="W567" s="8"/>
    </row>
    <row r="568" spans="1:23" s="7" customFormat="1" x14ac:dyDescent="0.35">
      <c r="A568" s="7" t="s">
        <v>704</v>
      </c>
      <c r="B568" s="7" t="s">
        <v>522</v>
      </c>
      <c r="C568" s="7" t="s">
        <v>385</v>
      </c>
      <c r="D568" s="7">
        <v>2007</v>
      </c>
      <c r="E568" s="7">
        <v>122</v>
      </c>
      <c r="F568" s="7" t="s">
        <v>600</v>
      </c>
      <c r="G568" s="7" t="s">
        <v>317</v>
      </c>
      <c r="H568" s="7" t="s">
        <v>698</v>
      </c>
      <c r="K568" s="7" t="s">
        <v>378</v>
      </c>
      <c r="L568" s="7" t="s">
        <v>707</v>
      </c>
      <c r="M568" s="7" t="s">
        <v>348</v>
      </c>
      <c r="N568" s="7" t="s">
        <v>538</v>
      </c>
      <c r="O568" s="7" t="s">
        <v>705</v>
      </c>
      <c r="P568" s="7" t="s">
        <v>706</v>
      </c>
      <c r="Q568" s="9" t="s">
        <v>230</v>
      </c>
      <c r="R568" s="7">
        <v>50</v>
      </c>
      <c r="S568" s="8">
        <f>1/0.55</f>
        <v>1.8181818181818181</v>
      </c>
      <c r="T568" s="8">
        <v>32</v>
      </c>
      <c r="V568" s="8"/>
      <c r="W568" s="8"/>
    </row>
    <row r="569" spans="1:23" s="7" customFormat="1" x14ac:dyDescent="0.35">
      <c r="A569" s="7" t="s">
        <v>704</v>
      </c>
      <c r="B569" s="7" t="s">
        <v>522</v>
      </c>
      <c r="C569" s="7" t="s">
        <v>385</v>
      </c>
      <c r="D569" s="7">
        <v>2007</v>
      </c>
      <c r="E569" s="7">
        <v>122</v>
      </c>
      <c r="F569" s="7" t="s">
        <v>600</v>
      </c>
      <c r="G569" s="7" t="s">
        <v>317</v>
      </c>
      <c r="H569" s="7" t="s">
        <v>698</v>
      </c>
      <c r="K569" s="7" t="s">
        <v>378</v>
      </c>
      <c r="L569" s="7" t="s">
        <v>707</v>
      </c>
      <c r="M569" s="7" t="s">
        <v>348</v>
      </c>
      <c r="N569" s="7" t="s">
        <v>538</v>
      </c>
      <c r="O569" s="7" t="s">
        <v>705</v>
      </c>
      <c r="P569" s="7" t="s">
        <v>706</v>
      </c>
      <c r="Q569" s="9" t="s">
        <v>230</v>
      </c>
      <c r="R569" s="7">
        <v>75</v>
      </c>
      <c r="S569" s="8">
        <f>1/0.53</f>
        <v>1.8867924528301885</v>
      </c>
      <c r="T569" s="8">
        <v>45</v>
      </c>
      <c r="V569" s="8"/>
      <c r="W569" s="8"/>
    </row>
    <row r="570" spans="1:23" s="7" customFormat="1" x14ac:dyDescent="0.35">
      <c r="A570" s="7" t="s">
        <v>704</v>
      </c>
      <c r="B570" s="7" t="s">
        <v>522</v>
      </c>
      <c r="C570" s="7" t="s">
        <v>385</v>
      </c>
      <c r="D570" s="7">
        <v>2007</v>
      </c>
      <c r="E570" s="7">
        <v>122</v>
      </c>
      <c r="F570" s="7" t="s">
        <v>600</v>
      </c>
      <c r="G570" s="7" t="s">
        <v>317</v>
      </c>
      <c r="H570" s="7" t="s">
        <v>698</v>
      </c>
      <c r="K570" s="7" t="s">
        <v>394</v>
      </c>
      <c r="M570" s="7" t="s">
        <v>348</v>
      </c>
      <c r="N570" s="7" t="s">
        <v>538</v>
      </c>
      <c r="O570" s="7" t="s">
        <v>705</v>
      </c>
      <c r="P570" s="7" t="s">
        <v>706</v>
      </c>
      <c r="Q570" s="9" t="s">
        <v>230</v>
      </c>
      <c r="R570" s="7">
        <v>50</v>
      </c>
      <c r="S570" s="8">
        <f>1/0.41</f>
        <v>2.4390243902439024</v>
      </c>
      <c r="T570" s="8">
        <v>32</v>
      </c>
      <c r="V570" s="8"/>
      <c r="W570" s="8"/>
    </row>
    <row r="571" spans="1:23" s="7" customFormat="1" x14ac:dyDescent="0.35">
      <c r="A571" s="7" t="s">
        <v>704</v>
      </c>
      <c r="B571" s="7" t="s">
        <v>522</v>
      </c>
      <c r="C571" s="7" t="s">
        <v>385</v>
      </c>
      <c r="D571" s="7">
        <v>2007</v>
      </c>
      <c r="E571" s="7">
        <v>122</v>
      </c>
      <c r="F571" s="7" t="s">
        <v>600</v>
      </c>
      <c r="G571" s="7" t="s">
        <v>317</v>
      </c>
      <c r="H571" s="7" t="s">
        <v>698</v>
      </c>
      <c r="K571" s="7" t="s">
        <v>394</v>
      </c>
      <c r="M571" s="7" t="s">
        <v>348</v>
      </c>
      <c r="N571" s="7" t="s">
        <v>538</v>
      </c>
      <c r="O571" s="7" t="s">
        <v>705</v>
      </c>
      <c r="P571" s="7" t="s">
        <v>706</v>
      </c>
      <c r="Q571" s="9" t="s">
        <v>230</v>
      </c>
      <c r="R571" s="7">
        <v>75</v>
      </c>
      <c r="S571" s="8">
        <f>1/0.25</f>
        <v>4</v>
      </c>
      <c r="T571" s="8">
        <v>45</v>
      </c>
      <c r="V571" s="8"/>
      <c r="W571" s="8"/>
    </row>
    <row r="572" spans="1:23" s="7" customFormat="1" x14ac:dyDescent="0.35">
      <c r="A572" s="7" t="s">
        <v>708</v>
      </c>
      <c r="B572" s="7" t="s">
        <v>522</v>
      </c>
      <c r="C572" s="7" t="s">
        <v>407</v>
      </c>
      <c r="D572" s="7">
        <v>2018</v>
      </c>
      <c r="E572" s="7">
        <v>123</v>
      </c>
      <c r="F572" s="7" t="s">
        <v>600</v>
      </c>
      <c r="G572" s="7" t="s">
        <v>317</v>
      </c>
      <c r="M572" s="7" t="s">
        <v>348</v>
      </c>
      <c r="N572" s="7" t="s">
        <v>417</v>
      </c>
      <c r="O572" s="7" t="s">
        <v>103</v>
      </c>
      <c r="P572" s="7" t="s">
        <v>102</v>
      </c>
      <c r="Q572" s="9" t="s">
        <v>230</v>
      </c>
      <c r="R572" s="7">
        <v>0</v>
      </c>
      <c r="S572" s="8">
        <v>1.43</v>
      </c>
      <c r="T572" s="8"/>
      <c r="U572" s="7">
        <v>0</v>
      </c>
      <c r="V572" s="8"/>
      <c r="W572" s="8"/>
    </row>
    <row r="573" spans="1:23" s="7" customFormat="1" x14ac:dyDescent="0.35">
      <c r="A573" s="7" t="s">
        <v>708</v>
      </c>
      <c r="B573" s="7" t="s">
        <v>522</v>
      </c>
      <c r="C573" s="7" t="s">
        <v>407</v>
      </c>
      <c r="D573" s="7">
        <v>2018</v>
      </c>
      <c r="E573" s="7">
        <v>123</v>
      </c>
      <c r="F573" s="7" t="s">
        <v>600</v>
      </c>
      <c r="G573" s="7" t="s">
        <v>317</v>
      </c>
      <c r="M573" s="7" t="s">
        <v>348</v>
      </c>
      <c r="N573" s="7" t="s">
        <v>417</v>
      </c>
      <c r="O573" s="7" t="s">
        <v>103</v>
      </c>
      <c r="P573" s="7" t="s">
        <v>102</v>
      </c>
      <c r="Q573" s="9" t="s">
        <v>230</v>
      </c>
      <c r="R573" s="7">
        <v>30</v>
      </c>
      <c r="S573" s="8">
        <v>1.56</v>
      </c>
      <c r="T573" s="8"/>
      <c r="U573" s="7">
        <v>-4</v>
      </c>
      <c r="V573" s="8"/>
      <c r="W573" s="8"/>
    </row>
    <row r="574" spans="1:23" s="7" customFormat="1" x14ac:dyDescent="0.35">
      <c r="A574" s="7" t="s">
        <v>708</v>
      </c>
      <c r="B574" s="7" t="s">
        <v>522</v>
      </c>
      <c r="C574" s="7" t="s">
        <v>407</v>
      </c>
      <c r="D574" s="7">
        <v>2018</v>
      </c>
      <c r="E574" s="7">
        <v>123</v>
      </c>
      <c r="F574" s="7" t="s">
        <v>600</v>
      </c>
      <c r="G574" s="7" t="s">
        <v>317</v>
      </c>
      <c r="M574" s="7" t="s">
        <v>348</v>
      </c>
      <c r="N574" s="7" t="s">
        <v>417</v>
      </c>
      <c r="O574" s="7" t="s">
        <v>103</v>
      </c>
      <c r="P574" s="7" t="s">
        <v>102</v>
      </c>
      <c r="Q574" s="9" t="s">
        <v>230</v>
      </c>
      <c r="R574" s="7">
        <v>60</v>
      </c>
      <c r="S574" s="8">
        <v>1.4</v>
      </c>
      <c r="T574" s="8"/>
      <c r="U574" s="7">
        <v>-9</v>
      </c>
      <c r="V574" s="8"/>
      <c r="W574" s="8"/>
    </row>
    <row r="575" spans="1:23" s="7" customFormat="1" x14ac:dyDescent="0.35">
      <c r="A575" s="7" t="s">
        <v>708</v>
      </c>
      <c r="B575" s="7" t="s">
        <v>522</v>
      </c>
      <c r="C575" s="7" t="s">
        <v>407</v>
      </c>
      <c r="D575" s="7">
        <v>2018</v>
      </c>
      <c r="E575" s="7">
        <v>123</v>
      </c>
      <c r="F575" s="7" t="s">
        <v>600</v>
      </c>
      <c r="G575" s="7" t="s">
        <v>317</v>
      </c>
      <c r="M575" s="7" t="s">
        <v>348</v>
      </c>
      <c r="N575" s="7" t="s">
        <v>417</v>
      </c>
      <c r="O575" s="7" t="s">
        <v>103</v>
      </c>
      <c r="P575" s="7" t="s">
        <v>102</v>
      </c>
      <c r="Q575" s="9" t="s">
        <v>230</v>
      </c>
      <c r="R575" s="7">
        <v>100</v>
      </c>
      <c r="S575" s="8">
        <v>1.72</v>
      </c>
      <c r="T575" s="8"/>
      <c r="U575" s="7">
        <v>-15</v>
      </c>
      <c r="V575" s="8"/>
      <c r="W575" s="8"/>
    </row>
    <row r="576" spans="1:23" s="7" customFormat="1" x14ac:dyDescent="0.35">
      <c r="A576" s="7" t="s">
        <v>709</v>
      </c>
      <c r="B576" s="7" t="s">
        <v>522</v>
      </c>
      <c r="C576" s="7" t="s">
        <v>415</v>
      </c>
      <c r="D576" s="7">
        <v>2001</v>
      </c>
      <c r="E576" s="7">
        <v>124</v>
      </c>
      <c r="F576" s="7" t="s">
        <v>600</v>
      </c>
      <c r="G576" s="7" t="s">
        <v>317</v>
      </c>
      <c r="H576" s="7" t="s">
        <v>593</v>
      </c>
      <c r="K576" s="7" t="s">
        <v>394</v>
      </c>
      <c r="M576" s="7" t="s">
        <v>348</v>
      </c>
      <c r="N576" s="7" t="s">
        <v>538</v>
      </c>
      <c r="O576" s="7" t="s">
        <v>373</v>
      </c>
      <c r="P576" s="7" t="s">
        <v>374</v>
      </c>
      <c r="Q576" s="9" t="s">
        <v>230</v>
      </c>
      <c r="R576" s="7">
        <v>0</v>
      </c>
      <c r="S576" s="8">
        <v>1.48</v>
      </c>
      <c r="T576" s="8">
        <v>0</v>
      </c>
      <c r="V576" s="8"/>
      <c r="W576" s="8"/>
    </row>
    <row r="577" spans="1:23" s="7" customFormat="1" x14ac:dyDescent="0.35">
      <c r="A577" s="7" t="s">
        <v>709</v>
      </c>
      <c r="B577" s="7" t="s">
        <v>522</v>
      </c>
      <c r="C577" s="7" t="s">
        <v>415</v>
      </c>
      <c r="D577" s="7">
        <v>2001</v>
      </c>
      <c r="E577" s="7">
        <v>124</v>
      </c>
      <c r="F577" s="7" t="s">
        <v>600</v>
      </c>
      <c r="G577" s="7" t="s">
        <v>317</v>
      </c>
      <c r="H577" s="7" t="s">
        <v>593</v>
      </c>
      <c r="K577" s="7" t="s">
        <v>394</v>
      </c>
      <c r="M577" s="7" t="s">
        <v>348</v>
      </c>
      <c r="N577" s="7" t="s">
        <v>538</v>
      </c>
      <c r="O577" s="7" t="s">
        <v>373</v>
      </c>
      <c r="P577" s="7" t="s">
        <v>374</v>
      </c>
      <c r="Q577" s="9" t="s">
        <v>230</v>
      </c>
      <c r="R577" s="7">
        <v>10</v>
      </c>
      <c r="S577" s="8">
        <v>1.35</v>
      </c>
      <c r="T577" s="8">
        <v>6</v>
      </c>
      <c r="V577" s="8"/>
      <c r="W577" s="8"/>
    </row>
    <row r="578" spans="1:23" s="7" customFormat="1" x14ac:dyDescent="0.35">
      <c r="A578" s="7" t="s">
        <v>709</v>
      </c>
      <c r="B578" s="7" t="s">
        <v>522</v>
      </c>
      <c r="C578" s="7" t="s">
        <v>415</v>
      </c>
      <c r="D578" s="7">
        <v>2001</v>
      </c>
      <c r="E578" s="7">
        <v>124</v>
      </c>
      <c r="F578" s="7" t="s">
        <v>600</v>
      </c>
      <c r="G578" s="7" t="s">
        <v>317</v>
      </c>
      <c r="H578" s="7" t="s">
        <v>593</v>
      </c>
      <c r="K578" s="7" t="s">
        <v>394</v>
      </c>
      <c r="M578" s="7" t="s">
        <v>348</v>
      </c>
      <c r="N578" s="7" t="s">
        <v>538</v>
      </c>
      <c r="O578" s="7" t="s">
        <v>373</v>
      </c>
      <c r="P578" s="7" t="s">
        <v>374</v>
      </c>
      <c r="Q578" s="9" t="s">
        <v>230</v>
      </c>
      <c r="R578" s="7">
        <v>20</v>
      </c>
      <c r="S578" s="8">
        <v>1.38</v>
      </c>
      <c r="T578" s="8">
        <v>11</v>
      </c>
      <c r="V578" s="8"/>
      <c r="W578" s="8"/>
    </row>
    <row r="579" spans="1:23" s="7" customFormat="1" x14ac:dyDescent="0.35">
      <c r="A579" s="7" t="s">
        <v>709</v>
      </c>
      <c r="B579" s="7" t="s">
        <v>522</v>
      </c>
      <c r="C579" s="7" t="s">
        <v>415</v>
      </c>
      <c r="D579" s="7">
        <v>2001</v>
      </c>
      <c r="E579" s="7">
        <v>124</v>
      </c>
      <c r="F579" s="7" t="s">
        <v>600</v>
      </c>
      <c r="G579" s="7" t="s">
        <v>317</v>
      </c>
      <c r="H579" s="7" t="s">
        <v>593</v>
      </c>
      <c r="K579" s="7" t="s">
        <v>394</v>
      </c>
      <c r="M579" s="7" t="s">
        <v>348</v>
      </c>
      <c r="N579" s="7" t="s">
        <v>538</v>
      </c>
      <c r="O579" s="7" t="s">
        <v>373</v>
      </c>
      <c r="P579" s="7" t="s">
        <v>374</v>
      </c>
      <c r="Q579" s="9" t="s">
        <v>230</v>
      </c>
      <c r="R579" s="7">
        <v>30</v>
      </c>
      <c r="S579" s="8">
        <v>1.28</v>
      </c>
      <c r="T579" s="8">
        <v>16</v>
      </c>
      <c r="V579" s="8"/>
      <c r="W579" s="8"/>
    </row>
    <row r="580" spans="1:23" s="7" customFormat="1" x14ac:dyDescent="0.35">
      <c r="A580" s="7" t="s">
        <v>709</v>
      </c>
      <c r="B580" s="7" t="s">
        <v>522</v>
      </c>
      <c r="C580" s="7" t="s">
        <v>415</v>
      </c>
      <c r="D580" s="7">
        <v>2001</v>
      </c>
      <c r="E580" s="7">
        <v>124</v>
      </c>
      <c r="F580" s="7" t="s">
        <v>600</v>
      </c>
      <c r="G580" s="7" t="s">
        <v>317</v>
      </c>
      <c r="H580" s="7" t="s">
        <v>593</v>
      </c>
      <c r="K580" s="7" t="s">
        <v>394</v>
      </c>
      <c r="M580" s="7" t="s">
        <v>348</v>
      </c>
      <c r="N580" s="7" t="s">
        <v>538</v>
      </c>
      <c r="O580" s="7" t="s">
        <v>373</v>
      </c>
      <c r="P580" s="7" t="s">
        <v>374</v>
      </c>
      <c r="Q580" s="9" t="s">
        <v>230</v>
      </c>
      <c r="R580" s="7">
        <v>50</v>
      </c>
      <c r="S580" s="8">
        <v>1.42</v>
      </c>
      <c r="T580" s="8">
        <v>26</v>
      </c>
      <c r="V580" s="8"/>
      <c r="W580" s="8"/>
    </row>
    <row r="581" spans="1:23" s="7" customFormat="1" x14ac:dyDescent="0.35">
      <c r="A581" s="7" t="s">
        <v>709</v>
      </c>
      <c r="B581" s="7" t="s">
        <v>522</v>
      </c>
      <c r="C581" s="7" t="s">
        <v>415</v>
      </c>
      <c r="D581" s="7">
        <v>2001</v>
      </c>
      <c r="E581" s="7">
        <v>124</v>
      </c>
      <c r="F581" s="7" t="s">
        <v>600</v>
      </c>
      <c r="G581" s="7" t="s">
        <v>317</v>
      </c>
      <c r="H581" s="7" t="s">
        <v>593</v>
      </c>
      <c r="K581" s="7" t="s">
        <v>394</v>
      </c>
      <c r="M581" s="7" t="s">
        <v>348</v>
      </c>
      <c r="N581" s="7" t="s">
        <v>538</v>
      </c>
      <c r="O581" s="7" t="s">
        <v>373</v>
      </c>
      <c r="P581" s="7" t="s">
        <v>374</v>
      </c>
      <c r="Q581" s="9" t="s">
        <v>230</v>
      </c>
      <c r="R581" s="7">
        <v>50</v>
      </c>
      <c r="S581" s="8">
        <v>1.43</v>
      </c>
      <c r="T581" s="8">
        <v>26</v>
      </c>
      <c r="V581" s="8"/>
      <c r="W581" s="8"/>
    </row>
    <row r="582" spans="1:23" s="7" customFormat="1" x14ac:dyDescent="0.35">
      <c r="A582" s="7" t="s">
        <v>710</v>
      </c>
      <c r="B582" s="7" t="s">
        <v>468</v>
      </c>
      <c r="C582" s="7" t="s">
        <v>456</v>
      </c>
      <c r="D582" s="7">
        <v>2002</v>
      </c>
      <c r="E582" s="7">
        <v>125</v>
      </c>
      <c r="F582" s="7" t="s">
        <v>416</v>
      </c>
      <c r="G582" s="7" t="s">
        <v>317</v>
      </c>
      <c r="H582" s="7" t="s">
        <v>688</v>
      </c>
      <c r="I582" s="7" t="s">
        <v>711</v>
      </c>
      <c r="K582" s="7" t="s">
        <v>378</v>
      </c>
      <c r="M582" s="7" t="s">
        <v>348</v>
      </c>
      <c r="N582" s="7" t="s">
        <v>417</v>
      </c>
      <c r="O582" s="7" t="s">
        <v>654</v>
      </c>
      <c r="P582" s="7" t="s">
        <v>653</v>
      </c>
      <c r="Q582" s="9" t="s">
        <v>237</v>
      </c>
      <c r="R582" s="7">
        <v>0</v>
      </c>
      <c r="S582" s="8">
        <v>1.81</v>
      </c>
      <c r="T582" s="8">
        <v>0</v>
      </c>
      <c r="U582" s="8">
        <v>0</v>
      </c>
      <c r="V582" s="8"/>
      <c r="W582" s="8"/>
    </row>
    <row r="583" spans="1:23" s="7" customFormat="1" x14ac:dyDescent="0.35">
      <c r="A583" s="7" t="s">
        <v>710</v>
      </c>
      <c r="B583" s="7" t="s">
        <v>468</v>
      </c>
      <c r="C583" s="7" t="s">
        <v>456</v>
      </c>
      <c r="D583" s="7">
        <v>2002</v>
      </c>
      <c r="E583" s="7">
        <v>125</v>
      </c>
      <c r="F583" s="7" t="s">
        <v>416</v>
      </c>
      <c r="G583" s="7" t="s">
        <v>317</v>
      </c>
      <c r="H583" s="7" t="s">
        <v>688</v>
      </c>
      <c r="I583" s="7" t="s">
        <v>711</v>
      </c>
      <c r="K583" s="7" t="s">
        <v>378</v>
      </c>
      <c r="M583" s="7" t="s">
        <v>348</v>
      </c>
      <c r="N583" s="7" t="s">
        <v>417</v>
      </c>
      <c r="O583" s="7" t="s">
        <v>654</v>
      </c>
      <c r="P583" s="7" t="s">
        <v>653</v>
      </c>
      <c r="Q583" s="9" t="s">
        <v>237</v>
      </c>
      <c r="R583" s="7">
        <v>40</v>
      </c>
      <c r="S583" s="8">
        <v>1.39</v>
      </c>
      <c r="T583" s="8">
        <v>2940</v>
      </c>
      <c r="U583" s="8">
        <v>33</v>
      </c>
      <c r="V583" s="8"/>
      <c r="W583" s="8"/>
    </row>
    <row r="584" spans="1:23" s="7" customFormat="1" x14ac:dyDescent="0.35">
      <c r="A584" s="7" t="s">
        <v>710</v>
      </c>
      <c r="B584" s="7" t="s">
        <v>468</v>
      </c>
      <c r="C584" s="7" t="s">
        <v>456</v>
      </c>
      <c r="D584" s="7">
        <v>2002</v>
      </c>
      <c r="E584" s="7">
        <v>125</v>
      </c>
      <c r="F584" s="7" t="s">
        <v>416</v>
      </c>
      <c r="G584" s="7" t="s">
        <v>317</v>
      </c>
      <c r="H584" s="7" t="s">
        <v>688</v>
      </c>
      <c r="I584" s="7" t="s">
        <v>711</v>
      </c>
      <c r="K584" s="7" t="s">
        <v>378</v>
      </c>
      <c r="M584" s="7" t="s">
        <v>348</v>
      </c>
      <c r="N584" s="7" t="s">
        <v>417</v>
      </c>
      <c r="O584" s="7" t="s">
        <v>654</v>
      </c>
      <c r="P584" s="7" t="s">
        <v>653</v>
      </c>
      <c r="Q584" s="9" t="s">
        <v>237</v>
      </c>
      <c r="R584" s="7">
        <v>65</v>
      </c>
      <c r="S584" s="8">
        <v>1.34</v>
      </c>
      <c r="T584" s="8">
        <v>2750</v>
      </c>
      <c r="U584" s="8">
        <v>34</v>
      </c>
      <c r="V584" s="8"/>
      <c r="W584" s="8"/>
    </row>
    <row r="585" spans="1:23" s="7" customFormat="1" x14ac:dyDescent="0.35">
      <c r="A585" s="7" t="s">
        <v>710</v>
      </c>
      <c r="B585" s="7" t="s">
        <v>468</v>
      </c>
      <c r="C585" s="7" t="s">
        <v>456</v>
      </c>
      <c r="D585" s="7">
        <v>2002</v>
      </c>
      <c r="E585" s="7">
        <v>125</v>
      </c>
      <c r="F585" s="7" t="s">
        <v>416</v>
      </c>
      <c r="G585" s="7" t="s">
        <v>317</v>
      </c>
      <c r="H585" s="7" t="s">
        <v>688</v>
      </c>
      <c r="I585" s="7" t="s">
        <v>711</v>
      </c>
      <c r="K585" s="7" t="s">
        <v>378</v>
      </c>
      <c r="M585" s="7" t="s">
        <v>348</v>
      </c>
      <c r="N585" s="7" t="s">
        <v>417</v>
      </c>
      <c r="O585" s="7" t="s">
        <v>654</v>
      </c>
      <c r="P585" s="7" t="s">
        <v>653</v>
      </c>
      <c r="Q585" s="9" t="s">
        <v>237</v>
      </c>
      <c r="R585" s="7">
        <v>65</v>
      </c>
      <c r="S585" s="8">
        <v>1.29</v>
      </c>
      <c r="T585" s="8">
        <v>2750</v>
      </c>
      <c r="U585" s="8">
        <v>35</v>
      </c>
      <c r="V585" s="8"/>
      <c r="W585" s="8"/>
    </row>
    <row r="586" spans="1:23" s="7" customFormat="1" x14ac:dyDescent="0.35">
      <c r="A586" s="7" t="s">
        <v>710</v>
      </c>
      <c r="B586" s="7" t="s">
        <v>468</v>
      </c>
      <c r="C586" s="7" t="s">
        <v>456</v>
      </c>
      <c r="D586" s="7">
        <v>2002</v>
      </c>
      <c r="E586" s="7">
        <v>125</v>
      </c>
      <c r="F586" s="7" t="s">
        <v>416</v>
      </c>
      <c r="G586" s="7" t="s">
        <v>317</v>
      </c>
      <c r="H586" s="7" t="s">
        <v>688</v>
      </c>
      <c r="I586" s="7" t="s">
        <v>711</v>
      </c>
      <c r="K586" s="7" t="s">
        <v>378</v>
      </c>
      <c r="M586" s="7" t="s">
        <v>348</v>
      </c>
      <c r="N586" s="7" t="s">
        <v>417</v>
      </c>
      <c r="O586" s="7" t="s">
        <v>654</v>
      </c>
      <c r="P586" s="7" t="s">
        <v>653</v>
      </c>
      <c r="Q586" s="9" t="s">
        <v>237</v>
      </c>
      <c r="R586" s="7">
        <v>65</v>
      </c>
      <c r="S586" s="8">
        <v>1.2</v>
      </c>
      <c r="T586" s="8">
        <v>2540</v>
      </c>
      <c r="U586" s="8">
        <v>36</v>
      </c>
      <c r="V586" s="8"/>
      <c r="W586" s="8"/>
    </row>
    <row r="587" spans="1:23" s="7" customFormat="1" x14ac:dyDescent="0.35">
      <c r="A587" s="7" t="s">
        <v>710</v>
      </c>
      <c r="B587" s="7" t="s">
        <v>468</v>
      </c>
      <c r="C587" s="7" t="s">
        <v>456</v>
      </c>
      <c r="D587" s="7">
        <v>2002</v>
      </c>
      <c r="E587" s="7">
        <v>125</v>
      </c>
      <c r="F587" s="7" t="s">
        <v>416</v>
      </c>
      <c r="G587" s="7" t="s">
        <v>317</v>
      </c>
      <c r="H587" s="7" t="s">
        <v>688</v>
      </c>
      <c r="I587" s="7" t="s">
        <v>711</v>
      </c>
      <c r="K587" s="7" t="s">
        <v>394</v>
      </c>
      <c r="M587" s="7" t="s">
        <v>348</v>
      </c>
      <c r="N587" s="7" t="s">
        <v>417</v>
      </c>
      <c r="O587" s="7" t="s">
        <v>654</v>
      </c>
      <c r="P587" s="7" t="s">
        <v>653</v>
      </c>
      <c r="Q587" s="9" t="s">
        <v>237</v>
      </c>
      <c r="R587" s="7">
        <v>65</v>
      </c>
      <c r="S587" s="8">
        <v>1.1499999999999999</v>
      </c>
      <c r="T587" s="8">
        <v>2350</v>
      </c>
      <c r="U587" s="8">
        <v>38</v>
      </c>
      <c r="V587" s="8"/>
      <c r="W587" s="8"/>
    </row>
    <row r="588" spans="1:23" s="7" customFormat="1" x14ac:dyDescent="0.35">
      <c r="A588" s="7" t="s">
        <v>712</v>
      </c>
      <c r="B588" s="7" t="s">
        <v>522</v>
      </c>
      <c r="C588" s="7" t="s">
        <v>548</v>
      </c>
      <c r="D588" s="7">
        <v>2012</v>
      </c>
      <c r="E588" s="7">
        <v>126</v>
      </c>
      <c r="F588" s="7" t="s">
        <v>600</v>
      </c>
      <c r="G588" s="7" t="s">
        <v>317</v>
      </c>
      <c r="H588" s="7" t="s">
        <v>713</v>
      </c>
      <c r="K588" s="7" t="s">
        <v>394</v>
      </c>
      <c r="M588" s="7" t="s">
        <v>348</v>
      </c>
      <c r="N588" s="7" t="s">
        <v>106</v>
      </c>
      <c r="O588" s="7" t="s">
        <v>657</v>
      </c>
      <c r="P588" s="7" t="s">
        <v>685</v>
      </c>
      <c r="Q588" s="9" t="s">
        <v>230</v>
      </c>
      <c r="R588" s="7">
        <v>0</v>
      </c>
      <c r="S588" s="8">
        <v>1.5</v>
      </c>
      <c r="T588" s="8">
        <v>0</v>
      </c>
      <c r="U588" s="8">
        <v>0</v>
      </c>
      <c r="V588" s="8"/>
      <c r="W588" s="8"/>
    </row>
    <row r="589" spans="1:23" s="7" customFormat="1" x14ac:dyDescent="0.35">
      <c r="A589" s="7" t="s">
        <v>712</v>
      </c>
      <c r="B589" s="7" t="s">
        <v>522</v>
      </c>
      <c r="C589" s="7" t="s">
        <v>548</v>
      </c>
      <c r="D589" s="7">
        <v>2012</v>
      </c>
      <c r="E589" s="7">
        <v>126</v>
      </c>
      <c r="F589" s="7" t="s">
        <v>600</v>
      </c>
      <c r="G589" s="7" t="s">
        <v>317</v>
      </c>
      <c r="H589" s="7" t="s">
        <v>713</v>
      </c>
      <c r="K589" s="7" t="s">
        <v>394</v>
      </c>
      <c r="M589" s="7" t="s">
        <v>348</v>
      </c>
      <c r="N589" s="7" t="s">
        <v>106</v>
      </c>
      <c r="O589" s="7" t="s">
        <v>657</v>
      </c>
      <c r="P589" s="7" t="s">
        <v>685</v>
      </c>
      <c r="Q589" s="9" t="s">
        <v>230</v>
      </c>
      <c r="R589" s="7">
        <v>7.5</v>
      </c>
      <c r="S589" s="8">
        <v>1.4</v>
      </c>
      <c r="T589" s="8">
        <v>500</v>
      </c>
      <c r="U589" s="8">
        <v>-4</v>
      </c>
      <c r="V589" s="8"/>
      <c r="W589" s="8"/>
    </row>
    <row r="590" spans="1:23" s="7" customFormat="1" x14ac:dyDescent="0.35">
      <c r="A590" s="7" t="s">
        <v>712</v>
      </c>
      <c r="B590" s="7" t="s">
        <v>522</v>
      </c>
      <c r="C590" s="7" t="s">
        <v>548</v>
      </c>
      <c r="D590" s="7">
        <v>2012</v>
      </c>
      <c r="E590" s="7">
        <v>126</v>
      </c>
      <c r="F590" s="7" t="s">
        <v>600</v>
      </c>
      <c r="G590" s="7" t="s">
        <v>317</v>
      </c>
      <c r="H590" s="7" t="s">
        <v>713</v>
      </c>
      <c r="K590" s="7" t="s">
        <v>394</v>
      </c>
      <c r="M590" s="7" t="s">
        <v>348</v>
      </c>
      <c r="N590" s="7" t="s">
        <v>106</v>
      </c>
      <c r="O590" s="7" t="s">
        <v>657</v>
      </c>
      <c r="P590" s="7" t="s">
        <v>685</v>
      </c>
      <c r="Q590" s="9" t="s">
        <v>230</v>
      </c>
      <c r="R590" s="7">
        <v>15</v>
      </c>
      <c r="S590" s="8">
        <v>1.3</v>
      </c>
      <c r="T590" s="8">
        <v>5100</v>
      </c>
      <c r="U590" s="8">
        <v>-5</v>
      </c>
      <c r="V590" s="8"/>
      <c r="W590" s="8"/>
    </row>
    <row r="591" spans="1:23" s="7" customFormat="1" x14ac:dyDescent="0.35">
      <c r="A591" s="7" t="s">
        <v>712</v>
      </c>
      <c r="B591" s="7" t="s">
        <v>522</v>
      </c>
      <c r="C591" s="7" t="s">
        <v>548</v>
      </c>
      <c r="D591" s="7">
        <v>2012</v>
      </c>
      <c r="E591" s="7">
        <v>126</v>
      </c>
      <c r="F591" s="7" t="s">
        <v>600</v>
      </c>
      <c r="G591" s="7" t="s">
        <v>317</v>
      </c>
      <c r="H591" s="7" t="s">
        <v>713</v>
      </c>
      <c r="K591" s="7" t="s">
        <v>394</v>
      </c>
      <c r="M591" s="7" t="s">
        <v>348</v>
      </c>
      <c r="N591" s="7" t="s">
        <v>106</v>
      </c>
      <c r="O591" s="7" t="s">
        <v>657</v>
      </c>
      <c r="P591" s="7" t="s">
        <v>685</v>
      </c>
      <c r="Q591" s="9" t="s">
        <v>230</v>
      </c>
      <c r="R591" s="7">
        <v>20</v>
      </c>
      <c r="S591" s="8">
        <v>1.23</v>
      </c>
      <c r="T591" s="8">
        <v>9200</v>
      </c>
      <c r="U591" s="8">
        <v>-21</v>
      </c>
      <c r="V591" s="8"/>
      <c r="W591" s="8"/>
    </row>
    <row r="592" spans="1:23" s="7" customFormat="1" x14ac:dyDescent="0.35">
      <c r="A592" s="7" t="s">
        <v>712</v>
      </c>
      <c r="B592" s="7" t="s">
        <v>522</v>
      </c>
      <c r="C592" s="7" t="s">
        <v>548</v>
      </c>
      <c r="D592" s="7">
        <v>2012</v>
      </c>
      <c r="E592" s="7">
        <v>126</v>
      </c>
      <c r="F592" s="7" t="s">
        <v>600</v>
      </c>
      <c r="G592" s="7" t="s">
        <v>317</v>
      </c>
      <c r="H592" s="7" t="s">
        <v>713</v>
      </c>
      <c r="K592" s="7" t="s">
        <v>394</v>
      </c>
      <c r="M592" s="7" t="s">
        <v>348</v>
      </c>
      <c r="N592" s="7" t="s">
        <v>106</v>
      </c>
      <c r="O592" s="7" t="s">
        <v>657</v>
      </c>
      <c r="P592" s="7" t="s">
        <v>685</v>
      </c>
      <c r="Q592" s="9" t="s">
        <v>230</v>
      </c>
      <c r="R592" s="7">
        <v>50</v>
      </c>
      <c r="S592" s="8">
        <v>1.43</v>
      </c>
      <c r="T592" s="8">
        <v>28300</v>
      </c>
      <c r="U592" s="8">
        <v>-49</v>
      </c>
      <c r="V592" s="8"/>
      <c r="W592" s="8"/>
    </row>
    <row r="593" spans="1:23" s="7" customFormat="1" x14ac:dyDescent="0.35">
      <c r="A593" s="7" t="s">
        <v>714</v>
      </c>
      <c r="B593" s="7" t="s">
        <v>715</v>
      </c>
      <c r="C593" s="7" t="s">
        <v>415</v>
      </c>
      <c r="D593" s="7">
        <v>2012</v>
      </c>
      <c r="E593" s="7">
        <v>127</v>
      </c>
      <c r="F593" s="7" t="s">
        <v>600</v>
      </c>
      <c r="G593" s="7" t="s">
        <v>317</v>
      </c>
      <c r="H593" s="7" t="s">
        <v>593</v>
      </c>
      <c r="K593" s="7" t="s">
        <v>378</v>
      </c>
      <c r="L593" s="7" t="s">
        <v>574</v>
      </c>
      <c r="M593" s="7" t="s">
        <v>348</v>
      </c>
      <c r="N593" s="7" t="s">
        <v>417</v>
      </c>
      <c r="O593" s="7" t="s">
        <v>103</v>
      </c>
      <c r="P593" s="7" t="s">
        <v>716</v>
      </c>
      <c r="Q593" s="9" t="s">
        <v>230</v>
      </c>
      <c r="R593" s="7">
        <v>0</v>
      </c>
      <c r="S593" s="8">
        <v>1.5</v>
      </c>
      <c r="T593" s="8"/>
      <c r="U593" s="8">
        <v>0</v>
      </c>
      <c r="V593" s="8"/>
      <c r="W593" s="8"/>
    </row>
    <row r="594" spans="1:23" s="7" customFormat="1" x14ac:dyDescent="0.35">
      <c r="A594" s="7" t="s">
        <v>714</v>
      </c>
      <c r="B594" s="7" t="s">
        <v>715</v>
      </c>
      <c r="C594" s="7" t="s">
        <v>415</v>
      </c>
      <c r="D594" s="7">
        <v>2012</v>
      </c>
      <c r="E594" s="7">
        <v>127</v>
      </c>
      <c r="F594" s="7" t="s">
        <v>600</v>
      </c>
      <c r="G594" s="7" t="s">
        <v>317</v>
      </c>
      <c r="H594" s="7" t="s">
        <v>593</v>
      </c>
      <c r="K594" s="7" t="s">
        <v>378</v>
      </c>
      <c r="L594" s="7" t="s">
        <v>574</v>
      </c>
      <c r="M594" s="7" t="s">
        <v>348</v>
      </c>
      <c r="N594" s="7" t="s">
        <v>417</v>
      </c>
      <c r="O594" s="7" t="s">
        <v>103</v>
      </c>
      <c r="P594" s="7" t="s">
        <v>716</v>
      </c>
      <c r="Q594" s="9" t="s">
        <v>230</v>
      </c>
      <c r="R594" s="7">
        <v>28</v>
      </c>
      <c r="S594" s="8">
        <v>1.5</v>
      </c>
      <c r="T594" s="8"/>
      <c r="U594" s="8">
        <v>-12</v>
      </c>
      <c r="V594" s="8"/>
      <c r="W594" s="8"/>
    </row>
    <row r="595" spans="1:23" s="7" customFormat="1" x14ac:dyDescent="0.35">
      <c r="A595" s="7" t="s">
        <v>714</v>
      </c>
      <c r="B595" s="7" t="s">
        <v>715</v>
      </c>
      <c r="C595" s="7" t="s">
        <v>415</v>
      </c>
      <c r="D595" s="7">
        <v>2012</v>
      </c>
      <c r="E595" s="7">
        <v>127</v>
      </c>
      <c r="F595" s="7" t="s">
        <v>600</v>
      </c>
      <c r="G595" s="7" t="s">
        <v>317</v>
      </c>
      <c r="H595" s="7" t="s">
        <v>593</v>
      </c>
      <c r="K595" s="7" t="s">
        <v>378</v>
      </c>
      <c r="L595" s="7" t="s">
        <v>574</v>
      </c>
      <c r="M595" s="7" t="s">
        <v>348</v>
      </c>
      <c r="N595" s="7" t="s">
        <v>417</v>
      </c>
      <c r="O595" s="7" t="s">
        <v>103</v>
      </c>
      <c r="P595" s="7" t="s">
        <v>716</v>
      </c>
      <c r="Q595" s="9" t="s">
        <v>230</v>
      </c>
      <c r="R595" s="7">
        <v>36</v>
      </c>
      <c r="S595" s="8">
        <v>1.5</v>
      </c>
      <c r="T595" s="8"/>
      <c r="U595" s="8">
        <v>-17</v>
      </c>
      <c r="V595" s="8"/>
      <c r="W595" s="8"/>
    </row>
    <row r="596" spans="1:23" s="7" customFormat="1" x14ac:dyDescent="0.35">
      <c r="A596" s="7" t="s">
        <v>714</v>
      </c>
      <c r="B596" s="7" t="s">
        <v>715</v>
      </c>
      <c r="C596" s="7" t="s">
        <v>415</v>
      </c>
      <c r="D596" s="7">
        <v>2012</v>
      </c>
      <c r="E596" s="7">
        <v>127</v>
      </c>
      <c r="F596" s="7" t="s">
        <v>600</v>
      </c>
      <c r="G596" s="7" t="s">
        <v>317</v>
      </c>
      <c r="H596" s="7" t="s">
        <v>593</v>
      </c>
      <c r="K596" s="7" t="s">
        <v>378</v>
      </c>
      <c r="L596" s="7" t="s">
        <v>574</v>
      </c>
      <c r="M596" s="7" t="s">
        <v>348</v>
      </c>
      <c r="N596" s="7" t="s">
        <v>417</v>
      </c>
      <c r="O596" s="7" t="s">
        <v>103</v>
      </c>
      <c r="P596" s="7" t="s">
        <v>716</v>
      </c>
      <c r="Q596" s="9" t="s">
        <v>230</v>
      </c>
      <c r="R596" s="7">
        <v>48</v>
      </c>
      <c r="S596" s="8">
        <v>1.7</v>
      </c>
      <c r="T596" s="8"/>
      <c r="U596" s="8">
        <v>-17</v>
      </c>
      <c r="V596" s="8"/>
      <c r="W596" s="8"/>
    </row>
    <row r="597" spans="1:23" s="7" customFormat="1" x14ac:dyDescent="0.35">
      <c r="A597" s="7" t="s">
        <v>714</v>
      </c>
      <c r="B597" s="7" t="s">
        <v>715</v>
      </c>
      <c r="C597" s="7" t="s">
        <v>415</v>
      </c>
      <c r="D597" s="7">
        <v>2012</v>
      </c>
      <c r="E597" s="7">
        <v>127</v>
      </c>
      <c r="F597" s="7" t="s">
        <v>600</v>
      </c>
      <c r="G597" s="7" t="s">
        <v>317</v>
      </c>
      <c r="H597" s="7" t="s">
        <v>593</v>
      </c>
      <c r="K597" s="7" t="s">
        <v>378</v>
      </c>
      <c r="L597" s="7" t="s">
        <v>574</v>
      </c>
      <c r="M597" s="7" t="s">
        <v>348</v>
      </c>
      <c r="N597" s="7" t="s">
        <v>417</v>
      </c>
      <c r="O597" s="7" t="s">
        <v>103</v>
      </c>
      <c r="P597" s="7" t="s">
        <v>716</v>
      </c>
      <c r="Q597" s="9" t="s">
        <v>230</v>
      </c>
      <c r="R597" s="7">
        <v>68</v>
      </c>
      <c r="S597" s="8">
        <v>1.8</v>
      </c>
      <c r="T597" s="8"/>
      <c r="U597" s="8">
        <v>-25</v>
      </c>
      <c r="V597" s="8"/>
      <c r="W597" s="8"/>
    </row>
    <row r="598" spans="1:23" s="7" customFormat="1" x14ac:dyDescent="0.35">
      <c r="A598" s="7" t="s">
        <v>714</v>
      </c>
      <c r="B598" s="7" t="s">
        <v>715</v>
      </c>
      <c r="C598" s="7" t="s">
        <v>415</v>
      </c>
      <c r="D598" s="7">
        <v>2012</v>
      </c>
      <c r="E598" s="7">
        <v>127</v>
      </c>
      <c r="F598" s="7" t="s">
        <v>600</v>
      </c>
      <c r="G598" s="7" t="s">
        <v>317</v>
      </c>
      <c r="H598" s="7" t="s">
        <v>593</v>
      </c>
      <c r="K598" s="7" t="s">
        <v>378</v>
      </c>
      <c r="L598" s="7" t="s">
        <v>574</v>
      </c>
      <c r="M598" s="7" t="s">
        <v>348</v>
      </c>
      <c r="N598" s="7" t="s">
        <v>417</v>
      </c>
      <c r="O598" s="7" t="s">
        <v>103</v>
      </c>
      <c r="P598" s="7" t="s">
        <v>716</v>
      </c>
      <c r="Q598" s="9" t="s">
        <v>230</v>
      </c>
      <c r="R598" s="7">
        <v>100</v>
      </c>
      <c r="S598" s="8">
        <v>2.1</v>
      </c>
      <c r="T598" s="8"/>
      <c r="U598" s="8">
        <v>-30</v>
      </c>
      <c r="V598" s="8"/>
      <c r="W598" s="8"/>
    </row>
    <row r="599" spans="1:23" s="7" customFormat="1" x14ac:dyDescent="0.35">
      <c r="A599" s="7" t="s">
        <v>718</v>
      </c>
      <c r="B599" s="7" t="s">
        <v>468</v>
      </c>
      <c r="C599" s="7" t="s">
        <v>385</v>
      </c>
      <c r="D599" s="7">
        <v>2012</v>
      </c>
      <c r="E599" s="7">
        <v>128</v>
      </c>
      <c r="F599" s="7" t="s">
        <v>600</v>
      </c>
      <c r="G599" s="7" t="s">
        <v>317</v>
      </c>
      <c r="H599" s="7" t="s">
        <v>698</v>
      </c>
      <c r="K599" s="7" t="s">
        <v>394</v>
      </c>
      <c r="M599" s="7" t="s">
        <v>348</v>
      </c>
      <c r="N599" s="7" t="s">
        <v>31</v>
      </c>
      <c r="O599" s="7" t="s">
        <v>717</v>
      </c>
      <c r="P599" s="7" t="s">
        <v>133</v>
      </c>
      <c r="Q599" s="9" t="s">
        <v>230</v>
      </c>
      <c r="R599" s="7">
        <v>0</v>
      </c>
      <c r="S599" s="8">
        <v>1.3</v>
      </c>
      <c r="T599" s="8">
        <v>0</v>
      </c>
      <c r="U599" s="8">
        <v>0</v>
      </c>
      <c r="V599" s="8"/>
      <c r="W599" s="8"/>
    </row>
    <row r="600" spans="1:23" s="7" customFormat="1" x14ac:dyDescent="0.35">
      <c r="A600" s="7" t="s">
        <v>718</v>
      </c>
      <c r="B600" s="7" t="s">
        <v>468</v>
      </c>
      <c r="C600" s="7" t="s">
        <v>385</v>
      </c>
      <c r="D600" s="7">
        <v>2012</v>
      </c>
      <c r="E600" s="7">
        <v>128</v>
      </c>
      <c r="F600" s="7" t="s">
        <v>600</v>
      </c>
      <c r="G600" s="7" t="s">
        <v>317</v>
      </c>
      <c r="H600" s="7" t="s">
        <v>698</v>
      </c>
      <c r="K600" s="7" t="s">
        <v>394</v>
      </c>
      <c r="M600" s="7" t="s">
        <v>348</v>
      </c>
      <c r="N600" s="7" t="s">
        <v>31</v>
      </c>
      <c r="O600" s="7" t="s">
        <v>717</v>
      </c>
      <c r="P600" s="7" t="s">
        <v>133</v>
      </c>
      <c r="Q600" s="9" t="s">
        <v>230</v>
      </c>
      <c r="R600" s="7">
        <v>20</v>
      </c>
      <c r="S600" s="8">
        <v>1.37</v>
      </c>
      <c r="T600" s="8">
        <v>0</v>
      </c>
      <c r="U600" s="8">
        <v>0</v>
      </c>
      <c r="V600" s="8"/>
      <c r="W600" s="8"/>
    </row>
    <row r="601" spans="1:23" s="7" customFormat="1" x14ac:dyDescent="0.35">
      <c r="A601" s="7" t="s">
        <v>718</v>
      </c>
      <c r="B601" s="7" t="s">
        <v>468</v>
      </c>
      <c r="C601" s="7" t="s">
        <v>385</v>
      </c>
      <c r="D601" s="7">
        <v>2012</v>
      </c>
      <c r="E601" s="7">
        <v>128</v>
      </c>
      <c r="F601" s="7" t="s">
        <v>600</v>
      </c>
      <c r="G601" s="7" t="s">
        <v>317</v>
      </c>
      <c r="H601" s="7" t="s">
        <v>698</v>
      </c>
      <c r="K601" s="7" t="s">
        <v>394</v>
      </c>
      <c r="M601" s="7" t="s">
        <v>348</v>
      </c>
      <c r="N601" s="7" t="s">
        <v>31</v>
      </c>
      <c r="O601" s="7" t="s">
        <v>717</v>
      </c>
      <c r="P601" s="7" t="s">
        <v>133</v>
      </c>
      <c r="Q601" s="9" t="s">
        <v>230</v>
      </c>
      <c r="R601" s="7">
        <v>40</v>
      </c>
      <c r="S601" s="8">
        <v>1.37</v>
      </c>
      <c r="T601" s="8">
        <v>0</v>
      </c>
      <c r="U601" s="8">
        <v>0</v>
      </c>
      <c r="V601" s="8"/>
      <c r="W601" s="8"/>
    </row>
    <row r="602" spans="1:23" s="7" customFormat="1" x14ac:dyDescent="0.35">
      <c r="A602" s="7" t="s">
        <v>718</v>
      </c>
      <c r="B602" s="7" t="s">
        <v>468</v>
      </c>
      <c r="C602" s="7" t="s">
        <v>385</v>
      </c>
      <c r="D602" s="7">
        <v>2012</v>
      </c>
      <c r="E602" s="7">
        <v>128</v>
      </c>
      <c r="F602" s="7" t="s">
        <v>600</v>
      </c>
      <c r="G602" s="7" t="s">
        <v>317</v>
      </c>
      <c r="H602" s="7" t="s">
        <v>698</v>
      </c>
      <c r="K602" s="7" t="s">
        <v>394</v>
      </c>
      <c r="M602" s="7" t="s">
        <v>348</v>
      </c>
      <c r="N602" s="7" t="s">
        <v>31</v>
      </c>
      <c r="O602" s="7" t="s">
        <v>717</v>
      </c>
      <c r="P602" s="7" t="s">
        <v>133</v>
      </c>
      <c r="Q602" s="9" t="s">
        <v>230</v>
      </c>
      <c r="R602" s="7">
        <v>60</v>
      </c>
      <c r="S602" s="8">
        <v>1.45</v>
      </c>
      <c r="T602" s="8">
        <v>0</v>
      </c>
      <c r="U602" s="8">
        <v>0</v>
      </c>
      <c r="V602" s="8"/>
      <c r="W602" s="8"/>
    </row>
    <row r="603" spans="1:23" s="7" customFormat="1" x14ac:dyDescent="0.35">
      <c r="A603" s="7" t="s">
        <v>718</v>
      </c>
      <c r="B603" s="7" t="s">
        <v>468</v>
      </c>
      <c r="C603" s="7" t="s">
        <v>385</v>
      </c>
      <c r="D603" s="7">
        <v>2012</v>
      </c>
      <c r="E603" s="7">
        <v>128</v>
      </c>
      <c r="F603" s="7" t="s">
        <v>600</v>
      </c>
      <c r="G603" s="7" t="s">
        <v>317</v>
      </c>
      <c r="H603" s="7" t="s">
        <v>698</v>
      </c>
      <c r="K603" s="7" t="s">
        <v>394</v>
      </c>
      <c r="M603" s="7" t="s">
        <v>348</v>
      </c>
      <c r="N603" s="7" t="s">
        <v>31</v>
      </c>
      <c r="O603" s="7" t="s">
        <v>717</v>
      </c>
      <c r="P603" s="7" t="s">
        <v>133</v>
      </c>
      <c r="Q603" s="9" t="s">
        <v>230</v>
      </c>
      <c r="R603" s="7">
        <v>80</v>
      </c>
      <c r="S603" s="8">
        <v>1.5</v>
      </c>
      <c r="T603" s="8">
        <v>0</v>
      </c>
      <c r="U603" s="8">
        <v>-1</v>
      </c>
      <c r="V603" s="8"/>
      <c r="W603" s="8"/>
    </row>
    <row r="604" spans="1:23" s="7" customFormat="1" x14ac:dyDescent="0.35">
      <c r="A604" s="7" t="s">
        <v>718</v>
      </c>
      <c r="B604" s="7" t="s">
        <v>468</v>
      </c>
      <c r="C604" s="7" t="s">
        <v>385</v>
      </c>
      <c r="D604" s="7">
        <v>2012</v>
      </c>
      <c r="E604" s="7">
        <v>128</v>
      </c>
      <c r="F604" s="7" t="s">
        <v>600</v>
      </c>
      <c r="G604" s="7" t="s">
        <v>317</v>
      </c>
      <c r="H604" s="7" t="s">
        <v>698</v>
      </c>
      <c r="K604" s="7" t="s">
        <v>394</v>
      </c>
      <c r="M604" s="7" t="s">
        <v>348</v>
      </c>
      <c r="N604" s="7" t="s">
        <v>31</v>
      </c>
      <c r="O604" s="7" t="s">
        <v>717</v>
      </c>
      <c r="P604" s="7" t="s">
        <v>133</v>
      </c>
      <c r="Q604" s="9" t="s">
        <v>230</v>
      </c>
      <c r="R604" s="7">
        <v>100</v>
      </c>
      <c r="S604" s="8">
        <v>1.6</v>
      </c>
      <c r="T604" s="8">
        <v>0</v>
      </c>
      <c r="U604" s="8">
        <v>-1</v>
      </c>
      <c r="V604" s="8"/>
      <c r="W604" s="8"/>
    </row>
    <row r="605" spans="1:23" s="7" customFormat="1" x14ac:dyDescent="0.35">
      <c r="A605" s="7" t="s">
        <v>719</v>
      </c>
      <c r="B605" s="7" t="s">
        <v>468</v>
      </c>
      <c r="C605" s="7" t="s">
        <v>720</v>
      </c>
      <c r="D605" s="7">
        <v>2016</v>
      </c>
      <c r="E605" s="7">
        <v>129</v>
      </c>
      <c r="F605" s="7" t="s">
        <v>600</v>
      </c>
      <c r="G605" s="7" t="s">
        <v>317</v>
      </c>
      <c r="H605" s="7" t="s">
        <v>593</v>
      </c>
      <c r="K605" s="7" t="s">
        <v>394</v>
      </c>
      <c r="M605" s="7" t="s">
        <v>348</v>
      </c>
      <c r="N605" s="7" t="s">
        <v>31</v>
      </c>
      <c r="O605" s="7" t="s">
        <v>721</v>
      </c>
      <c r="P605" s="7" t="s">
        <v>722</v>
      </c>
      <c r="Q605" s="9" t="s">
        <v>230</v>
      </c>
      <c r="R605" s="7">
        <v>0</v>
      </c>
      <c r="S605" s="8">
        <v>2.7</v>
      </c>
      <c r="T605" s="8"/>
      <c r="U605" s="8">
        <v>0</v>
      </c>
      <c r="V605" s="8"/>
      <c r="W605" s="8"/>
    </row>
    <row r="606" spans="1:23" s="7" customFormat="1" x14ac:dyDescent="0.35">
      <c r="A606" s="7" t="s">
        <v>719</v>
      </c>
      <c r="B606" s="7" t="s">
        <v>468</v>
      </c>
      <c r="C606" s="7" t="s">
        <v>720</v>
      </c>
      <c r="D606" s="7">
        <v>2016</v>
      </c>
      <c r="E606" s="7">
        <v>129</v>
      </c>
      <c r="F606" s="7" t="s">
        <v>600</v>
      </c>
      <c r="G606" s="7" t="s">
        <v>317</v>
      </c>
      <c r="H606" s="7" t="s">
        <v>593</v>
      </c>
      <c r="K606" s="7" t="s">
        <v>394</v>
      </c>
      <c r="M606" s="7" t="s">
        <v>348</v>
      </c>
      <c r="N606" s="7" t="s">
        <v>31</v>
      </c>
      <c r="O606" s="7" t="s">
        <v>721</v>
      </c>
      <c r="P606" s="7" t="s">
        <v>722</v>
      </c>
      <c r="Q606" s="9" t="s">
        <v>230</v>
      </c>
      <c r="R606" s="7">
        <v>30</v>
      </c>
      <c r="S606" s="8">
        <v>2.6</v>
      </c>
      <c r="T606" s="8"/>
      <c r="U606" s="8">
        <v>1</v>
      </c>
      <c r="V606" s="8"/>
      <c r="W606" s="8"/>
    </row>
    <row r="607" spans="1:23" s="7" customFormat="1" x14ac:dyDescent="0.35">
      <c r="A607" s="7" t="s">
        <v>719</v>
      </c>
      <c r="B607" s="7" t="s">
        <v>468</v>
      </c>
      <c r="C607" s="7" t="s">
        <v>720</v>
      </c>
      <c r="D607" s="7">
        <v>2016</v>
      </c>
      <c r="E607" s="7">
        <v>129</v>
      </c>
      <c r="F607" s="7" t="s">
        <v>600</v>
      </c>
      <c r="G607" s="7" t="s">
        <v>317</v>
      </c>
      <c r="H607" s="7" t="s">
        <v>593</v>
      </c>
      <c r="K607" s="7" t="s">
        <v>394</v>
      </c>
      <c r="M607" s="7" t="s">
        <v>348</v>
      </c>
      <c r="N607" s="7" t="s">
        <v>31</v>
      </c>
      <c r="O607" s="7" t="s">
        <v>721</v>
      </c>
      <c r="P607" s="7" t="s">
        <v>722</v>
      </c>
      <c r="Q607" s="9" t="s">
        <v>230</v>
      </c>
      <c r="R607" s="7">
        <v>45</v>
      </c>
      <c r="S607" s="8">
        <v>2.4</v>
      </c>
      <c r="T607" s="8"/>
      <c r="U607" s="8">
        <v>2</v>
      </c>
      <c r="V607" s="8"/>
      <c r="W607" s="8"/>
    </row>
    <row r="608" spans="1:23" s="7" customFormat="1" x14ac:dyDescent="0.35">
      <c r="A608" s="7" t="s">
        <v>719</v>
      </c>
      <c r="B608" s="7" t="s">
        <v>468</v>
      </c>
      <c r="C608" s="7" t="s">
        <v>720</v>
      </c>
      <c r="D608" s="7">
        <v>2016</v>
      </c>
      <c r="E608" s="7">
        <v>129</v>
      </c>
      <c r="F608" s="7" t="s">
        <v>600</v>
      </c>
      <c r="G608" s="7" t="s">
        <v>317</v>
      </c>
      <c r="H608" s="7" t="s">
        <v>593</v>
      </c>
      <c r="K608" s="7" t="s">
        <v>394</v>
      </c>
      <c r="M608" s="7" t="s">
        <v>348</v>
      </c>
      <c r="N608" s="7" t="s">
        <v>31</v>
      </c>
      <c r="O608" s="7" t="s">
        <v>721</v>
      </c>
      <c r="P608" s="7" t="s">
        <v>722</v>
      </c>
      <c r="Q608" s="9" t="s">
        <v>230</v>
      </c>
      <c r="R608" s="7">
        <v>60</v>
      </c>
      <c r="S608" s="8">
        <v>2.6</v>
      </c>
      <c r="T608" s="8"/>
      <c r="U608" s="8">
        <v>4</v>
      </c>
      <c r="V608" s="8"/>
      <c r="W608" s="8"/>
    </row>
    <row r="609" spans="1:23" s="7" customFormat="1" x14ac:dyDescent="0.35">
      <c r="A609" s="7" t="s">
        <v>719</v>
      </c>
      <c r="B609" s="7" t="s">
        <v>468</v>
      </c>
      <c r="C609" s="7" t="s">
        <v>720</v>
      </c>
      <c r="D609" s="7">
        <v>2016</v>
      </c>
      <c r="E609" s="7">
        <v>129</v>
      </c>
      <c r="F609" s="7" t="s">
        <v>600</v>
      </c>
      <c r="G609" s="7" t="s">
        <v>317</v>
      </c>
      <c r="H609" s="7" t="s">
        <v>593</v>
      </c>
      <c r="K609" s="7" t="s">
        <v>394</v>
      </c>
      <c r="M609" s="7" t="s">
        <v>348</v>
      </c>
      <c r="N609" s="7" t="s">
        <v>31</v>
      </c>
      <c r="O609" s="7" t="s">
        <v>721</v>
      </c>
      <c r="P609" s="7" t="s">
        <v>722</v>
      </c>
      <c r="Q609" s="9" t="s">
        <v>230</v>
      </c>
      <c r="R609" s="7">
        <v>75</v>
      </c>
      <c r="S609" s="8">
        <v>2.6</v>
      </c>
      <c r="T609" s="8"/>
      <c r="U609" s="8">
        <v>7</v>
      </c>
      <c r="V609" s="8"/>
      <c r="W609" s="8"/>
    </row>
    <row r="610" spans="1:23" s="7" customFormat="1" x14ac:dyDescent="0.35">
      <c r="A610" s="7" t="s">
        <v>723</v>
      </c>
      <c r="B610" s="7" t="s">
        <v>609</v>
      </c>
      <c r="C610" s="7" t="s">
        <v>692</v>
      </c>
      <c r="D610" s="7">
        <v>2016</v>
      </c>
      <c r="E610" s="7">
        <v>130</v>
      </c>
      <c r="F610" s="7" t="s">
        <v>600</v>
      </c>
      <c r="G610" s="7" t="s">
        <v>454</v>
      </c>
      <c r="H610" s="7" t="s">
        <v>593</v>
      </c>
      <c r="K610" s="7" t="s">
        <v>378</v>
      </c>
      <c r="L610" s="7" t="s">
        <v>574</v>
      </c>
      <c r="M610" s="7" t="s">
        <v>348</v>
      </c>
      <c r="N610" s="7" t="s">
        <v>173</v>
      </c>
      <c r="O610" s="7" t="s">
        <v>725</v>
      </c>
      <c r="P610" s="7" t="s">
        <v>724</v>
      </c>
      <c r="Q610" s="9" t="s">
        <v>467</v>
      </c>
      <c r="R610" s="7">
        <v>0</v>
      </c>
      <c r="S610" s="8">
        <v>1.69</v>
      </c>
      <c r="T610" s="8">
        <v>0</v>
      </c>
      <c r="U610" s="8">
        <v>0</v>
      </c>
      <c r="V610" s="8"/>
      <c r="W610" s="8"/>
    </row>
    <row r="611" spans="1:23" s="7" customFormat="1" x14ac:dyDescent="0.35">
      <c r="A611" s="7" t="s">
        <v>723</v>
      </c>
      <c r="B611" s="7" t="s">
        <v>609</v>
      </c>
      <c r="C611" s="7" t="s">
        <v>692</v>
      </c>
      <c r="D611" s="7">
        <v>2016</v>
      </c>
      <c r="E611" s="7">
        <v>130</v>
      </c>
      <c r="F611" s="7" t="s">
        <v>600</v>
      </c>
      <c r="G611" s="7" t="s">
        <v>454</v>
      </c>
      <c r="H611" s="7" t="s">
        <v>593</v>
      </c>
      <c r="K611" s="7" t="s">
        <v>378</v>
      </c>
      <c r="L611" s="7" t="s">
        <v>574</v>
      </c>
      <c r="M611" s="7" t="s">
        <v>348</v>
      </c>
      <c r="N611" s="7" t="s">
        <v>173</v>
      </c>
      <c r="O611" s="7" t="s">
        <v>725</v>
      </c>
      <c r="P611" s="7" t="s">
        <v>724</v>
      </c>
      <c r="Q611" s="9" t="s">
        <v>467</v>
      </c>
      <c r="R611" s="7">
        <v>25</v>
      </c>
      <c r="S611" s="8">
        <v>1.75</v>
      </c>
      <c r="T611" s="8">
        <v>20</v>
      </c>
      <c r="U611" s="8">
        <v>-7</v>
      </c>
      <c r="V611" s="8"/>
      <c r="W611" s="8"/>
    </row>
    <row r="612" spans="1:23" s="7" customFormat="1" x14ac:dyDescent="0.35">
      <c r="A612" s="7" t="s">
        <v>723</v>
      </c>
      <c r="B612" s="7" t="s">
        <v>609</v>
      </c>
      <c r="C612" s="7" t="s">
        <v>692</v>
      </c>
      <c r="D612" s="7">
        <v>2016</v>
      </c>
      <c r="E612" s="7">
        <v>130</v>
      </c>
      <c r="F612" s="7" t="s">
        <v>600</v>
      </c>
      <c r="G612" s="7" t="s">
        <v>454</v>
      </c>
      <c r="H612" s="7" t="s">
        <v>593</v>
      </c>
      <c r="K612" s="7" t="s">
        <v>378</v>
      </c>
      <c r="L612" s="7" t="s">
        <v>574</v>
      </c>
      <c r="M612" s="7" t="s">
        <v>348</v>
      </c>
      <c r="N612" s="7" t="s">
        <v>173</v>
      </c>
      <c r="O612" s="7" t="s">
        <v>725</v>
      </c>
      <c r="P612" s="7" t="s">
        <v>724</v>
      </c>
      <c r="Q612" s="9" t="s">
        <v>467</v>
      </c>
      <c r="R612" s="7">
        <v>50</v>
      </c>
      <c r="S612" s="8">
        <v>1.85</v>
      </c>
      <c r="T612" s="8">
        <v>45</v>
      </c>
      <c r="U612" s="8">
        <v>-17</v>
      </c>
      <c r="V612" s="8"/>
      <c r="W612" s="8"/>
    </row>
    <row r="613" spans="1:23" s="7" customFormat="1" x14ac:dyDescent="0.35">
      <c r="A613" s="7" t="s">
        <v>723</v>
      </c>
      <c r="B613" s="7" t="s">
        <v>609</v>
      </c>
      <c r="C613" s="7" t="s">
        <v>692</v>
      </c>
      <c r="D613" s="7">
        <v>2016</v>
      </c>
      <c r="E613" s="7">
        <v>130</v>
      </c>
      <c r="F613" s="7" t="s">
        <v>600</v>
      </c>
      <c r="G613" s="7" t="s">
        <v>454</v>
      </c>
      <c r="H613" s="7" t="s">
        <v>593</v>
      </c>
      <c r="K613" s="7" t="s">
        <v>378</v>
      </c>
      <c r="L613" s="7" t="s">
        <v>574</v>
      </c>
      <c r="M613" s="7" t="s">
        <v>348</v>
      </c>
      <c r="N613" s="7" t="s">
        <v>173</v>
      </c>
      <c r="O613" s="7" t="s">
        <v>725</v>
      </c>
      <c r="P613" s="7" t="s">
        <v>724</v>
      </c>
      <c r="Q613" s="9" t="s">
        <v>467</v>
      </c>
      <c r="R613" s="7">
        <v>75</v>
      </c>
      <c r="S613" s="8">
        <v>2.0299999999999998</v>
      </c>
      <c r="T613" s="8">
        <v>45</v>
      </c>
      <c r="U613" s="8">
        <v>-27</v>
      </c>
      <c r="V613" s="8"/>
      <c r="W613" s="8"/>
    </row>
    <row r="614" spans="1:23" s="7" customFormat="1" x14ac:dyDescent="0.35">
      <c r="A614" s="7" t="s">
        <v>723</v>
      </c>
      <c r="B614" s="7" t="s">
        <v>609</v>
      </c>
      <c r="C614" s="7" t="s">
        <v>692</v>
      </c>
      <c r="D614" s="7">
        <v>2016</v>
      </c>
      <c r="E614" s="7">
        <v>130</v>
      </c>
      <c r="F614" s="7" t="s">
        <v>600</v>
      </c>
      <c r="G614" s="7" t="s">
        <v>454</v>
      </c>
      <c r="H614" s="7" t="s">
        <v>593</v>
      </c>
      <c r="K614" s="7" t="s">
        <v>378</v>
      </c>
      <c r="L614" s="7" t="s">
        <v>574</v>
      </c>
      <c r="M614" s="7" t="s">
        <v>348</v>
      </c>
      <c r="N614" s="7" t="s">
        <v>173</v>
      </c>
      <c r="O614" s="7" t="s">
        <v>725</v>
      </c>
      <c r="P614" s="7" t="s">
        <v>724</v>
      </c>
      <c r="Q614" s="9" t="s">
        <v>467</v>
      </c>
      <c r="R614" s="7">
        <v>100</v>
      </c>
      <c r="S614" s="8">
        <v>1.98</v>
      </c>
      <c r="T614" s="8">
        <v>70</v>
      </c>
      <c r="U614" s="8">
        <v>-37</v>
      </c>
      <c r="V614" s="8"/>
      <c r="W614" s="8"/>
    </row>
    <row r="615" spans="1:23" s="7" customFormat="1" x14ac:dyDescent="0.35">
      <c r="A615" s="7" t="s">
        <v>726</v>
      </c>
      <c r="B615" s="7" t="s">
        <v>473</v>
      </c>
      <c r="C615" s="7" t="s">
        <v>385</v>
      </c>
      <c r="D615" s="7">
        <v>2013</v>
      </c>
      <c r="E615" s="7">
        <v>131</v>
      </c>
      <c r="F615" s="7" t="s">
        <v>416</v>
      </c>
      <c r="G615" s="7" t="s">
        <v>317</v>
      </c>
      <c r="H615" s="7" t="s">
        <v>727</v>
      </c>
      <c r="I615" s="7" t="s">
        <v>728</v>
      </c>
      <c r="J615" s="7" t="s">
        <v>541</v>
      </c>
      <c r="K615" s="7" t="s">
        <v>394</v>
      </c>
      <c r="M615" s="7" t="s">
        <v>348</v>
      </c>
      <c r="N615" s="7" t="s">
        <v>417</v>
      </c>
      <c r="O615" s="7" t="s">
        <v>103</v>
      </c>
      <c r="P615" s="7" t="s">
        <v>716</v>
      </c>
      <c r="Q615" s="9" t="s">
        <v>237</v>
      </c>
      <c r="R615" s="7">
        <v>0</v>
      </c>
      <c r="S615" s="8">
        <v>1.4</v>
      </c>
      <c r="T615" s="8">
        <v>0</v>
      </c>
      <c r="U615" s="8">
        <v>0</v>
      </c>
      <c r="V615" s="8"/>
      <c r="W615" s="8"/>
    </row>
    <row r="616" spans="1:23" s="7" customFormat="1" x14ac:dyDescent="0.35">
      <c r="A616" s="7" t="s">
        <v>726</v>
      </c>
      <c r="B616" s="7" t="s">
        <v>473</v>
      </c>
      <c r="C616" s="7" t="s">
        <v>385</v>
      </c>
      <c r="D616" s="7">
        <v>2013</v>
      </c>
      <c r="E616" s="7">
        <v>131</v>
      </c>
      <c r="F616" s="7" t="s">
        <v>416</v>
      </c>
      <c r="G616" s="7" t="s">
        <v>317</v>
      </c>
      <c r="H616" s="7" t="s">
        <v>727</v>
      </c>
      <c r="I616" s="7" t="s">
        <v>728</v>
      </c>
      <c r="J616" s="7" t="s">
        <v>541</v>
      </c>
      <c r="K616" s="7" t="s">
        <v>394</v>
      </c>
      <c r="M616" s="7" t="s">
        <v>348</v>
      </c>
      <c r="N616" s="7" t="s">
        <v>417</v>
      </c>
      <c r="O616" s="7" t="s">
        <v>103</v>
      </c>
      <c r="P616" s="7" t="s">
        <v>716</v>
      </c>
      <c r="Q616" s="9" t="s">
        <v>237</v>
      </c>
      <c r="R616" s="7">
        <v>100</v>
      </c>
      <c r="S616" s="8">
        <v>3.75</v>
      </c>
      <c r="T616" s="8">
        <v>100</v>
      </c>
      <c r="U616" s="8">
        <v>-33</v>
      </c>
      <c r="V616" s="8"/>
      <c r="W616" s="8"/>
    </row>
    <row r="617" spans="1:23" s="7" customFormat="1" x14ac:dyDescent="0.35">
      <c r="A617" s="7" t="s">
        <v>726</v>
      </c>
      <c r="B617" s="7" t="s">
        <v>473</v>
      </c>
      <c r="C617" s="7" t="s">
        <v>385</v>
      </c>
      <c r="D617" s="7">
        <v>2013</v>
      </c>
      <c r="E617" s="7">
        <v>131</v>
      </c>
      <c r="F617" s="7" t="s">
        <v>416</v>
      </c>
      <c r="G617" s="7" t="s">
        <v>317</v>
      </c>
      <c r="H617" s="7" t="s">
        <v>727</v>
      </c>
      <c r="I617" s="7" t="s">
        <v>728</v>
      </c>
      <c r="J617" s="7" t="s">
        <v>541</v>
      </c>
      <c r="K617" s="7" t="s">
        <v>394</v>
      </c>
      <c r="M617" s="7" t="s">
        <v>348</v>
      </c>
      <c r="N617" s="7" t="s">
        <v>417</v>
      </c>
      <c r="O617" s="7" t="s">
        <v>103</v>
      </c>
      <c r="P617" s="7" t="s">
        <v>716</v>
      </c>
      <c r="Q617" s="9" t="s">
        <v>237</v>
      </c>
      <c r="R617" s="7">
        <v>100</v>
      </c>
      <c r="S617" s="8">
        <v>2.9</v>
      </c>
      <c r="T617" s="8">
        <v>100</v>
      </c>
      <c r="U617" s="8">
        <v>-33</v>
      </c>
      <c r="V617" s="8"/>
      <c r="W617" s="8"/>
    </row>
    <row r="618" spans="1:23" s="7" customFormat="1" x14ac:dyDescent="0.35">
      <c r="A618" s="7" t="s">
        <v>726</v>
      </c>
      <c r="B618" s="7" t="s">
        <v>473</v>
      </c>
      <c r="C618" s="7" t="s">
        <v>385</v>
      </c>
      <c r="D618" s="7">
        <v>2013</v>
      </c>
      <c r="E618" s="7">
        <v>131</v>
      </c>
      <c r="F618" s="7" t="s">
        <v>416</v>
      </c>
      <c r="G618" s="7" t="s">
        <v>317</v>
      </c>
      <c r="H618" s="7" t="s">
        <v>727</v>
      </c>
      <c r="I618" s="7" t="s">
        <v>728</v>
      </c>
      <c r="J618" s="7" t="s">
        <v>541</v>
      </c>
      <c r="K618" s="7" t="s">
        <v>394</v>
      </c>
      <c r="M618" s="7" t="s">
        <v>348</v>
      </c>
      <c r="N618" s="7" t="s">
        <v>417</v>
      </c>
      <c r="O618" s="7" t="s">
        <v>103</v>
      </c>
      <c r="P618" s="7" t="s">
        <v>716</v>
      </c>
      <c r="Q618" s="9" t="s">
        <v>237</v>
      </c>
      <c r="R618" s="7">
        <v>100</v>
      </c>
      <c r="S618" s="8">
        <v>2.89</v>
      </c>
      <c r="T618" s="8">
        <v>100</v>
      </c>
      <c r="U618" s="8">
        <v>-35</v>
      </c>
      <c r="V618" s="8"/>
      <c r="W618" s="8"/>
    </row>
    <row r="619" spans="1:23" s="7" customFormat="1" x14ac:dyDescent="0.35">
      <c r="A619" s="7" t="s">
        <v>726</v>
      </c>
      <c r="B619" s="7" t="s">
        <v>473</v>
      </c>
      <c r="C619" s="7" t="s">
        <v>385</v>
      </c>
      <c r="D619" s="7">
        <v>2013</v>
      </c>
      <c r="E619" s="7">
        <v>131</v>
      </c>
      <c r="F619" s="7" t="s">
        <v>416</v>
      </c>
      <c r="G619" s="7" t="s">
        <v>317</v>
      </c>
      <c r="H619" s="7" t="s">
        <v>727</v>
      </c>
      <c r="I619" s="7" t="s">
        <v>728</v>
      </c>
      <c r="J619" s="7" t="s">
        <v>541</v>
      </c>
      <c r="K619" s="7" t="s">
        <v>394</v>
      </c>
      <c r="M619" s="7" t="s">
        <v>348</v>
      </c>
      <c r="N619" s="7" t="s">
        <v>417</v>
      </c>
      <c r="O619" s="7" t="s">
        <v>103</v>
      </c>
      <c r="P619" s="7" t="s">
        <v>716</v>
      </c>
      <c r="Q619" s="9" t="s">
        <v>237</v>
      </c>
      <c r="R619" s="7">
        <v>100</v>
      </c>
      <c r="S619" s="8">
        <v>2.2999999999999998</v>
      </c>
      <c r="T619" s="8">
        <v>100</v>
      </c>
      <c r="U619" s="8">
        <v>-35</v>
      </c>
      <c r="V619" s="8"/>
      <c r="W619" s="8"/>
    </row>
    <row r="620" spans="1:23" s="7" customFormat="1" x14ac:dyDescent="0.35">
      <c r="A620" s="7" t="s">
        <v>731</v>
      </c>
      <c r="B620" s="7" t="s">
        <v>468</v>
      </c>
      <c r="C620" s="7" t="s">
        <v>732</v>
      </c>
      <c r="D620" s="7">
        <v>2016</v>
      </c>
      <c r="E620" s="7">
        <v>132</v>
      </c>
      <c r="F620" s="7" t="s">
        <v>600</v>
      </c>
      <c r="G620" s="7" t="s">
        <v>317</v>
      </c>
      <c r="H620" s="7" t="s">
        <v>593</v>
      </c>
      <c r="K620" s="7" t="s">
        <v>394</v>
      </c>
      <c r="M620" s="7" t="s">
        <v>348</v>
      </c>
      <c r="N620" s="7" t="s">
        <v>380</v>
      </c>
      <c r="O620" s="7" t="s">
        <v>730</v>
      </c>
      <c r="P620" s="7" t="s">
        <v>729</v>
      </c>
      <c r="Q620" s="9" t="s">
        <v>520</v>
      </c>
      <c r="R620" s="7">
        <v>0</v>
      </c>
      <c r="S620" s="8">
        <v>0.89</v>
      </c>
      <c r="T620" s="8">
        <v>0</v>
      </c>
      <c r="U620" s="8">
        <v>0</v>
      </c>
      <c r="V620" s="8"/>
      <c r="W620" s="8"/>
    </row>
    <row r="621" spans="1:23" s="7" customFormat="1" x14ac:dyDescent="0.35">
      <c r="A621" s="7" t="s">
        <v>731</v>
      </c>
      <c r="B621" s="7" t="s">
        <v>468</v>
      </c>
      <c r="C621" s="7" t="s">
        <v>732</v>
      </c>
      <c r="D621" s="7">
        <v>2016</v>
      </c>
      <c r="E621" s="7">
        <v>132</v>
      </c>
      <c r="F621" s="7" t="s">
        <v>600</v>
      </c>
      <c r="G621" s="7" t="s">
        <v>317</v>
      </c>
      <c r="H621" s="7" t="s">
        <v>593</v>
      </c>
      <c r="K621" s="7" t="s">
        <v>394</v>
      </c>
      <c r="M621" s="7" t="s">
        <v>348</v>
      </c>
      <c r="N621" s="7" t="s">
        <v>380</v>
      </c>
      <c r="O621" s="7" t="s">
        <v>730</v>
      </c>
      <c r="P621" s="7" t="s">
        <v>729</v>
      </c>
      <c r="Q621" s="9" t="s">
        <v>520</v>
      </c>
      <c r="R621" s="7">
        <v>40</v>
      </c>
      <c r="S621" s="8">
        <v>0.95</v>
      </c>
      <c r="T621" s="8">
        <v>3</v>
      </c>
      <c r="U621" s="8">
        <v>-52</v>
      </c>
      <c r="V621" s="8"/>
      <c r="W621" s="8"/>
    </row>
    <row r="622" spans="1:23" s="7" customFormat="1" x14ac:dyDescent="0.35">
      <c r="A622" s="7" t="s">
        <v>731</v>
      </c>
      <c r="B622" s="7" t="s">
        <v>468</v>
      </c>
      <c r="C622" s="7" t="s">
        <v>732</v>
      </c>
      <c r="D622" s="7">
        <v>2016</v>
      </c>
      <c r="E622" s="7">
        <v>132</v>
      </c>
      <c r="F622" s="7" t="s">
        <v>600</v>
      </c>
      <c r="G622" s="7" t="s">
        <v>317</v>
      </c>
      <c r="H622" s="7" t="s">
        <v>593</v>
      </c>
      <c r="K622" s="7" t="s">
        <v>394</v>
      </c>
      <c r="M622" s="7" t="s">
        <v>348</v>
      </c>
      <c r="N622" s="7" t="s">
        <v>380</v>
      </c>
      <c r="O622" s="7" t="s">
        <v>730</v>
      </c>
      <c r="P622" s="7" t="s">
        <v>729</v>
      </c>
      <c r="Q622" s="9" t="s">
        <v>520</v>
      </c>
      <c r="R622" s="7">
        <v>40</v>
      </c>
      <c r="S622" s="8">
        <v>0.98</v>
      </c>
      <c r="T622" s="8">
        <v>9</v>
      </c>
      <c r="U622" s="8">
        <v>-4</v>
      </c>
      <c r="V622" s="8"/>
      <c r="W622" s="8"/>
    </row>
    <row r="623" spans="1:23" s="7" customFormat="1" x14ac:dyDescent="0.35">
      <c r="A623" s="7" t="s">
        <v>733</v>
      </c>
      <c r="B623" s="7" t="s">
        <v>528</v>
      </c>
      <c r="C623" s="7" t="s">
        <v>370</v>
      </c>
      <c r="D623" s="7">
        <v>2017</v>
      </c>
      <c r="E623" s="7">
        <v>133</v>
      </c>
      <c r="F623" s="7" t="s">
        <v>600</v>
      </c>
      <c r="G623" s="7" t="s">
        <v>317</v>
      </c>
      <c r="H623" s="7" t="s">
        <v>734</v>
      </c>
      <c r="K623" s="7" t="s">
        <v>394</v>
      </c>
      <c r="M623" s="7" t="s">
        <v>348</v>
      </c>
      <c r="N623" s="7" t="s">
        <v>106</v>
      </c>
      <c r="O623" s="7" t="s">
        <v>616</v>
      </c>
      <c r="P623" s="7" t="s">
        <v>686</v>
      </c>
      <c r="Q623" s="9" t="s">
        <v>230</v>
      </c>
      <c r="R623" s="7">
        <v>0</v>
      </c>
      <c r="S623" s="8">
        <v>0.92</v>
      </c>
      <c r="T623" s="8">
        <v>0</v>
      </c>
      <c r="U623" s="8">
        <v>0</v>
      </c>
      <c r="V623" s="8"/>
      <c r="W623" s="8"/>
    </row>
    <row r="624" spans="1:23" s="7" customFormat="1" x14ac:dyDescent="0.35">
      <c r="A624" s="7" t="s">
        <v>733</v>
      </c>
      <c r="B624" s="7" t="s">
        <v>528</v>
      </c>
      <c r="C624" s="7" t="s">
        <v>370</v>
      </c>
      <c r="D624" s="7">
        <v>2017</v>
      </c>
      <c r="E624" s="7">
        <v>133</v>
      </c>
      <c r="F624" s="7" t="s">
        <v>600</v>
      </c>
      <c r="G624" s="7" t="s">
        <v>317</v>
      </c>
      <c r="H624" s="7" t="s">
        <v>734</v>
      </c>
      <c r="K624" s="7" t="s">
        <v>394</v>
      </c>
      <c r="M624" s="7" t="s">
        <v>348</v>
      </c>
      <c r="N624" s="7" t="s">
        <v>106</v>
      </c>
      <c r="O624" s="7" t="s">
        <v>616</v>
      </c>
      <c r="P624" s="7" t="s">
        <v>686</v>
      </c>
      <c r="Q624" s="9" t="s">
        <v>230</v>
      </c>
      <c r="R624" s="7">
        <v>6</v>
      </c>
      <c r="S624" s="8">
        <v>0.89</v>
      </c>
      <c r="T624" s="8">
        <v>8</v>
      </c>
      <c r="U624" s="8">
        <v>-9</v>
      </c>
      <c r="V624" s="8"/>
      <c r="W624" s="8"/>
    </row>
    <row r="625" spans="1:24" s="7" customFormat="1" x14ac:dyDescent="0.35">
      <c r="A625" s="7" t="s">
        <v>733</v>
      </c>
      <c r="B625" s="7" t="s">
        <v>528</v>
      </c>
      <c r="C625" s="7" t="s">
        <v>370</v>
      </c>
      <c r="D625" s="7">
        <v>2017</v>
      </c>
      <c r="E625" s="7">
        <v>133</v>
      </c>
      <c r="F625" s="7" t="s">
        <v>600</v>
      </c>
      <c r="G625" s="7" t="s">
        <v>317</v>
      </c>
      <c r="H625" s="7" t="s">
        <v>734</v>
      </c>
      <c r="K625" s="7" t="s">
        <v>394</v>
      </c>
      <c r="M625" s="7" t="s">
        <v>348</v>
      </c>
      <c r="N625" s="7" t="s">
        <v>106</v>
      </c>
      <c r="O625" s="7" t="s">
        <v>616</v>
      </c>
      <c r="P625" s="7" t="s">
        <v>686</v>
      </c>
      <c r="Q625" s="9" t="s">
        <v>230</v>
      </c>
      <c r="R625" s="7">
        <v>26</v>
      </c>
      <c r="S625" s="8">
        <v>0.91</v>
      </c>
      <c r="T625" s="8">
        <v>18</v>
      </c>
      <c r="U625" s="8">
        <v>-16</v>
      </c>
      <c r="V625" s="8"/>
      <c r="W625" s="8"/>
    </row>
    <row r="626" spans="1:24" s="7" customFormat="1" x14ac:dyDescent="0.35">
      <c r="A626" s="7" t="s">
        <v>733</v>
      </c>
      <c r="B626" s="7" t="s">
        <v>528</v>
      </c>
      <c r="C626" s="7" t="s">
        <v>370</v>
      </c>
      <c r="D626" s="7">
        <v>2017</v>
      </c>
      <c r="E626" s="7">
        <v>133</v>
      </c>
      <c r="F626" s="7" t="s">
        <v>600</v>
      </c>
      <c r="G626" s="7" t="s">
        <v>317</v>
      </c>
      <c r="H626" s="7" t="s">
        <v>734</v>
      </c>
      <c r="K626" s="7" t="s">
        <v>394</v>
      </c>
      <c r="M626" s="7" t="s">
        <v>348</v>
      </c>
      <c r="N626" s="7" t="s">
        <v>106</v>
      </c>
      <c r="O626" s="7" t="s">
        <v>616</v>
      </c>
      <c r="P626" s="7" t="s">
        <v>686</v>
      </c>
      <c r="Q626" s="9" t="s">
        <v>230</v>
      </c>
      <c r="R626" s="7">
        <v>46</v>
      </c>
      <c r="S626" s="8">
        <v>0.91</v>
      </c>
      <c r="T626" s="8">
        <v>27</v>
      </c>
      <c r="U626" s="8">
        <v>-21</v>
      </c>
      <c r="V626" s="8"/>
      <c r="W626" s="8"/>
    </row>
    <row r="627" spans="1:24" s="7" customFormat="1" x14ac:dyDescent="0.35">
      <c r="A627" s="7" t="s">
        <v>733</v>
      </c>
      <c r="B627" s="7" t="s">
        <v>528</v>
      </c>
      <c r="C627" s="7" t="s">
        <v>370</v>
      </c>
      <c r="D627" s="7">
        <v>2017</v>
      </c>
      <c r="E627" s="7">
        <v>133</v>
      </c>
      <c r="F627" s="7" t="s">
        <v>600</v>
      </c>
      <c r="G627" s="7" t="s">
        <v>317</v>
      </c>
      <c r="H627" s="7" t="s">
        <v>734</v>
      </c>
      <c r="K627" s="7" t="s">
        <v>394</v>
      </c>
      <c r="M627" s="7" t="s">
        <v>348</v>
      </c>
      <c r="N627" s="7" t="s">
        <v>106</v>
      </c>
      <c r="O627" s="7" t="s">
        <v>616</v>
      </c>
      <c r="P627" s="7" t="s">
        <v>686</v>
      </c>
      <c r="Q627" s="9" t="s">
        <v>230</v>
      </c>
      <c r="R627" s="7">
        <v>66</v>
      </c>
      <c r="S627" s="8">
        <v>0.93</v>
      </c>
      <c r="T627" s="8">
        <v>38</v>
      </c>
      <c r="U627" s="8">
        <v>-26</v>
      </c>
      <c r="V627" s="8"/>
      <c r="W627" s="8"/>
    </row>
    <row r="628" spans="1:24" s="7" customFormat="1" x14ac:dyDescent="0.35">
      <c r="A628" s="7" t="s">
        <v>735</v>
      </c>
      <c r="B628" s="7" t="s">
        <v>398</v>
      </c>
      <c r="C628" s="7" t="s">
        <v>370</v>
      </c>
      <c r="D628" s="7">
        <v>2017</v>
      </c>
      <c r="E628" s="7">
        <v>134</v>
      </c>
      <c r="F628" s="7" t="s">
        <v>600</v>
      </c>
      <c r="G628" s="7" t="s">
        <v>317</v>
      </c>
      <c r="H628" s="7" t="s">
        <v>727</v>
      </c>
      <c r="K628" s="7" t="s">
        <v>394</v>
      </c>
      <c r="M628" s="7" t="s">
        <v>348</v>
      </c>
      <c r="N628" s="7" t="s">
        <v>173</v>
      </c>
      <c r="O628" s="7" t="s">
        <v>439</v>
      </c>
      <c r="P628" s="7" t="s">
        <v>172</v>
      </c>
      <c r="Q628" s="9" t="s">
        <v>230</v>
      </c>
      <c r="R628" s="7">
        <v>0</v>
      </c>
      <c r="S628" s="8">
        <v>1.35</v>
      </c>
      <c r="T628" s="8">
        <v>0</v>
      </c>
      <c r="U628" s="8">
        <v>0</v>
      </c>
      <c r="V628" s="8"/>
      <c r="W628" s="8"/>
    </row>
    <row r="629" spans="1:24" s="7" customFormat="1" x14ac:dyDescent="0.35">
      <c r="A629" s="7" t="s">
        <v>735</v>
      </c>
      <c r="B629" s="7" t="s">
        <v>398</v>
      </c>
      <c r="C629" s="7" t="s">
        <v>370</v>
      </c>
      <c r="D629" s="7">
        <v>2017</v>
      </c>
      <c r="E629" s="7">
        <v>134</v>
      </c>
      <c r="F629" s="7" t="s">
        <v>600</v>
      </c>
      <c r="G629" s="7" t="s">
        <v>317</v>
      </c>
      <c r="H629" s="7" t="s">
        <v>727</v>
      </c>
      <c r="K629" s="7" t="s">
        <v>394</v>
      </c>
      <c r="M629" s="7" t="s">
        <v>348</v>
      </c>
      <c r="N629" s="7" t="s">
        <v>173</v>
      </c>
      <c r="O629" s="7" t="s">
        <v>439</v>
      </c>
      <c r="P629" s="7" t="s">
        <v>172</v>
      </c>
      <c r="Q629" s="9" t="s">
        <v>230</v>
      </c>
      <c r="R629" s="7">
        <v>15</v>
      </c>
      <c r="S629" s="8">
        <v>1.41</v>
      </c>
      <c r="T629" s="8">
        <v>2</v>
      </c>
      <c r="U629" s="8">
        <v>-3</v>
      </c>
      <c r="V629" s="8"/>
      <c r="W629" s="8"/>
    </row>
    <row r="630" spans="1:24" s="7" customFormat="1" x14ac:dyDescent="0.35">
      <c r="A630" s="7" t="s">
        <v>735</v>
      </c>
      <c r="B630" s="7" t="s">
        <v>398</v>
      </c>
      <c r="C630" s="7" t="s">
        <v>370</v>
      </c>
      <c r="D630" s="7">
        <v>2017</v>
      </c>
      <c r="E630" s="7">
        <v>134</v>
      </c>
      <c r="F630" s="7" t="s">
        <v>600</v>
      </c>
      <c r="G630" s="7" t="s">
        <v>317</v>
      </c>
      <c r="H630" s="7" t="s">
        <v>727</v>
      </c>
      <c r="K630" s="7" t="s">
        <v>394</v>
      </c>
      <c r="M630" s="7" t="s">
        <v>348</v>
      </c>
      <c r="N630" s="7" t="s">
        <v>173</v>
      </c>
      <c r="O630" s="7" t="s">
        <v>439</v>
      </c>
      <c r="P630" s="7" t="s">
        <v>172</v>
      </c>
      <c r="Q630" s="9" t="s">
        <v>230</v>
      </c>
      <c r="R630" s="7">
        <v>30</v>
      </c>
      <c r="S630" s="8">
        <v>1.55</v>
      </c>
      <c r="T630" s="8">
        <v>4</v>
      </c>
      <c r="U630" s="8">
        <v>-6</v>
      </c>
      <c r="V630" s="8"/>
      <c r="W630" s="8"/>
    </row>
    <row r="631" spans="1:24" s="7" customFormat="1" x14ac:dyDescent="0.35">
      <c r="A631" s="7" t="s">
        <v>735</v>
      </c>
      <c r="B631" s="7" t="s">
        <v>398</v>
      </c>
      <c r="C631" s="7" t="s">
        <v>370</v>
      </c>
      <c r="D631" s="7">
        <v>2017</v>
      </c>
      <c r="E631" s="7">
        <v>134</v>
      </c>
      <c r="F631" s="7" t="s">
        <v>600</v>
      </c>
      <c r="G631" s="7" t="s">
        <v>317</v>
      </c>
      <c r="H631" s="7" t="s">
        <v>727</v>
      </c>
      <c r="K631" s="7" t="s">
        <v>394</v>
      </c>
      <c r="M631" s="7" t="s">
        <v>348</v>
      </c>
      <c r="N631" s="7" t="s">
        <v>173</v>
      </c>
      <c r="O631" s="7" t="s">
        <v>439</v>
      </c>
      <c r="P631" s="7" t="s">
        <v>172</v>
      </c>
      <c r="Q631" s="9" t="s">
        <v>230</v>
      </c>
      <c r="R631" s="7">
        <v>45</v>
      </c>
      <c r="S631" s="8">
        <v>1.54</v>
      </c>
      <c r="T631" s="8">
        <v>6</v>
      </c>
      <c r="U631" s="8">
        <v>-10</v>
      </c>
      <c r="V631" s="8"/>
      <c r="W631" s="8"/>
    </row>
    <row r="632" spans="1:24" s="7" customFormat="1" x14ac:dyDescent="0.35">
      <c r="A632" s="7" t="s">
        <v>735</v>
      </c>
      <c r="B632" s="7" t="s">
        <v>398</v>
      </c>
      <c r="C632" s="7" t="s">
        <v>370</v>
      </c>
      <c r="D632" s="7">
        <v>2017</v>
      </c>
      <c r="E632" s="7">
        <v>134</v>
      </c>
      <c r="F632" s="7" t="s">
        <v>600</v>
      </c>
      <c r="G632" s="7" t="s">
        <v>317</v>
      </c>
      <c r="H632" s="7" t="s">
        <v>727</v>
      </c>
      <c r="K632" s="7" t="s">
        <v>394</v>
      </c>
      <c r="M632" s="7" t="s">
        <v>348</v>
      </c>
      <c r="N632" s="7" t="s">
        <v>173</v>
      </c>
      <c r="O632" s="7" t="s">
        <v>439</v>
      </c>
      <c r="P632" s="7" t="s">
        <v>172</v>
      </c>
      <c r="Q632" s="9" t="s">
        <v>230</v>
      </c>
      <c r="R632" s="7">
        <v>60</v>
      </c>
      <c r="S632" s="8">
        <v>1.65</v>
      </c>
      <c r="T632" s="8">
        <v>8</v>
      </c>
      <c r="U632" s="8">
        <v>-15</v>
      </c>
      <c r="V632" s="8"/>
      <c r="W632" s="8"/>
    </row>
    <row r="633" spans="1:24" s="7" customFormat="1" x14ac:dyDescent="0.35">
      <c r="A633" s="7" t="s">
        <v>735</v>
      </c>
      <c r="B633" s="7" t="s">
        <v>398</v>
      </c>
      <c r="C633" s="7" t="s">
        <v>370</v>
      </c>
      <c r="D633" s="7">
        <v>2017</v>
      </c>
      <c r="E633" s="7">
        <v>134</v>
      </c>
      <c r="F633" s="7" t="s">
        <v>600</v>
      </c>
      <c r="G633" s="7" t="s">
        <v>317</v>
      </c>
      <c r="H633" s="7" t="s">
        <v>727</v>
      </c>
      <c r="K633" s="7" t="s">
        <v>394</v>
      </c>
      <c r="M633" s="7" t="s">
        <v>348</v>
      </c>
      <c r="N633" s="7" t="s">
        <v>173</v>
      </c>
      <c r="O633" s="7" t="s">
        <v>439</v>
      </c>
      <c r="P633" s="7" t="s">
        <v>172</v>
      </c>
      <c r="Q633" s="9" t="s">
        <v>230</v>
      </c>
      <c r="R633" s="7">
        <v>100</v>
      </c>
      <c r="S633" s="8">
        <v>1.69</v>
      </c>
      <c r="T633" s="8">
        <v>24</v>
      </c>
      <c r="U633" s="8">
        <v>-15</v>
      </c>
      <c r="V633" s="8"/>
      <c r="W633" s="8"/>
    </row>
    <row r="634" spans="1:24" s="7" customFormat="1" x14ac:dyDescent="0.35">
      <c r="A634" s="7" t="s">
        <v>736</v>
      </c>
      <c r="B634" s="7" t="s">
        <v>522</v>
      </c>
      <c r="C634" s="7" t="s">
        <v>342</v>
      </c>
      <c r="D634" s="7">
        <v>2012</v>
      </c>
      <c r="E634" s="7">
        <v>135</v>
      </c>
      <c r="F634" s="7" t="s">
        <v>600</v>
      </c>
      <c r="G634" s="7" t="s">
        <v>317</v>
      </c>
      <c r="H634" s="7" t="s">
        <v>737</v>
      </c>
      <c r="K634" s="7" t="s">
        <v>394</v>
      </c>
      <c r="M634" s="7" t="s">
        <v>359</v>
      </c>
      <c r="N634" s="7" t="s">
        <v>380</v>
      </c>
      <c r="O634" s="7" t="s">
        <v>285</v>
      </c>
      <c r="P634" s="7" t="s">
        <v>349</v>
      </c>
      <c r="Q634" s="9" t="s">
        <v>520</v>
      </c>
      <c r="R634" s="7">
        <v>0</v>
      </c>
      <c r="S634" s="8">
        <v>0.93</v>
      </c>
      <c r="T634" s="8">
        <v>0</v>
      </c>
      <c r="U634" s="8">
        <v>0</v>
      </c>
      <c r="V634" s="8">
        <f>18.4/11.4</f>
        <v>1.6140350877192982</v>
      </c>
      <c r="W634" s="8"/>
    </row>
    <row r="635" spans="1:24" s="7" customFormat="1" x14ac:dyDescent="0.35">
      <c r="A635" s="7" t="s">
        <v>736</v>
      </c>
      <c r="B635" s="7" t="s">
        <v>522</v>
      </c>
      <c r="C635" s="7" t="s">
        <v>342</v>
      </c>
      <c r="D635" s="7">
        <v>2012</v>
      </c>
      <c r="E635" s="7">
        <v>135</v>
      </c>
      <c r="F635" s="7" t="s">
        <v>600</v>
      </c>
      <c r="G635" s="7" t="s">
        <v>317</v>
      </c>
      <c r="H635" s="7" t="s">
        <v>737</v>
      </c>
      <c r="K635" s="7" t="s">
        <v>394</v>
      </c>
      <c r="M635" s="7" t="s">
        <v>359</v>
      </c>
      <c r="N635" s="7" t="s">
        <v>380</v>
      </c>
      <c r="O635" s="7" t="s">
        <v>285</v>
      </c>
      <c r="P635" s="7" t="s">
        <v>349</v>
      </c>
      <c r="Q635" s="9" t="s">
        <v>520</v>
      </c>
      <c r="R635" s="7">
        <v>100</v>
      </c>
      <c r="S635" s="8">
        <v>1.06</v>
      </c>
      <c r="T635" s="8">
        <v>-18</v>
      </c>
      <c r="U635" s="8">
        <v>-34</v>
      </c>
      <c r="V635" s="8">
        <f>19.9/14.9</f>
        <v>1.3355704697986577</v>
      </c>
      <c r="W635" s="8"/>
    </row>
    <row r="636" spans="1:24" s="7" customFormat="1" x14ac:dyDescent="0.35">
      <c r="A636" s="7" t="s">
        <v>736</v>
      </c>
      <c r="B636" s="7" t="s">
        <v>522</v>
      </c>
      <c r="C636" s="7" t="s">
        <v>342</v>
      </c>
      <c r="D636" s="7">
        <v>2012</v>
      </c>
      <c r="E636" s="7">
        <v>135</v>
      </c>
      <c r="F636" s="7" t="s">
        <v>600</v>
      </c>
      <c r="G636" s="7" t="s">
        <v>317</v>
      </c>
      <c r="H636" s="7" t="s">
        <v>737</v>
      </c>
      <c r="K636" s="7" t="s">
        <v>394</v>
      </c>
      <c r="M636" s="7" t="s">
        <v>359</v>
      </c>
      <c r="N636" s="7" t="s">
        <v>380</v>
      </c>
      <c r="O636" s="7" t="s">
        <v>285</v>
      </c>
      <c r="P636" s="7" t="s">
        <v>349</v>
      </c>
      <c r="Q636" s="9" t="s">
        <v>520</v>
      </c>
      <c r="R636" s="7">
        <v>100</v>
      </c>
      <c r="S636" s="8">
        <v>0.89</v>
      </c>
      <c r="T636" s="8">
        <v>-12</v>
      </c>
      <c r="U636" s="8">
        <v>-17</v>
      </c>
      <c r="V636" s="8">
        <f>17.4/15.2</f>
        <v>1.1447368421052631</v>
      </c>
      <c r="W636" s="8"/>
    </row>
    <row r="637" spans="1:24" s="7" customFormat="1" x14ac:dyDescent="0.35">
      <c r="A637" s="7" t="s">
        <v>736</v>
      </c>
      <c r="B637" s="7" t="s">
        <v>522</v>
      </c>
      <c r="C637" s="7" t="s">
        <v>342</v>
      </c>
      <c r="D637" s="7">
        <v>2012</v>
      </c>
      <c r="E637" s="7">
        <v>135</v>
      </c>
      <c r="F637" s="7" t="s">
        <v>600</v>
      </c>
      <c r="G637" s="7" t="s">
        <v>317</v>
      </c>
      <c r="H637" s="7" t="s">
        <v>737</v>
      </c>
      <c r="K637" s="7" t="s">
        <v>394</v>
      </c>
      <c r="M637" s="7" t="s">
        <v>359</v>
      </c>
      <c r="N637" s="7" t="s">
        <v>380</v>
      </c>
      <c r="O637" s="7" t="s">
        <v>285</v>
      </c>
      <c r="P637" s="7" t="s">
        <v>349</v>
      </c>
      <c r="Q637" s="9" t="s">
        <v>520</v>
      </c>
      <c r="R637" s="7">
        <v>100</v>
      </c>
      <c r="S637" s="8">
        <v>0.83</v>
      </c>
      <c r="T637" s="8">
        <v>-6</v>
      </c>
      <c r="U637" s="8">
        <v>0</v>
      </c>
      <c r="V637" s="8">
        <f>17/14.7</f>
        <v>1.1564625850340136</v>
      </c>
      <c r="W637" s="8"/>
    </row>
    <row r="638" spans="1:24" x14ac:dyDescent="0.35">
      <c r="A638" t="s">
        <v>738</v>
      </c>
      <c r="B638" t="s">
        <v>508</v>
      </c>
      <c r="C638" t="s">
        <v>692</v>
      </c>
      <c r="D638">
        <v>2003</v>
      </c>
      <c r="E638">
        <v>136</v>
      </c>
      <c r="F638" t="s">
        <v>600</v>
      </c>
      <c r="G638" t="s">
        <v>829</v>
      </c>
      <c r="H638" t="s">
        <v>541</v>
      </c>
      <c r="K638" t="s">
        <v>394</v>
      </c>
      <c r="M638" t="s">
        <v>348</v>
      </c>
      <c r="N638" t="s">
        <v>417</v>
      </c>
      <c r="O638" t="s">
        <v>740</v>
      </c>
      <c r="P638" t="s">
        <v>739</v>
      </c>
      <c r="Q638" s="4" t="s">
        <v>229</v>
      </c>
      <c r="R638">
        <v>0</v>
      </c>
      <c r="S638" s="3">
        <v>3.48</v>
      </c>
      <c r="T638" s="3">
        <v>0</v>
      </c>
      <c r="U638" s="3">
        <v>0</v>
      </c>
      <c r="X638" t="s">
        <v>756</v>
      </c>
    </row>
    <row r="639" spans="1:24" x14ac:dyDescent="0.35">
      <c r="A639" t="s">
        <v>738</v>
      </c>
      <c r="B639" t="s">
        <v>508</v>
      </c>
      <c r="C639" t="s">
        <v>692</v>
      </c>
      <c r="D639">
        <v>2003</v>
      </c>
      <c r="E639">
        <v>136</v>
      </c>
      <c r="F639" t="s">
        <v>600</v>
      </c>
      <c r="G639" t="s">
        <v>829</v>
      </c>
      <c r="H639" t="s">
        <v>541</v>
      </c>
      <c r="K639" t="s">
        <v>394</v>
      </c>
      <c r="M639" t="s">
        <v>348</v>
      </c>
      <c r="N639" t="s">
        <v>417</v>
      </c>
      <c r="O639" t="s">
        <v>740</v>
      </c>
      <c r="P639" t="s">
        <v>739</v>
      </c>
      <c r="Q639" s="4" t="s">
        <v>229</v>
      </c>
      <c r="R639">
        <v>25</v>
      </c>
      <c r="S639" s="3">
        <v>2.34</v>
      </c>
      <c r="T639" s="3">
        <v>1.33</v>
      </c>
      <c r="U639" s="3">
        <v>-5</v>
      </c>
      <c r="X639" t="s">
        <v>756</v>
      </c>
    </row>
    <row r="640" spans="1:24" x14ac:dyDescent="0.35">
      <c r="A640" t="s">
        <v>738</v>
      </c>
      <c r="B640" t="s">
        <v>508</v>
      </c>
      <c r="C640" t="s">
        <v>692</v>
      </c>
      <c r="D640">
        <v>2003</v>
      </c>
      <c r="E640">
        <v>136</v>
      </c>
      <c r="F640" t="s">
        <v>600</v>
      </c>
      <c r="G640" t="s">
        <v>829</v>
      </c>
      <c r="H640" t="s">
        <v>541</v>
      </c>
      <c r="K640" t="s">
        <v>394</v>
      </c>
      <c r="M640" t="s">
        <v>348</v>
      </c>
      <c r="N640" t="s">
        <v>417</v>
      </c>
      <c r="O640" t="s">
        <v>740</v>
      </c>
      <c r="P640" t="s">
        <v>739</v>
      </c>
      <c r="Q640" s="4" t="s">
        <v>229</v>
      </c>
      <c r="R640">
        <v>50</v>
      </c>
      <c r="S640" s="3">
        <v>2.48</v>
      </c>
      <c r="T640" s="3">
        <v>2.65</v>
      </c>
      <c r="U640" s="3">
        <v>-11</v>
      </c>
      <c r="X640" t="s">
        <v>756</v>
      </c>
    </row>
    <row r="641" spans="1:24" x14ac:dyDescent="0.35">
      <c r="A641" t="s">
        <v>738</v>
      </c>
      <c r="B641" t="s">
        <v>508</v>
      </c>
      <c r="C641" t="s">
        <v>692</v>
      </c>
      <c r="D641">
        <v>2003</v>
      </c>
      <c r="E641">
        <v>136</v>
      </c>
      <c r="F641" t="s">
        <v>600</v>
      </c>
      <c r="G641" t="s">
        <v>829</v>
      </c>
      <c r="H641" t="s">
        <v>541</v>
      </c>
      <c r="K641" t="s">
        <v>394</v>
      </c>
      <c r="M641" t="s">
        <v>348</v>
      </c>
      <c r="N641" t="s">
        <v>417</v>
      </c>
      <c r="O641" t="s">
        <v>740</v>
      </c>
      <c r="P641" t="s">
        <v>739</v>
      </c>
      <c r="Q641" s="4" t="s">
        <v>229</v>
      </c>
      <c r="R641">
        <v>75</v>
      </c>
      <c r="S641" s="3">
        <v>3.41</v>
      </c>
      <c r="T641" s="3">
        <v>3.97</v>
      </c>
      <c r="U641" s="3">
        <v>-16</v>
      </c>
      <c r="X641" t="s">
        <v>756</v>
      </c>
    </row>
    <row r="642" spans="1:24" x14ac:dyDescent="0.35">
      <c r="A642" t="s">
        <v>738</v>
      </c>
      <c r="B642" t="s">
        <v>508</v>
      </c>
      <c r="C642" t="s">
        <v>692</v>
      </c>
      <c r="D642">
        <v>2003</v>
      </c>
      <c r="E642">
        <v>136</v>
      </c>
      <c r="F642" t="s">
        <v>600</v>
      </c>
      <c r="G642" t="s">
        <v>829</v>
      </c>
      <c r="H642" t="s">
        <v>541</v>
      </c>
      <c r="K642" t="s">
        <v>394</v>
      </c>
      <c r="M642" t="s">
        <v>348</v>
      </c>
      <c r="N642" t="s">
        <v>417</v>
      </c>
      <c r="O642" t="s">
        <v>740</v>
      </c>
      <c r="P642" t="s">
        <v>739</v>
      </c>
      <c r="Q642" s="4" t="s">
        <v>229</v>
      </c>
      <c r="R642">
        <v>100</v>
      </c>
      <c r="S642" s="3">
        <v>3.95</v>
      </c>
      <c r="T642" s="3">
        <v>5.29</v>
      </c>
      <c r="U642" s="3">
        <v>-21</v>
      </c>
      <c r="X642" t="s">
        <v>756</v>
      </c>
    </row>
    <row r="643" spans="1:24" x14ac:dyDescent="0.35">
      <c r="A643" t="s">
        <v>742</v>
      </c>
      <c r="B643" t="s">
        <v>743</v>
      </c>
      <c r="C643" t="s">
        <v>533</v>
      </c>
      <c r="D643">
        <v>2013</v>
      </c>
      <c r="E643">
        <v>137</v>
      </c>
      <c r="F643" t="s">
        <v>600</v>
      </c>
      <c r="G643" t="s">
        <v>829</v>
      </c>
      <c r="H643" t="s">
        <v>541</v>
      </c>
      <c r="K643" t="s">
        <v>394</v>
      </c>
      <c r="M643" t="s">
        <v>348</v>
      </c>
      <c r="N643" t="s">
        <v>538</v>
      </c>
      <c r="O643" t="s">
        <v>744</v>
      </c>
      <c r="P643" t="s">
        <v>741</v>
      </c>
      <c r="Q643" s="4" t="s">
        <v>230</v>
      </c>
      <c r="R643">
        <v>0</v>
      </c>
      <c r="S643" s="3">
        <v>1.25</v>
      </c>
      <c r="T643" s="3">
        <v>0</v>
      </c>
      <c r="U643" s="3">
        <v>0</v>
      </c>
      <c r="X643" t="s">
        <v>756</v>
      </c>
    </row>
    <row r="644" spans="1:24" x14ac:dyDescent="0.35">
      <c r="A644" t="s">
        <v>742</v>
      </c>
      <c r="B644" t="s">
        <v>743</v>
      </c>
      <c r="C644" t="s">
        <v>533</v>
      </c>
      <c r="D644">
        <v>2013</v>
      </c>
      <c r="E644">
        <v>137</v>
      </c>
      <c r="F644" t="s">
        <v>600</v>
      </c>
      <c r="G644" t="s">
        <v>829</v>
      </c>
      <c r="H644" t="s">
        <v>541</v>
      </c>
      <c r="K644" t="s">
        <v>394</v>
      </c>
      <c r="M644" t="s">
        <v>348</v>
      </c>
      <c r="N644" t="s">
        <v>538</v>
      </c>
      <c r="O644" t="s">
        <v>744</v>
      </c>
      <c r="P644" t="s">
        <v>741</v>
      </c>
      <c r="Q644" s="4" t="s">
        <v>230</v>
      </c>
      <c r="R644">
        <v>24</v>
      </c>
      <c r="S644" s="3">
        <v>1.22</v>
      </c>
      <c r="T644" s="3">
        <v>1.3</v>
      </c>
      <c r="U644" s="3">
        <v>-42</v>
      </c>
      <c r="X644" t="s">
        <v>756</v>
      </c>
    </row>
    <row r="645" spans="1:24" x14ac:dyDescent="0.35">
      <c r="A645" t="s">
        <v>742</v>
      </c>
      <c r="B645" t="s">
        <v>743</v>
      </c>
      <c r="C645" t="s">
        <v>533</v>
      </c>
      <c r="D645">
        <v>2013</v>
      </c>
      <c r="E645">
        <v>137</v>
      </c>
      <c r="F645" t="s">
        <v>600</v>
      </c>
      <c r="G645" t="s">
        <v>829</v>
      </c>
      <c r="H645" t="s">
        <v>541</v>
      </c>
      <c r="K645" t="s">
        <v>394</v>
      </c>
      <c r="M645" t="s">
        <v>348</v>
      </c>
      <c r="N645" t="s">
        <v>538</v>
      </c>
      <c r="O645" t="s">
        <v>744</v>
      </c>
      <c r="P645" t="s">
        <v>741</v>
      </c>
      <c r="Q645" s="4" t="s">
        <v>230</v>
      </c>
      <c r="R645">
        <v>34</v>
      </c>
      <c r="S645" s="3">
        <v>1.31</v>
      </c>
      <c r="T645" s="3">
        <v>1.8</v>
      </c>
      <c r="U645" s="3">
        <v>-75</v>
      </c>
      <c r="X645" t="s">
        <v>756</v>
      </c>
    </row>
    <row r="646" spans="1:24" x14ac:dyDescent="0.35">
      <c r="A646" t="s">
        <v>742</v>
      </c>
      <c r="B646" t="s">
        <v>743</v>
      </c>
      <c r="C646" t="s">
        <v>533</v>
      </c>
      <c r="D646">
        <v>2013</v>
      </c>
      <c r="E646">
        <v>137</v>
      </c>
      <c r="F646" t="s">
        <v>600</v>
      </c>
      <c r="G646" t="s">
        <v>829</v>
      </c>
      <c r="H646" t="s">
        <v>541</v>
      </c>
      <c r="K646" t="s">
        <v>394</v>
      </c>
      <c r="M646" t="s">
        <v>348</v>
      </c>
      <c r="N646" t="s">
        <v>538</v>
      </c>
      <c r="O646" t="s">
        <v>744</v>
      </c>
      <c r="P646" t="s">
        <v>741</v>
      </c>
      <c r="Q646" s="4" t="s">
        <v>230</v>
      </c>
      <c r="R646">
        <v>44</v>
      </c>
      <c r="S646" s="3">
        <v>1.36</v>
      </c>
      <c r="T646" s="3">
        <v>2.1</v>
      </c>
      <c r="U646" s="3">
        <v>-75</v>
      </c>
      <c r="X646" t="s">
        <v>756</v>
      </c>
    </row>
    <row r="647" spans="1:24" x14ac:dyDescent="0.35">
      <c r="A647" t="s">
        <v>742</v>
      </c>
      <c r="B647" t="s">
        <v>743</v>
      </c>
      <c r="C647" t="s">
        <v>533</v>
      </c>
      <c r="D647">
        <v>2013</v>
      </c>
      <c r="E647">
        <v>137</v>
      </c>
      <c r="F647" t="s">
        <v>600</v>
      </c>
      <c r="G647" t="s">
        <v>829</v>
      </c>
      <c r="H647" t="s">
        <v>541</v>
      </c>
      <c r="K647" t="s">
        <v>394</v>
      </c>
      <c r="M647" t="s">
        <v>348</v>
      </c>
      <c r="N647" t="s">
        <v>538</v>
      </c>
      <c r="O647" t="s">
        <v>744</v>
      </c>
      <c r="P647" t="s">
        <v>741</v>
      </c>
      <c r="Q647" s="4" t="s">
        <v>230</v>
      </c>
      <c r="R647">
        <v>55</v>
      </c>
      <c r="S647" s="3">
        <v>1.56</v>
      </c>
      <c r="T647" s="3">
        <v>2.8</v>
      </c>
      <c r="U647" s="3">
        <v>-83</v>
      </c>
      <c r="X647" t="s">
        <v>756</v>
      </c>
    </row>
    <row r="648" spans="1:24" x14ac:dyDescent="0.35">
      <c r="A648" t="s">
        <v>747</v>
      </c>
      <c r="B648" t="s">
        <v>473</v>
      </c>
      <c r="C648" t="s">
        <v>370</v>
      </c>
      <c r="D648">
        <v>2005</v>
      </c>
      <c r="E648">
        <v>138</v>
      </c>
      <c r="F648" t="s">
        <v>600</v>
      </c>
      <c r="G648" t="s">
        <v>829</v>
      </c>
      <c r="H648" t="s">
        <v>541</v>
      </c>
      <c r="K648" t="s">
        <v>394</v>
      </c>
      <c r="M648" t="s">
        <v>348</v>
      </c>
      <c r="N648" t="s">
        <v>31</v>
      </c>
      <c r="O648" t="s">
        <v>746</v>
      </c>
      <c r="P648" t="s">
        <v>745</v>
      </c>
      <c r="Q648" s="4" t="s">
        <v>520</v>
      </c>
      <c r="R648">
        <v>0</v>
      </c>
      <c r="S648" s="3">
        <v>2.4</v>
      </c>
      <c r="T648" s="3">
        <v>0</v>
      </c>
      <c r="U648" s="3">
        <v>0</v>
      </c>
      <c r="X648" t="s">
        <v>756</v>
      </c>
    </row>
    <row r="649" spans="1:24" x14ac:dyDescent="0.35">
      <c r="A649" t="s">
        <v>747</v>
      </c>
      <c r="B649" t="s">
        <v>473</v>
      </c>
      <c r="C649" t="s">
        <v>370</v>
      </c>
      <c r="D649">
        <v>2005</v>
      </c>
      <c r="E649">
        <v>138</v>
      </c>
      <c r="F649" t="s">
        <v>600</v>
      </c>
      <c r="G649" t="s">
        <v>829</v>
      </c>
      <c r="H649" t="s">
        <v>541</v>
      </c>
      <c r="K649" t="s">
        <v>394</v>
      </c>
      <c r="M649" t="s">
        <v>348</v>
      </c>
      <c r="N649" t="s">
        <v>31</v>
      </c>
      <c r="O649" t="s">
        <v>746</v>
      </c>
      <c r="P649" t="s">
        <v>745</v>
      </c>
      <c r="Q649" s="4" t="s">
        <v>520</v>
      </c>
      <c r="R649">
        <v>13</v>
      </c>
      <c r="S649" s="3">
        <v>2.2999999999999998</v>
      </c>
      <c r="T649" s="3">
        <v>1.1000000000000001</v>
      </c>
      <c r="U649" s="3">
        <v>-10</v>
      </c>
      <c r="X649" t="s">
        <v>756</v>
      </c>
    </row>
    <row r="650" spans="1:24" x14ac:dyDescent="0.35">
      <c r="A650" t="s">
        <v>747</v>
      </c>
      <c r="B650" t="s">
        <v>473</v>
      </c>
      <c r="C650" t="s">
        <v>370</v>
      </c>
      <c r="D650">
        <v>2005</v>
      </c>
      <c r="E650">
        <v>138</v>
      </c>
      <c r="F650" t="s">
        <v>600</v>
      </c>
      <c r="G650" t="s">
        <v>829</v>
      </c>
      <c r="H650" t="s">
        <v>541</v>
      </c>
      <c r="K650" t="s">
        <v>394</v>
      </c>
      <c r="M650" t="s">
        <v>348</v>
      </c>
      <c r="N650" t="s">
        <v>31</v>
      </c>
      <c r="O650" t="s">
        <v>746</v>
      </c>
      <c r="P650" t="s">
        <v>745</v>
      </c>
      <c r="Q650" s="4" t="s">
        <v>520</v>
      </c>
      <c r="R650">
        <v>26</v>
      </c>
      <c r="S650" s="3">
        <v>2.4</v>
      </c>
      <c r="T650" s="3">
        <v>2.2000000000000002</v>
      </c>
      <c r="U650" s="3">
        <v>-20</v>
      </c>
      <c r="X650" t="s">
        <v>756</v>
      </c>
    </row>
    <row r="651" spans="1:24" x14ac:dyDescent="0.35">
      <c r="A651" t="s">
        <v>747</v>
      </c>
      <c r="B651" t="s">
        <v>473</v>
      </c>
      <c r="C651" t="s">
        <v>370</v>
      </c>
      <c r="D651">
        <v>2005</v>
      </c>
      <c r="E651">
        <v>138</v>
      </c>
      <c r="F651" t="s">
        <v>600</v>
      </c>
      <c r="G651" t="s">
        <v>829</v>
      </c>
      <c r="H651" t="s">
        <v>541</v>
      </c>
      <c r="K651" t="s">
        <v>394</v>
      </c>
      <c r="M651" t="s">
        <v>348</v>
      </c>
      <c r="N651" t="s">
        <v>31</v>
      </c>
      <c r="O651" t="s">
        <v>746</v>
      </c>
      <c r="P651" t="s">
        <v>745</v>
      </c>
      <c r="Q651" s="4" t="s">
        <v>520</v>
      </c>
      <c r="R651">
        <v>39</v>
      </c>
      <c r="S651" s="3">
        <v>2.5</v>
      </c>
      <c r="T651" s="3">
        <v>3.3</v>
      </c>
      <c r="U651" s="3">
        <v>-30</v>
      </c>
      <c r="X651" t="s">
        <v>756</v>
      </c>
    </row>
    <row r="652" spans="1:24" x14ac:dyDescent="0.35">
      <c r="A652" t="s">
        <v>747</v>
      </c>
      <c r="B652" t="s">
        <v>473</v>
      </c>
      <c r="C652" t="s">
        <v>370</v>
      </c>
      <c r="D652">
        <v>2005</v>
      </c>
      <c r="E652">
        <v>138</v>
      </c>
      <c r="F652" t="s">
        <v>600</v>
      </c>
      <c r="G652" t="s">
        <v>829</v>
      </c>
      <c r="H652" t="s">
        <v>541</v>
      </c>
      <c r="K652" t="s">
        <v>394</v>
      </c>
      <c r="M652" t="s">
        <v>348</v>
      </c>
      <c r="N652" t="s">
        <v>31</v>
      </c>
      <c r="O652" t="s">
        <v>746</v>
      </c>
      <c r="P652" t="s">
        <v>745</v>
      </c>
      <c r="Q652" s="4" t="s">
        <v>520</v>
      </c>
      <c r="R652">
        <v>52</v>
      </c>
      <c r="S652" s="3">
        <v>2.8</v>
      </c>
      <c r="T652" s="3">
        <v>4.4000000000000004</v>
      </c>
      <c r="U652" s="3">
        <v>-45</v>
      </c>
      <c r="X652" t="s">
        <v>756</v>
      </c>
    </row>
    <row r="653" spans="1:24" x14ac:dyDescent="0.35">
      <c r="A653" t="s">
        <v>747</v>
      </c>
      <c r="B653" t="s">
        <v>473</v>
      </c>
      <c r="C653" t="s">
        <v>370</v>
      </c>
      <c r="D653">
        <v>2005</v>
      </c>
      <c r="E653">
        <v>138</v>
      </c>
      <c r="F653" t="s">
        <v>600</v>
      </c>
      <c r="G653" t="s">
        <v>829</v>
      </c>
      <c r="H653" t="s">
        <v>541</v>
      </c>
      <c r="K653" t="s">
        <v>394</v>
      </c>
      <c r="M653" t="s">
        <v>348</v>
      </c>
      <c r="N653" t="s">
        <v>31</v>
      </c>
      <c r="O653" t="s">
        <v>746</v>
      </c>
      <c r="P653" t="s">
        <v>745</v>
      </c>
      <c r="Q653" s="4" t="s">
        <v>520</v>
      </c>
      <c r="R653">
        <v>65</v>
      </c>
      <c r="S653" s="3">
        <v>2.9</v>
      </c>
      <c r="T653" s="3">
        <v>5.6</v>
      </c>
      <c r="U653" s="3">
        <v>-55</v>
      </c>
      <c r="X653" t="s">
        <v>756</v>
      </c>
    </row>
    <row r="654" spans="1:24" x14ac:dyDescent="0.35">
      <c r="A654" t="s">
        <v>747</v>
      </c>
      <c r="B654" t="s">
        <v>473</v>
      </c>
      <c r="C654" t="s">
        <v>370</v>
      </c>
      <c r="D654">
        <v>2005</v>
      </c>
      <c r="E654">
        <v>138</v>
      </c>
      <c r="F654" t="s">
        <v>600</v>
      </c>
      <c r="G654" t="s">
        <v>829</v>
      </c>
      <c r="H654" t="s">
        <v>541</v>
      </c>
      <c r="K654" t="s">
        <v>394</v>
      </c>
      <c r="M654" t="s">
        <v>348</v>
      </c>
      <c r="N654" t="s">
        <v>31</v>
      </c>
      <c r="O654" t="s">
        <v>746</v>
      </c>
      <c r="P654" t="s">
        <v>745</v>
      </c>
      <c r="Q654" s="4" t="s">
        <v>520</v>
      </c>
      <c r="R654">
        <v>0</v>
      </c>
      <c r="S654" s="3">
        <v>2.2999999999999998</v>
      </c>
      <c r="T654" s="3">
        <v>0</v>
      </c>
      <c r="U654" s="3">
        <v>0</v>
      </c>
      <c r="X654" t="s">
        <v>756</v>
      </c>
    </row>
    <row r="655" spans="1:24" x14ac:dyDescent="0.35">
      <c r="A655" t="s">
        <v>747</v>
      </c>
      <c r="B655" t="s">
        <v>473</v>
      </c>
      <c r="C655" t="s">
        <v>370</v>
      </c>
      <c r="D655">
        <v>2005</v>
      </c>
      <c r="E655">
        <v>138</v>
      </c>
      <c r="F655" t="s">
        <v>600</v>
      </c>
      <c r="G655" t="s">
        <v>829</v>
      </c>
      <c r="H655" t="s">
        <v>541</v>
      </c>
      <c r="K655" t="s">
        <v>394</v>
      </c>
      <c r="M655" t="s">
        <v>348</v>
      </c>
      <c r="N655" t="s">
        <v>31</v>
      </c>
      <c r="O655" t="s">
        <v>746</v>
      </c>
      <c r="P655" t="s">
        <v>745</v>
      </c>
      <c r="Q655" s="4" t="s">
        <v>520</v>
      </c>
      <c r="R655">
        <v>39</v>
      </c>
      <c r="S655" s="3">
        <v>2.4</v>
      </c>
      <c r="T655" s="3">
        <v>3.3</v>
      </c>
      <c r="U655" s="3">
        <v>-30</v>
      </c>
      <c r="X655" t="s">
        <v>756</v>
      </c>
    </row>
    <row r="656" spans="1:24" x14ac:dyDescent="0.35">
      <c r="A656" t="s">
        <v>747</v>
      </c>
      <c r="B656" t="s">
        <v>473</v>
      </c>
      <c r="C656" t="s">
        <v>370</v>
      </c>
      <c r="D656">
        <v>2005</v>
      </c>
      <c r="E656">
        <v>138</v>
      </c>
      <c r="F656" t="s">
        <v>600</v>
      </c>
      <c r="G656" t="s">
        <v>829</v>
      </c>
      <c r="H656" t="s">
        <v>541</v>
      </c>
      <c r="K656" t="s">
        <v>378</v>
      </c>
      <c r="L656" t="s">
        <v>377</v>
      </c>
      <c r="M656" t="s">
        <v>348</v>
      </c>
      <c r="N656" t="s">
        <v>31</v>
      </c>
      <c r="O656" t="s">
        <v>746</v>
      </c>
      <c r="P656" t="s">
        <v>745</v>
      </c>
      <c r="Q656" s="4" t="s">
        <v>520</v>
      </c>
      <c r="R656">
        <v>39</v>
      </c>
      <c r="S656" s="3">
        <v>2.2999999999999998</v>
      </c>
      <c r="T656" s="3">
        <v>3.3</v>
      </c>
      <c r="U656" s="3">
        <v>-30</v>
      </c>
      <c r="X656" t="s">
        <v>756</v>
      </c>
    </row>
    <row r="657" spans="1:24" x14ac:dyDescent="0.35">
      <c r="A657" t="s">
        <v>747</v>
      </c>
      <c r="B657" t="s">
        <v>473</v>
      </c>
      <c r="C657" t="s">
        <v>370</v>
      </c>
      <c r="D657">
        <v>2005</v>
      </c>
      <c r="E657">
        <v>138</v>
      </c>
      <c r="F657" t="s">
        <v>600</v>
      </c>
      <c r="G657" t="s">
        <v>829</v>
      </c>
      <c r="H657" t="s">
        <v>541</v>
      </c>
      <c r="K657" t="s">
        <v>378</v>
      </c>
      <c r="L657" t="s">
        <v>377</v>
      </c>
      <c r="M657" t="s">
        <v>348</v>
      </c>
      <c r="N657" t="s">
        <v>31</v>
      </c>
      <c r="O657" t="s">
        <v>746</v>
      </c>
      <c r="P657" t="s">
        <v>745</v>
      </c>
      <c r="Q657" s="4" t="s">
        <v>520</v>
      </c>
      <c r="R657">
        <v>39</v>
      </c>
      <c r="S657" s="3">
        <v>2.2999999999999998</v>
      </c>
      <c r="T657" s="3">
        <v>3.3</v>
      </c>
      <c r="U657" s="3">
        <v>-30</v>
      </c>
      <c r="X657" t="s">
        <v>756</v>
      </c>
    </row>
    <row r="658" spans="1:24" x14ac:dyDescent="0.35">
      <c r="A658" t="s">
        <v>747</v>
      </c>
      <c r="B658" t="s">
        <v>473</v>
      </c>
      <c r="C658" t="s">
        <v>370</v>
      </c>
      <c r="D658">
        <v>2005</v>
      </c>
      <c r="E658">
        <v>138</v>
      </c>
      <c r="F658" t="s">
        <v>600</v>
      </c>
      <c r="G658" t="s">
        <v>829</v>
      </c>
      <c r="H658" t="s">
        <v>541</v>
      </c>
      <c r="K658" t="s">
        <v>394</v>
      </c>
      <c r="M658" t="s">
        <v>348</v>
      </c>
      <c r="N658" t="s">
        <v>31</v>
      </c>
      <c r="O658" t="s">
        <v>746</v>
      </c>
      <c r="P658" t="s">
        <v>745</v>
      </c>
      <c r="Q658" s="4" t="s">
        <v>520</v>
      </c>
      <c r="R658">
        <v>52</v>
      </c>
      <c r="S658" s="3">
        <v>2.6</v>
      </c>
      <c r="T658" s="3">
        <v>3.8</v>
      </c>
      <c r="U658" s="3">
        <v>-45</v>
      </c>
      <c r="X658" t="s">
        <v>756</v>
      </c>
    </row>
    <row r="659" spans="1:24" x14ac:dyDescent="0.35">
      <c r="A659" t="s">
        <v>747</v>
      </c>
      <c r="B659" t="s">
        <v>473</v>
      </c>
      <c r="C659" t="s">
        <v>370</v>
      </c>
      <c r="D659">
        <v>2005</v>
      </c>
      <c r="E659">
        <v>138</v>
      </c>
      <c r="F659" t="s">
        <v>600</v>
      </c>
      <c r="G659" t="s">
        <v>829</v>
      </c>
      <c r="H659" t="s">
        <v>541</v>
      </c>
      <c r="K659" t="s">
        <v>378</v>
      </c>
      <c r="L659" t="s">
        <v>377</v>
      </c>
      <c r="M659" t="s">
        <v>348</v>
      </c>
      <c r="N659" t="s">
        <v>31</v>
      </c>
      <c r="O659" t="s">
        <v>746</v>
      </c>
      <c r="P659" t="s">
        <v>745</v>
      </c>
      <c r="Q659" s="4" t="s">
        <v>520</v>
      </c>
      <c r="R659">
        <v>52</v>
      </c>
      <c r="S659" s="3">
        <v>2.4</v>
      </c>
      <c r="T659" s="3">
        <v>4.8</v>
      </c>
      <c r="U659" s="3">
        <v>-45</v>
      </c>
      <c r="X659" t="s">
        <v>756</v>
      </c>
    </row>
    <row r="660" spans="1:24" x14ac:dyDescent="0.35">
      <c r="A660" t="s">
        <v>747</v>
      </c>
      <c r="B660" t="s">
        <v>473</v>
      </c>
      <c r="C660" t="s">
        <v>370</v>
      </c>
      <c r="D660">
        <v>2005</v>
      </c>
      <c r="E660">
        <v>138</v>
      </c>
      <c r="F660" t="s">
        <v>600</v>
      </c>
      <c r="G660" t="s">
        <v>829</v>
      </c>
      <c r="H660" t="s">
        <v>541</v>
      </c>
      <c r="K660" t="s">
        <v>378</v>
      </c>
      <c r="L660" t="s">
        <v>377</v>
      </c>
      <c r="M660" t="s">
        <v>348</v>
      </c>
      <c r="N660" t="s">
        <v>31</v>
      </c>
      <c r="O660" t="s">
        <v>746</v>
      </c>
      <c r="P660" t="s">
        <v>745</v>
      </c>
      <c r="Q660" s="4" t="s">
        <v>520</v>
      </c>
      <c r="R660">
        <v>52</v>
      </c>
      <c r="S660" s="3">
        <v>2.4</v>
      </c>
      <c r="T660" s="3">
        <v>4.8</v>
      </c>
      <c r="U660" s="3">
        <v>-45</v>
      </c>
      <c r="X660" t="s">
        <v>756</v>
      </c>
    </row>
    <row r="661" spans="1:24" x14ac:dyDescent="0.35">
      <c r="A661" t="s">
        <v>750</v>
      </c>
      <c r="B661" t="s">
        <v>384</v>
      </c>
      <c r="C661" t="s">
        <v>385</v>
      </c>
      <c r="D661">
        <v>2011</v>
      </c>
      <c r="E661">
        <v>139</v>
      </c>
      <c r="F661" t="s">
        <v>600</v>
      </c>
      <c r="G661" t="s">
        <v>829</v>
      </c>
      <c r="H661" t="s">
        <v>541</v>
      </c>
      <c r="K661" t="s">
        <v>394</v>
      </c>
      <c r="M661" t="s">
        <v>348</v>
      </c>
      <c r="N661" t="s">
        <v>538</v>
      </c>
      <c r="O661" t="s">
        <v>749</v>
      </c>
      <c r="P661" t="s">
        <v>748</v>
      </c>
      <c r="Q661" s="4" t="s">
        <v>230</v>
      </c>
      <c r="R661">
        <v>0</v>
      </c>
      <c r="S661" s="3">
        <v>0.77</v>
      </c>
      <c r="T661" s="3">
        <v>0</v>
      </c>
      <c r="U661" s="3">
        <v>0</v>
      </c>
      <c r="X661" t="s">
        <v>756</v>
      </c>
    </row>
    <row r="662" spans="1:24" x14ac:dyDescent="0.35">
      <c r="A662" t="s">
        <v>750</v>
      </c>
      <c r="B662" t="s">
        <v>384</v>
      </c>
      <c r="C662" t="s">
        <v>385</v>
      </c>
      <c r="D662">
        <v>2011</v>
      </c>
      <c r="E662">
        <v>139</v>
      </c>
      <c r="F662" t="s">
        <v>600</v>
      </c>
      <c r="G662" t="s">
        <v>829</v>
      </c>
      <c r="H662" t="s">
        <v>541</v>
      </c>
      <c r="K662" t="s">
        <v>394</v>
      </c>
      <c r="M662" t="s">
        <v>348</v>
      </c>
      <c r="N662" t="s">
        <v>538</v>
      </c>
      <c r="O662" t="s">
        <v>749</v>
      </c>
      <c r="P662" t="s">
        <v>748</v>
      </c>
      <c r="Q662" s="4" t="s">
        <v>230</v>
      </c>
      <c r="R662">
        <v>10</v>
      </c>
      <c r="S662" s="3">
        <v>0.79</v>
      </c>
      <c r="T662" s="3">
        <v>0.5</v>
      </c>
      <c r="U662" s="3">
        <v>-11</v>
      </c>
      <c r="X662" t="s">
        <v>756</v>
      </c>
    </row>
    <row r="663" spans="1:24" x14ac:dyDescent="0.35">
      <c r="A663" t="s">
        <v>750</v>
      </c>
      <c r="B663" t="s">
        <v>384</v>
      </c>
      <c r="C663" t="s">
        <v>385</v>
      </c>
      <c r="D663">
        <v>2011</v>
      </c>
      <c r="E663">
        <v>139</v>
      </c>
      <c r="F663" t="s">
        <v>600</v>
      </c>
      <c r="G663" t="s">
        <v>829</v>
      </c>
      <c r="H663" t="s">
        <v>541</v>
      </c>
      <c r="K663" t="s">
        <v>394</v>
      </c>
      <c r="M663" t="s">
        <v>348</v>
      </c>
      <c r="N663" t="s">
        <v>538</v>
      </c>
      <c r="O663" t="s">
        <v>749</v>
      </c>
      <c r="P663" t="s">
        <v>748</v>
      </c>
      <c r="Q663" s="4" t="s">
        <v>230</v>
      </c>
      <c r="R663">
        <v>20</v>
      </c>
      <c r="S663" s="3">
        <v>0.85</v>
      </c>
      <c r="T663" s="3">
        <v>1</v>
      </c>
      <c r="U663" s="3">
        <v>-22</v>
      </c>
      <c r="X663" t="s">
        <v>756</v>
      </c>
    </row>
    <row r="664" spans="1:24" x14ac:dyDescent="0.35">
      <c r="A664" t="s">
        <v>750</v>
      </c>
      <c r="B664" t="s">
        <v>384</v>
      </c>
      <c r="C664" t="s">
        <v>385</v>
      </c>
      <c r="D664">
        <v>2011</v>
      </c>
      <c r="E664">
        <v>139</v>
      </c>
      <c r="F664" t="s">
        <v>600</v>
      </c>
      <c r="G664" t="s">
        <v>829</v>
      </c>
      <c r="H664" t="s">
        <v>541</v>
      </c>
      <c r="K664" t="s">
        <v>394</v>
      </c>
      <c r="M664" t="s">
        <v>348</v>
      </c>
      <c r="N664" t="s">
        <v>538</v>
      </c>
      <c r="O664" t="s">
        <v>749</v>
      </c>
      <c r="P664" t="s">
        <v>748</v>
      </c>
      <c r="Q664" s="4" t="s">
        <v>230</v>
      </c>
      <c r="R664">
        <v>30</v>
      </c>
      <c r="S664" s="3">
        <v>0.87</v>
      </c>
      <c r="T664" s="3">
        <v>1.5</v>
      </c>
      <c r="U664" s="3">
        <v>-32</v>
      </c>
      <c r="X664" t="s">
        <v>756</v>
      </c>
    </row>
    <row r="665" spans="1:24" x14ac:dyDescent="0.35">
      <c r="A665" t="s">
        <v>750</v>
      </c>
      <c r="B665" t="s">
        <v>384</v>
      </c>
      <c r="C665" t="s">
        <v>385</v>
      </c>
      <c r="D665">
        <v>2011</v>
      </c>
      <c r="E665">
        <v>139</v>
      </c>
      <c r="F665" t="s">
        <v>600</v>
      </c>
      <c r="G665" t="s">
        <v>829</v>
      </c>
      <c r="H665" t="s">
        <v>541</v>
      </c>
      <c r="K665" t="s">
        <v>394</v>
      </c>
      <c r="M665" t="s">
        <v>348</v>
      </c>
      <c r="N665" t="s">
        <v>538</v>
      </c>
      <c r="O665" t="s">
        <v>749</v>
      </c>
      <c r="P665" t="s">
        <v>748</v>
      </c>
      <c r="Q665" s="4" t="s">
        <v>230</v>
      </c>
      <c r="R665">
        <v>40</v>
      </c>
      <c r="S665" s="3">
        <v>0.85</v>
      </c>
      <c r="T665" s="3">
        <v>2</v>
      </c>
      <c r="U665" s="3">
        <v>-33</v>
      </c>
      <c r="X665" t="s">
        <v>756</v>
      </c>
    </row>
    <row r="666" spans="1:24" x14ac:dyDescent="0.35">
      <c r="A666" t="s">
        <v>750</v>
      </c>
      <c r="B666" t="s">
        <v>384</v>
      </c>
      <c r="C666" t="s">
        <v>385</v>
      </c>
      <c r="D666">
        <v>2011</v>
      </c>
      <c r="E666">
        <v>139</v>
      </c>
      <c r="F666" t="s">
        <v>600</v>
      </c>
      <c r="G666" t="s">
        <v>829</v>
      </c>
      <c r="H666" t="s">
        <v>541</v>
      </c>
      <c r="K666" t="s">
        <v>394</v>
      </c>
      <c r="M666" t="s">
        <v>348</v>
      </c>
      <c r="N666" t="s">
        <v>538</v>
      </c>
      <c r="O666" t="s">
        <v>749</v>
      </c>
      <c r="P666" t="s">
        <v>748</v>
      </c>
      <c r="Q666" s="4" t="s">
        <v>230</v>
      </c>
      <c r="R666">
        <v>50</v>
      </c>
      <c r="S666" s="3">
        <v>0.95</v>
      </c>
      <c r="T666" s="3">
        <v>2.5</v>
      </c>
      <c r="U666" s="3">
        <v>-34</v>
      </c>
      <c r="X666" t="s">
        <v>756</v>
      </c>
    </row>
    <row r="667" spans="1:24" x14ac:dyDescent="0.35">
      <c r="A667" t="s">
        <v>750</v>
      </c>
      <c r="B667" t="s">
        <v>384</v>
      </c>
      <c r="C667" t="s">
        <v>385</v>
      </c>
      <c r="D667">
        <v>2011</v>
      </c>
      <c r="E667">
        <v>139</v>
      </c>
      <c r="F667" t="s">
        <v>600</v>
      </c>
      <c r="G667" t="s">
        <v>829</v>
      </c>
      <c r="H667" t="s">
        <v>541</v>
      </c>
      <c r="K667" t="s">
        <v>394</v>
      </c>
      <c r="M667" t="s">
        <v>348</v>
      </c>
      <c r="N667" t="s">
        <v>538</v>
      </c>
      <c r="O667" t="s">
        <v>749</v>
      </c>
      <c r="P667" t="s">
        <v>748</v>
      </c>
      <c r="Q667" s="4" t="s">
        <v>230</v>
      </c>
      <c r="R667">
        <v>60</v>
      </c>
      <c r="S667" s="3">
        <v>1.2</v>
      </c>
      <c r="T667" s="3">
        <v>3</v>
      </c>
      <c r="U667" s="3">
        <v>-35</v>
      </c>
      <c r="X667" t="s">
        <v>756</v>
      </c>
    </row>
    <row r="668" spans="1:24" x14ac:dyDescent="0.35">
      <c r="A668" t="s">
        <v>750</v>
      </c>
      <c r="B668" t="s">
        <v>384</v>
      </c>
      <c r="C668" t="s">
        <v>385</v>
      </c>
      <c r="D668">
        <v>2011</v>
      </c>
      <c r="E668">
        <v>139</v>
      </c>
      <c r="F668" t="s">
        <v>600</v>
      </c>
      <c r="G668" t="s">
        <v>829</v>
      </c>
      <c r="H668" t="s">
        <v>541</v>
      </c>
      <c r="K668" t="s">
        <v>378</v>
      </c>
      <c r="L668" t="s">
        <v>574</v>
      </c>
      <c r="M668" t="s">
        <v>348</v>
      </c>
      <c r="N668" t="s">
        <v>538</v>
      </c>
      <c r="O668" t="s">
        <v>749</v>
      </c>
      <c r="P668" t="s">
        <v>748</v>
      </c>
      <c r="Q668" s="4" t="s">
        <v>230</v>
      </c>
      <c r="R668">
        <v>0</v>
      </c>
      <c r="S668" s="3">
        <v>0.91</v>
      </c>
      <c r="T668" s="3">
        <v>0</v>
      </c>
      <c r="U668" s="3">
        <v>0</v>
      </c>
      <c r="X668" t="s">
        <v>756</v>
      </c>
    </row>
    <row r="669" spans="1:24" x14ac:dyDescent="0.35">
      <c r="A669" t="s">
        <v>750</v>
      </c>
      <c r="B669" t="s">
        <v>384</v>
      </c>
      <c r="C669" t="s">
        <v>385</v>
      </c>
      <c r="D669">
        <v>2011</v>
      </c>
      <c r="E669">
        <v>139</v>
      </c>
      <c r="F669" t="s">
        <v>600</v>
      </c>
      <c r="G669" t="s">
        <v>829</v>
      </c>
      <c r="H669" t="s">
        <v>541</v>
      </c>
      <c r="K669" t="s">
        <v>378</v>
      </c>
      <c r="L669" t="s">
        <v>574</v>
      </c>
      <c r="M669" t="s">
        <v>348</v>
      </c>
      <c r="N669" t="s">
        <v>538</v>
      </c>
      <c r="O669" t="s">
        <v>749</v>
      </c>
      <c r="P669" t="s">
        <v>748</v>
      </c>
      <c r="Q669" s="4" t="s">
        <v>230</v>
      </c>
      <c r="R669">
        <v>10</v>
      </c>
      <c r="S669" s="3">
        <v>0.93</v>
      </c>
      <c r="T669" s="3">
        <v>0.5</v>
      </c>
      <c r="U669" s="3">
        <v>-11</v>
      </c>
      <c r="X669" t="s">
        <v>756</v>
      </c>
    </row>
    <row r="670" spans="1:24" x14ac:dyDescent="0.35">
      <c r="A670" t="s">
        <v>750</v>
      </c>
      <c r="B670" t="s">
        <v>384</v>
      </c>
      <c r="C670" t="s">
        <v>385</v>
      </c>
      <c r="D670">
        <v>2011</v>
      </c>
      <c r="E670">
        <v>139</v>
      </c>
      <c r="F670" t="s">
        <v>600</v>
      </c>
      <c r="G670" t="s">
        <v>829</v>
      </c>
      <c r="H670" t="s">
        <v>541</v>
      </c>
      <c r="K670" t="s">
        <v>378</v>
      </c>
      <c r="L670" t="s">
        <v>574</v>
      </c>
      <c r="M670" t="s">
        <v>348</v>
      </c>
      <c r="N670" t="s">
        <v>538</v>
      </c>
      <c r="O670" t="s">
        <v>749</v>
      </c>
      <c r="P670" t="s">
        <v>748</v>
      </c>
      <c r="Q670" s="4" t="s">
        <v>230</v>
      </c>
      <c r="R670">
        <v>20</v>
      </c>
      <c r="S670" s="3">
        <v>0.97</v>
      </c>
      <c r="T670" s="3">
        <v>1</v>
      </c>
      <c r="U670" s="3">
        <v>-22</v>
      </c>
      <c r="X670" t="s">
        <v>756</v>
      </c>
    </row>
    <row r="671" spans="1:24" x14ac:dyDescent="0.35">
      <c r="A671" t="s">
        <v>750</v>
      </c>
      <c r="B671" t="s">
        <v>384</v>
      </c>
      <c r="C671" t="s">
        <v>385</v>
      </c>
      <c r="D671">
        <v>2011</v>
      </c>
      <c r="E671">
        <v>139</v>
      </c>
      <c r="F671" t="s">
        <v>600</v>
      </c>
      <c r="G671" t="s">
        <v>829</v>
      </c>
      <c r="H671" t="s">
        <v>541</v>
      </c>
      <c r="K671" t="s">
        <v>378</v>
      </c>
      <c r="L671" t="s">
        <v>574</v>
      </c>
      <c r="M671" t="s">
        <v>348</v>
      </c>
      <c r="N671" t="s">
        <v>538</v>
      </c>
      <c r="O671" t="s">
        <v>749</v>
      </c>
      <c r="P671" t="s">
        <v>748</v>
      </c>
      <c r="Q671" s="4" t="s">
        <v>230</v>
      </c>
      <c r="R671">
        <v>30</v>
      </c>
      <c r="S671" s="3">
        <v>1.1599999999999999</v>
      </c>
      <c r="T671" s="3">
        <v>1.5</v>
      </c>
      <c r="U671" s="3">
        <v>-32</v>
      </c>
      <c r="X671" t="s">
        <v>756</v>
      </c>
    </row>
    <row r="672" spans="1:24" x14ac:dyDescent="0.35">
      <c r="A672" t="s">
        <v>750</v>
      </c>
      <c r="B672" t="s">
        <v>384</v>
      </c>
      <c r="C672" t="s">
        <v>385</v>
      </c>
      <c r="D672">
        <v>2011</v>
      </c>
      <c r="E672">
        <v>139</v>
      </c>
      <c r="F672" t="s">
        <v>600</v>
      </c>
      <c r="G672" t="s">
        <v>829</v>
      </c>
      <c r="H672" t="s">
        <v>541</v>
      </c>
      <c r="K672" t="s">
        <v>378</v>
      </c>
      <c r="L672" t="s">
        <v>574</v>
      </c>
      <c r="M672" t="s">
        <v>348</v>
      </c>
      <c r="N672" t="s">
        <v>538</v>
      </c>
      <c r="O672" t="s">
        <v>749</v>
      </c>
      <c r="P672" t="s">
        <v>748</v>
      </c>
      <c r="Q672" s="4" t="s">
        <v>230</v>
      </c>
      <c r="R672">
        <v>40</v>
      </c>
      <c r="S672" s="3">
        <v>1.17</v>
      </c>
      <c r="T672" s="3">
        <v>2</v>
      </c>
      <c r="U672" s="3">
        <v>-33</v>
      </c>
      <c r="X672" t="s">
        <v>756</v>
      </c>
    </row>
    <row r="673" spans="1:24" x14ac:dyDescent="0.35">
      <c r="A673" t="s">
        <v>750</v>
      </c>
      <c r="B673" t="s">
        <v>384</v>
      </c>
      <c r="C673" t="s">
        <v>385</v>
      </c>
      <c r="D673">
        <v>2011</v>
      </c>
      <c r="E673">
        <v>139</v>
      </c>
      <c r="F673" t="s">
        <v>600</v>
      </c>
      <c r="G673" t="s">
        <v>829</v>
      </c>
      <c r="H673" t="s">
        <v>541</v>
      </c>
      <c r="K673" t="s">
        <v>378</v>
      </c>
      <c r="L673" t="s">
        <v>574</v>
      </c>
      <c r="M673" t="s">
        <v>348</v>
      </c>
      <c r="N673" t="s">
        <v>538</v>
      </c>
      <c r="O673" t="s">
        <v>749</v>
      </c>
      <c r="P673" t="s">
        <v>748</v>
      </c>
      <c r="Q673" s="4" t="s">
        <v>230</v>
      </c>
      <c r="R673">
        <v>50</v>
      </c>
      <c r="S673" s="3">
        <v>1.4</v>
      </c>
      <c r="T673" s="3">
        <v>2.5</v>
      </c>
      <c r="U673" s="3">
        <v>-34</v>
      </c>
      <c r="X673" t="s">
        <v>756</v>
      </c>
    </row>
    <row r="674" spans="1:24" x14ac:dyDescent="0.35">
      <c r="A674" t="s">
        <v>750</v>
      </c>
      <c r="B674" t="s">
        <v>384</v>
      </c>
      <c r="C674" t="s">
        <v>385</v>
      </c>
      <c r="D674">
        <v>2011</v>
      </c>
      <c r="E674">
        <v>139</v>
      </c>
      <c r="F674" t="s">
        <v>600</v>
      </c>
      <c r="G674" t="s">
        <v>829</v>
      </c>
      <c r="H674" t="s">
        <v>541</v>
      </c>
      <c r="K674" t="s">
        <v>378</v>
      </c>
      <c r="L674" t="s">
        <v>574</v>
      </c>
      <c r="M674" t="s">
        <v>348</v>
      </c>
      <c r="N674" t="s">
        <v>538</v>
      </c>
      <c r="O674" t="s">
        <v>749</v>
      </c>
      <c r="P674" t="s">
        <v>748</v>
      </c>
      <c r="Q674" s="4" t="s">
        <v>230</v>
      </c>
      <c r="R674">
        <v>60</v>
      </c>
      <c r="S674" s="3">
        <v>1.41</v>
      </c>
      <c r="T674" s="3">
        <v>3</v>
      </c>
      <c r="U674" s="3">
        <v>-43</v>
      </c>
      <c r="X674" t="s">
        <v>756</v>
      </c>
    </row>
    <row r="675" spans="1:24" x14ac:dyDescent="0.35">
      <c r="A675" t="s">
        <v>750</v>
      </c>
      <c r="B675" t="s">
        <v>384</v>
      </c>
      <c r="C675" t="s">
        <v>385</v>
      </c>
      <c r="D675">
        <v>2011</v>
      </c>
      <c r="E675">
        <v>139</v>
      </c>
      <c r="F675" t="s">
        <v>600</v>
      </c>
      <c r="G675" t="s">
        <v>829</v>
      </c>
      <c r="H675" t="s">
        <v>541</v>
      </c>
      <c r="K675" t="s">
        <v>378</v>
      </c>
      <c r="L675" t="s">
        <v>574</v>
      </c>
      <c r="M675" t="s">
        <v>348</v>
      </c>
      <c r="N675" t="s">
        <v>538</v>
      </c>
      <c r="O675" t="s">
        <v>749</v>
      </c>
      <c r="P675" t="s">
        <v>748</v>
      </c>
      <c r="Q675" s="4" t="s">
        <v>230</v>
      </c>
      <c r="R675">
        <v>70</v>
      </c>
      <c r="S675" s="3">
        <v>1.79</v>
      </c>
      <c r="T675" s="3">
        <v>3</v>
      </c>
      <c r="U675" s="3">
        <v>-53</v>
      </c>
      <c r="X675" t="s">
        <v>756</v>
      </c>
    </row>
    <row r="676" spans="1:24" x14ac:dyDescent="0.35">
      <c r="A676" t="s">
        <v>751</v>
      </c>
      <c r="B676" t="s">
        <v>522</v>
      </c>
      <c r="C676" t="s">
        <v>342</v>
      </c>
      <c r="D676">
        <v>2006</v>
      </c>
      <c r="E676">
        <v>140</v>
      </c>
      <c r="F676" t="s">
        <v>600</v>
      </c>
      <c r="G676" t="s">
        <v>829</v>
      </c>
      <c r="H676" t="s">
        <v>541</v>
      </c>
      <c r="K676" t="s">
        <v>378</v>
      </c>
      <c r="L676" t="s">
        <v>447</v>
      </c>
      <c r="M676" t="s">
        <v>348</v>
      </c>
      <c r="N676" t="s">
        <v>538</v>
      </c>
      <c r="O676" t="s">
        <v>386</v>
      </c>
      <c r="P676" t="s">
        <v>182</v>
      </c>
      <c r="Q676" s="4" t="s">
        <v>237</v>
      </c>
      <c r="R676">
        <v>0</v>
      </c>
      <c r="S676" s="3">
        <f>1/1.11</f>
        <v>0.9009009009009008</v>
      </c>
      <c r="T676" s="3">
        <v>0</v>
      </c>
      <c r="U676" s="3">
        <v>0</v>
      </c>
      <c r="X676" t="s">
        <v>756</v>
      </c>
    </row>
    <row r="677" spans="1:24" x14ac:dyDescent="0.35">
      <c r="A677" t="s">
        <v>751</v>
      </c>
      <c r="B677" t="s">
        <v>522</v>
      </c>
      <c r="C677" t="s">
        <v>342</v>
      </c>
      <c r="D677">
        <v>2006</v>
      </c>
      <c r="E677">
        <v>140</v>
      </c>
      <c r="F677" t="s">
        <v>600</v>
      </c>
      <c r="G677" t="s">
        <v>829</v>
      </c>
      <c r="H677" t="s">
        <v>541</v>
      </c>
      <c r="K677" t="s">
        <v>378</v>
      </c>
      <c r="L677" t="s">
        <v>447</v>
      </c>
      <c r="M677" t="s">
        <v>348</v>
      </c>
      <c r="N677" t="s">
        <v>538</v>
      </c>
      <c r="O677" t="s">
        <v>386</v>
      </c>
      <c r="P677" t="s">
        <v>182</v>
      </c>
      <c r="Q677" s="4" t="s">
        <v>237</v>
      </c>
      <c r="R677">
        <v>25</v>
      </c>
      <c r="S677" s="3">
        <f>1/1.16</f>
        <v>0.86206896551724144</v>
      </c>
      <c r="T677" s="3">
        <v>0.3</v>
      </c>
      <c r="U677" s="3">
        <v>25</v>
      </c>
      <c r="X677" t="s">
        <v>756</v>
      </c>
    </row>
    <row r="678" spans="1:24" x14ac:dyDescent="0.35">
      <c r="A678" t="s">
        <v>751</v>
      </c>
      <c r="B678" t="s">
        <v>522</v>
      </c>
      <c r="C678" t="s">
        <v>342</v>
      </c>
      <c r="D678">
        <v>2006</v>
      </c>
      <c r="E678">
        <v>140</v>
      </c>
      <c r="F678" t="s">
        <v>600</v>
      </c>
      <c r="G678" t="s">
        <v>829</v>
      </c>
      <c r="H678" t="s">
        <v>541</v>
      </c>
      <c r="K678" t="s">
        <v>378</v>
      </c>
      <c r="L678" t="s">
        <v>447</v>
      </c>
      <c r="M678" t="s">
        <v>348</v>
      </c>
      <c r="N678" t="s">
        <v>538</v>
      </c>
      <c r="O678" t="s">
        <v>386</v>
      </c>
      <c r="P678" t="s">
        <v>182</v>
      </c>
      <c r="Q678" s="4" t="s">
        <v>237</v>
      </c>
      <c r="R678">
        <v>50</v>
      </c>
      <c r="S678" s="3">
        <f>1/1.16</f>
        <v>0.86206896551724144</v>
      </c>
      <c r="T678" s="3">
        <v>0.6</v>
      </c>
      <c r="U678" s="3">
        <v>50</v>
      </c>
      <c r="X678" t="s">
        <v>756</v>
      </c>
    </row>
    <row r="679" spans="1:24" x14ac:dyDescent="0.35">
      <c r="A679" t="s">
        <v>751</v>
      </c>
      <c r="B679" t="s">
        <v>522</v>
      </c>
      <c r="C679" t="s">
        <v>342</v>
      </c>
      <c r="D679">
        <v>2006</v>
      </c>
      <c r="E679">
        <v>140</v>
      </c>
      <c r="F679" t="s">
        <v>600</v>
      </c>
      <c r="G679" t="s">
        <v>829</v>
      </c>
      <c r="H679" t="s">
        <v>541</v>
      </c>
      <c r="K679" t="s">
        <v>378</v>
      </c>
      <c r="L679" t="s">
        <v>447</v>
      </c>
      <c r="M679" t="s">
        <v>348</v>
      </c>
      <c r="N679" t="s">
        <v>538</v>
      </c>
      <c r="O679" t="s">
        <v>386</v>
      </c>
      <c r="P679" t="s">
        <v>182</v>
      </c>
      <c r="Q679" s="4" t="s">
        <v>237</v>
      </c>
      <c r="R679">
        <v>0</v>
      </c>
      <c r="S679" s="3">
        <f>1/1.04</f>
        <v>0.96153846153846145</v>
      </c>
      <c r="T679" s="3">
        <v>0</v>
      </c>
      <c r="U679" s="3">
        <v>0</v>
      </c>
      <c r="X679" t="s">
        <v>756</v>
      </c>
    </row>
    <row r="680" spans="1:24" x14ac:dyDescent="0.35">
      <c r="A680" t="s">
        <v>751</v>
      </c>
      <c r="B680" t="s">
        <v>522</v>
      </c>
      <c r="C680" t="s">
        <v>342</v>
      </c>
      <c r="D680">
        <v>2006</v>
      </c>
      <c r="E680">
        <v>140</v>
      </c>
      <c r="F680" t="s">
        <v>600</v>
      </c>
      <c r="G680" t="s">
        <v>829</v>
      </c>
      <c r="H680" t="s">
        <v>541</v>
      </c>
      <c r="K680" t="s">
        <v>378</v>
      </c>
      <c r="L680" t="s">
        <v>447</v>
      </c>
      <c r="M680" t="s">
        <v>348</v>
      </c>
      <c r="N680" t="s">
        <v>538</v>
      </c>
      <c r="O680" t="s">
        <v>386</v>
      </c>
      <c r="P680" t="s">
        <v>182</v>
      </c>
      <c r="Q680" s="4" t="s">
        <v>237</v>
      </c>
      <c r="R680">
        <v>25</v>
      </c>
      <c r="S680" s="3">
        <f>1/1.08</f>
        <v>0.92592592592592582</v>
      </c>
      <c r="T680" s="3">
        <v>0.2</v>
      </c>
      <c r="U680" s="3">
        <v>54</v>
      </c>
      <c r="X680" t="s">
        <v>756</v>
      </c>
    </row>
    <row r="681" spans="1:24" x14ac:dyDescent="0.35">
      <c r="A681" t="s">
        <v>751</v>
      </c>
      <c r="B681" t="s">
        <v>522</v>
      </c>
      <c r="C681" t="s">
        <v>342</v>
      </c>
      <c r="D681">
        <v>2006</v>
      </c>
      <c r="E681">
        <v>140</v>
      </c>
      <c r="F681" t="s">
        <v>600</v>
      </c>
      <c r="G681" t="s">
        <v>829</v>
      </c>
      <c r="H681" t="s">
        <v>541</v>
      </c>
      <c r="K681" t="s">
        <v>378</v>
      </c>
      <c r="L681" t="s">
        <v>447</v>
      </c>
      <c r="M681" t="s">
        <v>348</v>
      </c>
      <c r="N681" t="s">
        <v>538</v>
      </c>
      <c r="O681" t="s">
        <v>386</v>
      </c>
      <c r="P681" t="s">
        <v>182</v>
      </c>
      <c r="Q681" s="4" t="s">
        <v>237</v>
      </c>
      <c r="R681">
        <v>50</v>
      </c>
      <c r="S681" s="3">
        <f>1/0.95</f>
        <v>1.0526315789473684</v>
      </c>
      <c r="T681" s="3">
        <v>0.4</v>
      </c>
      <c r="U681" s="3">
        <v>60</v>
      </c>
      <c r="X681" t="s">
        <v>756</v>
      </c>
    </row>
    <row r="682" spans="1:24" x14ac:dyDescent="0.35">
      <c r="A682" t="s">
        <v>752</v>
      </c>
      <c r="B682" t="s">
        <v>455</v>
      </c>
      <c r="C682" t="s">
        <v>533</v>
      </c>
      <c r="D682">
        <v>2009</v>
      </c>
      <c r="E682">
        <v>141</v>
      </c>
      <c r="F682" t="s">
        <v>600</v>
      </c>
      <c r="G682" t="s">
        <v>829</v>
      </c>
      <c r="H682" t="s">
        <v>541</v>
      </c>
      <c r="K682" t="s">
        <v>394</v>
      </c>
      <c r="M682" t="s">
        <v>348</v>
      </c>
      <c r="N682" t="s">
        <v>538</v>
      </c>
      <c r="O682" t="s">
        <v>373</v>
      </c>
      <c r="P682" t="s">
        <v>374</v>
      </c>
      <c r="Q682" s="4" t="s">
        <v>520</v>
      </c>
      <c r="R682">
        <v>0</v>
      </c>
      <c r="S682" s="3">
        <f>1/0.54</f>
        <v>1.8518518518518516</v>
      </c>
      <c r="T682" s="3">
        <v>0</v>
      </c>
      <c r="U682" s="3">
        <v>0</v>
      </c>
      <c r="X682" t="s">
        <v>756</v>
      </c>
    </row>
    <row r="683" spans="1:24" x14ac:dyDescent="0.35">
      <c r="A683" t="s">
        <v>752</v>
      </c>
      <c r="B683" t="s">
        <v>455</v>
      </c>
      <c r="C683" t="s">
        <v>533</v>
      </c>
      <c r="D683">
        <v>2009</v>
      </c>
      <c r="E683">
        <v>141</v>
      </c>
      <c r="F683" t="s">
        <v>600</v>
      </c>
      <c r="G683" t="s">
        <v>829</v>
      </c>
      <c r="H683" t="s">
        <v>541</v>
      </c>
      <c r="K683" t="s">
        <v>394</v>
      </c>
      <c r="M683" t="s">
        <v>348</v>
      </c>
      <c r="N683" t="s">
        <v>538</v>
      </c>
      <c r="O683" t="s">
        <v>373</v>
      </c>
      <c r="P683" t="s">
        <v>374</v>
      </c>
      <c r="Q683" s="4" t="s">
        <v>520</v>
      </c>
      <c r="R683">
        <v>45</v>
      </c>
      <c r="S683" s="3">
        <f>1/0.46</f>
        <v>2.1739130434782608</v>
      </c>
      <c r="T683" s="3">
        <v>0</v>
      </c>
      <c r="U683" s="3">
        <v>0</v>
      </c>
      <c r="X683" t="s">
        <v>756</v>
      </c>
    </row>
    <row r="684" spans="1:24" x14ac:dyDescent="0.35">
      <c r="A684" t="s">
        <v>752</v>
      </c>
      <c r="B684" t="s">
        <v>455</v>
      </c>
      <c r="C684" t="s">
        <v>533</v>
      </c>
      <c r="D684">
        <v>2009</v>
      </c>
      <c r="E684">
        <v>141</v>
      </c>
      <c r="F684" t="s">
        <v>600</v>
      </c>
      <c r="G684" t="s">
        <v>829</v>
      </c>
      <c r="H684" t="s">
        <v>541</v>
      </c>
      <c r="K684" t="s">
        <v>394</v>
      </c>
      <c r="M684" t="s">
        <v>348</v>
      </c>
      <c r="N684" t="s">
        <v>538</v>
      </c>
      <c r="O684" t="s">
        <v>373</v>
      </c>
      <c r="P684" t="s">
        <v>374</v>
      </c>
      <c r="Q684" s="4" t="s">
        <v>520</v>
      </c>
      <c r="R684">
        <v>70</v>
      </c>
      <c r="S684" s="3">
        <f>1/0.51</f>
        <v>1.9607843137254901</v>
      </c>
      <c r="T684" s="3">
        <v>0</v>
      </c>
      <c r="U684" s="3">
        <v>0</v>
      </c>
      <c r="X684" t="s">
        <v>756</v>
      </c>
    </row>
    <row r="685" spans="1:24" x14ac:dyDescent="0.35">
      <c r="A685" t="s">
        <v>752</v>
      </c>
      <c r="B685" t="s">
        <v>455</v>
      </c>
      <c r="C685" t="s">
        <v>533</v>
      </c>
      <c r="D685">
        <v>2009</v>
      </c>
      <c r="E685">
        <v>141</v>
      </c>
      <c r="F685" t="s">
        <v>600</v>
      </c>
      <c r="G685" t="s">
        <v>829</v>
      </c>
      <c r="H685" t="s">
        <v>541</v>
      </c>
      <c r="K685" t="s">
        <v>394</v>
      </c>
      <c r="M685" t="s">
        <v>348</v>
      </c>
      <c r="N685" t="s">
        <v>538</v>
      </c>
      <c r="O685" t="s">
        <v>373</v>
      </c>
      <c r="P685" t="s">
        <v>374</v>
      </c>
      <c r="Q685" s="4" t="s">
        <v>520</v>
      </c>
      <c r="R685">
        <v>100</v>
      </c>
      <c r="S685" s="3">
        <f>1/0.5</f>
        <v>2</v>
      </c>
      <c r="T685" s="3">
        <v>0</v>
      </c>
      <c r="U685" s="3">
        <v>0</v>
      </c>
      <c r="X685" t="s">
        <v>756</v>
      </c>
    </row>
    <row r="686" spans="1:24" x14ac:dyDescent="0.35">
      <c r="A686" t="s">
        <v>753</v>
      </c>
      <c r="B686" t="s">
        <v>398</v>
      </c>
      <c r="C686" t="s">
        <v>754</v>
      </c>
      <c r="D686">
        <v>2007</v>
      </c>
      <c r="E686">
        <v>142</v>
      </c>
      <c r="F686" t="s">
        <v>600</v>
      </c>
      <c r="G686" t="s">
        <v>829</v>
      </c>
      <c r="H686" t="s">
        <v>541</v>
      </c>
      <c r="K686" t="s">
        <v>394</v>
      </c>
      <c r="M686" t="s">
        <v>348</v>
      </c>
      <c r="N686" t="s">
        <v>173</v>
      </c>
      <c r="O686" t="s">
        <v>439</v>
      </c>
      <c r="P686" t="s">
        <v>172</v>
      </c>
      <c r="Q686" s="4" t="s">
        <v>230</v>
      </c>
      <c r="R686">
        <v>0</v>
      </c>
      <c r="S686" s="3">
        <v>3</v>
      </c>
      <c r="T686" s="3">
        <v>0</v>
      </c>
      <c r="U686" s="3">
        <v>0</v>
      </c>
      <c r="X686" t="s">
        <v>756</v>
      </c>
    </row>
    <row r="687" spans="1:24" x14ac:dyDescent="0.35">
      <c r="A687" t="s">
        <v>753</v>
      </c>
      <c r="B687" t="s">
        <v>398</v>
      </c>
      <c r="C687" t="s">
        <v>754</v>
      </c>
      <c r="D687">
        <v>2007</v>
      </c>
      <c r="E687">
        <v>142</v>
      </c>
      <c r="F687" t="s">
        <v>600</v>
      </c>
      <c r="G687" t="s">
        <v>829</v>
      </c>
      <c r="H687" t="s">
        <v>541</v>
      </c>
      <c r="K687" t="s">
        <v>394</v>
      </c>
      <c r="M687" t="s">
        <v>348</v>
      </c>
      <c r="N687" t="s">
        <v>173</v>
      </c>
      <c r="O687" t="s">
        <v>439</v>
      </c>
      <c r="P687" t="s">
        <v>172</v>
      </c>
      <c r="Q687" s="4" t="s">
        <v>230</v>
      </c>
      <c r="R687">
        <v>25</v>
      </c>
      <c r="S687" s="3">
        <v>2.8</v>
      </c>
      <c r="T687" s="3">
        <v>0</v>
      </c>
      <c r="U687" s="3">
        <v>0</v>
      </c>
      <c r="X687" t="s">
        <v>756</v>
      </c>
    </row>
    <row r="688" spans="1:24" x14ac:dyDescent="0.35">
      <c r="A688" t="s">
        <v>753</v>
      </c>
      <c r="B688" t="s">
        <v>398</v>
      </c>
      <c r="C688" t="s">
        <v>754</v>
      </c>
      <c r="D688">
        <v>2007</v>
      </c>
      <c r="E688">
        <v>142</v>
      </c>
      <c r="F688" t="s">
        <v>600</v>
      </c>
      <c r="G688" t="s">
        <v>829</v>
      </c>
      <c r="H688" t="s">
        <v>541</v>
      </c>
      <c r="K688" t="s">
        <v>394</v>
      </c>
      <c r="M688" t="s">
        <v>348</v>
      </c>
      <c r="N688" t="s">
        <v>173</v>
      </c>
      <c r="O688" t="s">
        <v>439</v>
      </c>
      <c r="P688" t="s">
        <v>172</v>
      </c>
      <c r="Q688" s="4" t="s">
        <v>230</v>
      </c>
      <c r="R688">
        <v>45</v>
      </c>
      <c r="S688" s="3">
        <v>2.8</v>
      </c>
      <c r="T688" s="3">
        <v>0</v>
      </c>
      <c r="U688" s="3">
        <v>0</v>
      </c>
      <c r="X688" t="s">
        <v>756</v>
      </c>
    </row>
    <row r="689" spans="1:25" x14ac:dyDescent="0.35">
      <c r="A689" t="s">
        <v>753</v>
      </c>
      <c r="B689" t="s">
        <v>398</v>
      </c>
      <c r="C689" t="s">
        <v>754</v>
      </c>
      <c r="D689">
        <v>2007</v>
      </c>
      <c r="E689">
        <v>142</v>
      </c>
      <c r="F689" t="s">
        <v>600</v>
      </c>
      <c r="G689" t="s">
        <v>829</v>
      </c>
      <c r="H689" t="s">
        <v>541</v>
      </c>
      <c r="K689" t="s">
        <v>394</v>
      </c>
      <c r="M689" t="s">
        <v>348</v>
      </c>
      <c r="N689" t="s">
        <v>173</v>
      </c>
      <c r="O689" t="s">
        <v>439</v>
      </c>
      <c r="P689" t="s">
        <v>172</v>
      </c>
      <c r="Q689" s="4" t="s">
        <v>230</v>
      </c>
      <c r="R689">
        <v>80</v>
      </c>
      <c r="S689" s="3">
        <v>5.5</v>
      </c>
      <c r="T689" s="3">
        <v>0</v>
      </c>
      <c r="U689" s="3">
        <v>0</v>
      </c>
      <c r="X689" t="s">
        <v>756</v>
      </c>
    </row>
    <row r="690" spans="1:25" x14ac:dyDescent="0.35">
      <c r="A690" t="s">
        <v>753</v>
      </c>
      <c r="B690" t="s">
        <v>398</v>
      </c>
      <c r="C690" t="s">
        <v>754</v>
      </c>
      <c r="D690">
        <v>2007</v>
      </c>
      <c r="E690">
        <v>142</v>
      </c>
      <c r="F690" t="s">
        <v>600</v>
      </c>
      <c r="G690" t="s">
        <v>829</v>
      </c>
      <c r="H690" t="s">
        <v>541</v>
      </c>
      <c r="K690" t="s">
        <v>394</v>
      </c>
      <c r="M690" t="s">
        <v>348</v>
      </c>
      <c r="N690" t="s">
        <v>173</v>
      </c>
      <c r="O690" t="s">
        <v>439</v>
      </c>
      <c r="P690" t="s">
        <v>172</v>
      </c>
      <c r="Q690" s="4" t="s">
        <v>230</v>
      </c>
      <c r="R690">
        <v>100</v>
      </c>
      <c r="S690" s="3">
        <v>7.9</v>
      </c>
      <c r="T690" s="3">
        <v>0</v>
      </c>
      <c r="U690" s="3">
        <v>0</v>
      </c>
      <c r="X690" t="s">
        <v>756</v>
      </c>
    </row>
    <row r="691" spans="1:25" x14ac:dyDescent="0.35">
      <c r="A691" t="s">
        <v>755</v>
      </c>
      <c r="B691" t="s">
        <v>522</v>
      </c>
      <c r="C691" t="s">
        <v>385</v>
      </c>
      <c r="D691">
        <v>2007</v>
      </c>
      <c r="E691">
        <v>143</v>
      </c>
      <c r="F691" t="s">
        <v>600</v>
      </c>
      <c r="G691" t="s">
        <v>829</v>
      </c>
      <c r="H691" t="s">
        <v>541</v>
      </c>
      <c r="K691" t="s">
        <v>394</v>
      </c>
      <c r="M691" t="s">
        <v>348</v>
      </c>
      <c r="N691" t="s">
        <v>173</v>
      </c>
      <c r="O691" t="s">
        <v>439</v>
      </c>
      <c r="P691" t="s">
        <v>172</v>
      </c>
      <c r="Q691" s="4" t="s">
        <v>230</v>
      </c>
      <c r="R691">
        <v>0</v>
      </c>
      <c r="S691" s="3">
        <v>1.24</v>
      </c>
      <c r="T691" s="3">
        <v>0</v>
      </c>
      <c r="U691" s="3">
        <v>0</v>
      </c>
      <c r="Y691" t="s">
        <v>828</v>
      </c>
    </row>
    <row r="692" spans="1:25" x14ac:dyDescent="0.35">
      <c r="A692" t="s">
        <v>755</v>
      </c>
      <c r="B692" t="s">
        <v>522</v>
      </c>
      <c r="C692" t="s">
        <v>385</v>
      </c>
      <c r="D692">
        <v>2007</v>
      </c>
      <c r="E692">
        <v>143</v>
      </c>
      <c r="F692" t="s">
        <v>600</v>
      </c>
      <c r="G692" t="s">
        <v>829</v>
      </c>
      <c r="H692" t="s">
        <v>541</v>
      </c>
      <c r="K692" t="s">
        <v>394</v>
      </c>
      <c r="M692" t="s">
        <v>348</v>
      </c>
      <c r="N692" t="s">
        <v>173</v>
      </c>
      <c r="O692" t="s">
        <v>439</v>
      </c>
      <c r="P692" t="s">
        <v>172</v>
      </c>
      <c r="Q692" s="4" t="s">
        <v>230</v>
      </c>
      <c r="R692">
        <v>33</v>
      </c>
      <c r="S692" s="3">
        <v>1.38</v>
      </c>
      <c r="T692" s="3">
        <v>0.28000000000000003</v>
      </c>
      <c r="U692" s="3">
        <v>1.67</v>
      </c>
      <c r="Y692" t="s">
        <v>828</v>
      </c>
    </row>
    <row r="693" spans="1:25" x14ac:dyDescent="0.35">
      <c r="A693" t="s">
        <v>755</v>
      </c>
      <c r="B693" t="s">
        <v>522</v>
      </c>
      <c r="C693" t="s">
        <v>385</v>
      </c>
      <c r="D693">
        <v>2007</v>
      </c>
      <c r="E693">
        <v>143</v>
      </c>
      <c r="F693" t="s">
        <v>600</v>
      </c>
      <c r="G693" t="s">
        <v>829</v>
      </c>
      <c r="H693" t="s">
        <v>541</v>
      </c>
      <c r="K693" t="s">
        <v>394</v>
      </c>
      <c r="M693" t="s">
        <v>348</v>
      </c>
      <c r="N693" t="s">
        <v>173</v>
      </c>
      <c r="O693" t="s">
        <v>439</v>
      </c>
      <c r="P693" t="s">
        <v>172</v>
      </c>
      <c r="Q693" s="4" t="s">
        <v>230</v>
      </c>
      <c r="R693">
        <v>66</v>
      </c>
      <c r="S693" s="3">
        <v>1.1200000000000001</v>
      </c>
      <c r="T693" s="3">
        <v>0.51</v>
      </c>
      <c r="U693" s="3">
        <v>3.17</v>
      </c>
      <c r="Y693" t="s">
        <v>828</v>
      </c>
    </row>
    <row r="694" spans="1:25" x14ac:dyDescent="0.35">
      <c r="A694" t="s">
        <v>755</v>
      </c>
      <c r="B694" t="s">
        <v>522</v>
      </c>
      <c r="C694" t="s">
        <v>385</v>
      </c>
      <c r="D694">
        <v>2007</v>
      </c>
      <c r="E694">
        <v>143</v>
      </c>
      <c r="F694" t="s">
        <v>600</v>
      </c>
      <c r="G694" t="s">
        <v>829</v>
      </c>
      <c r="H694" t="s">
        <v>541</v>
      </c>
      <c r="K694" t="s">
        <v>394</v>
      </c>
      <c r="M694" t="s">
        <v>348</v>
      </c>
      <c r="N694" t="s">
        <v>173</v>
      </c>
      <c r="O694" t="s">
        <v>439</v>
      </c>
      <c r="P694" t="s">
        <v>172</v>
      </c>
      <c r="Q694" s="4" t="s">
        <v>230</v>
      </c>
      <c r="R694">
        <v>100</v>
      </c>
      <c r="S694" s="3">
        <v>1.1399999999999999</v>
      </c>
      <c r="T694" s="3">
        <v>0.76</v>
      </c>
      <c r="U694" s="3">
        <v>4.84</v>
      </c>
      <c r="Y694" t="s">
        <v>828</v>
      </c>
    </row>
    <row r="695" spans="1:25" x14ac:dyDescent="0.35">
      <c r="A695" t="s">
        <v>757</v>
      </c>
      <c r="B695" t="s">
        <v>453</v>
      </c>
      <c r="C695" t="s">
        <v>758</v>
      </c>
      <c r="D695">
        <v>2012</v>
      </c>
      <c r="E695">
        <v>144</v>
      </c>
      <c r="F695" t="s">
        <v>600</v>
      </c>
      <c r="G695" t="s">
        <v>829</v>
      </c>
      <c r="H695" t="s">
        <v>541</v>
      </c>
      <c r="K695" t="s">
        <v>394</v>
      </c>
      <c r="M695" t="s">
        <v>348</v>
      </c>
      <c r="N695" t="s">
        <v>538</v>
      </c>
      <c r="O695" t="s">
        <v>759</v>
      </c>
      <c r="P695" t="s">
        <v>760</v>
      </c>
      <c r="Q695" s="4" t="s">
        <v>230</v>
      </c>
      <c r="R695">
        <v>0</v>
      </c>
      <c r="S695" s="3">
        <v>7.7</v>
      </c>
      <c r="T695" s="3">
        <v>0</v>
      </c>
      <c r="U695" s="3"/>
      <c r="Y695" t="s">
        <v>828</v>
      </c>
    </row>
    <row r="696" spans="1:25" x14ac:dyDescent="0.35">
      <c r="A696" t="s">
        <v>757</v>
      </c>
      <c r="B696" t="s">
        <v>453</v>
      </c>
      <c r="C696" t="s">
        <v>758</v>
      </c>
      <c r="D696">
        <v>2012</v>
      </c>
      <c r="E696">
        <v>144</v>
      </c>
      <c r="F696" t="s">
        <v>600</v>
      </c>
      <c r="G696" t="s">
        <v>829</v>
      </c>
      <c r="H696" t="s">
        <v>541</v>
      </c>
      <c r="K696" t="s">
        <v>394</v>
      </c>
      <c r="M696" t="s">
        <v>348</v>
      </c>
      <c r="N696" t="s">
        <v>538</v>
      </c>
      <c r="O696" t="s">
        <v>759</v>
      </c>
      <c r="P696" t="s">
        <v>760</v>
      </c>
      <c r="Q696" s="4" t="s">
        <v>230</v>
      </c>
      <c r="R696">
        <v>30</v>
      </c>
      <c r="S696" s="3">
        <v>10.23</v>
      </c>
      <c r="T696" s="3">
        <v>-4</v>
      </c>
      <c r="Y696" t="s">
        <v>828</v>
      </c>
    </row>
    <row r="697" spans="1:25" x14ac:dyDescent="0.35">
      <c r="A697" t="s">
        <v>757</v>
      </c>
      <c r="B697" t="s">
        <v>453</v>
      </c>
      <c r="C697" t="s">
        <v>758</v>
      </c>
      <c r="D697">
        <v>2012</v>
      </c>
      <c r="E697">
        <v>144</v>
      </c>
      <c r="F697" t="s">
        <v>600</v>
      </c>
      <c r="G697" t="s">
        <v>829</v>
      </c>
      <c r="H697" t="s">
        <v>541</v>
      </c>
      <c r="K697" t="s">
        <v>394</v>
      </c>
      <c r="M697" t="s">
        <v>348</v>
      </c>
      <c r="N697" t="s">
        <v>538</v>
      </c>
      <c r="O697" t="s">
        <v>759</v>
      </c>
      <c r="P697" t="s">
        <v>760</v>
      </c>
      <c r="Q697" s="4" t="s">
        <v>230</v>
      </c>
      <c r="R697">
        <v>35</v>
      </c>
      <c r="S697" s="3">
        <v>11.14</v>
      </c>
      <c r="T697" s="3">
        <v>-5</v>
      </c>
      <c r="Y697" t="s">
        <v>828</v>
      </c>
    </row>
    <row r="698" spans="1:25" x14ac:dyDescent="0.35">
      <c r="A698" t="s">
        <v>757</v>
      </c>
      <c r="B698" t="s">
        <v>453</v>
      </c>
      <c r="C698" t="s">
        <v>758</v>
      </c>
      <c r="D698">
        <v>2012</v>
      </c>
      <c r="E698">
        <v>144</v>
      </c>
      <c r="F698" t="s">
        <v>600</v>
      </c>
      <c r="G698" t="s">
        <v>829</v>
      </c>
      <c r="H698" t="s">
        <v>541</v>
      </c>
      <c r="K698" t="s">
        <v>394</v>
      </c>
      <c r="M698" t="s">
        <v>348</v>
      </c>
      <c r="N698" t="s">
        <v>538</v>
      </c>
      <c r="O698" t="s">
        <v>759</v>
      </c>
      <c r="P698" t="s">
        <v>760</v>
      </c>
      <c r="Q698" s="4" t="s">
        <v>230</v>
      </c>
      <c r="R698">
        <v>55</v>
      </c>
      <c r="S698" s="3">
        <v>16.95</v>
      </c>
      <c r="T698" s="3">
        <v>-5</v>
      </c>
      <c r="Y698" t="s">
        <v>828</v>
      </c>
    </row>
    <row r="699" spans="1:25" x14ac:dyDescent="0.35">
      <c r="A699" t="s">
        <v>764</v>
      </c>
      <c r="B699" t="s">
        <v>398</v>
      </c>
      <c r="C699" t="s">
        <v>485</v>
      </c>
      <c r="D699">
        <v>2014</v>
      </c>
      <c r="E699">
        <v>145</v>
      </c>
      <c r="F699" t="s">
        <v>600</v>
      </c>
      <c r="G699" t="s">
        <v>829</v>
      </c>
      <c r="H699" t="s">
        <v>541</v>
      </c>
      <c r="K699" t="s">
        <v>378</v>
      </c>
      <c r="L699" t="s">
        <v>763</v>
      </c>
      <c r="M699" t="s">
        <v>348</v>
      </c>
      <c r="N699" t="s">
        <v>538</v>
      </c>
      <c r="O699" t="s">
        <v>762</v>
      </c>
      <c r="P699" t="s">
        <v>761</v>
      </c>
      <c r="Q699" s="4" t="s">
        <v>230</v>
      </c>
      <c r="R699">
        <v>0</v>
      </c>
      <c r="S699" s="3">
        <f>1/1.09</f>
        <v>0.9174311926605504</v>
      </c>
      <c r="T699" s="3">
        <v>0</v>
      </c>
      <c r="U699">
        <v>0</v>
      </c>
      <c r="Y699" t="s">
        <v>828</v>
      </c>
    </row>
    <row r="700" spans="1:25" x14ac:dyDescent="0.35">
      <c r="A700" t="s">
        <v>764</v>
      </c>
      <c r="B700" t="s">
        <v>398</v>
      </c>
      <c r="C700" t="s">
        <v>485</v>
      </c>
      <c r="D700">
        <v>2014</v>
      </c>
      <c r="E700">
        <v>145</v>
      </c>
      <c r="F700" t="s">
        <v>600</v>
      </c>
      <c r="G700" t="s">
        <v>829</v>
      </c>
      <c r="H700" t="s">
        <v>541</v>
      </c>
      <c r="K700" t="s">
        <v>394</v>
      </c>
      <c r="L700" t="s">
        <v>763</v>
      </c>
      <c r="M700" t="s">
        <v>348</v>
      </c>
      <c r="N700" t="s">
        <v>538</v>
      </c>
      <c r="O700" t="s">
        <v>762</v>
      </c>
      <c r="P700" t="s">
        <v>761</v>
      </c>
      <c r="Q700" s="4" t="s">
        <v>230</v>
      </c>
      <c r="R700">
        <v>10</v>
      </c>
      <c r="S700" s="3">
        <f>1/1.09</f>
        <v>0.9174311926605504</v>
      </c>
      <c r="T700" s="3">
        <v>0.5</v>
      </c>
      <c r="U700">
        <v>-0.27</v>
      </c>
      <c r="Y700" t="s">
        <v>828</v>
      </c>
    </row>
    <row r="701" spans="1:25" x14ac:dyDescent="0.35">
      <c r="A701" t="s">
        <v>764</v>
      </c>
      <c r="B701" t="s">
        <v>398</v>
      </c>
      <c r="C701" t="s">
        <v>485</v>
      </c>
      <c r="D701">
        <v>2014</v>
      </c>
      <c r="E701">
        <v>145</v>
      </c>
      <c r="F701" t="s">
        <v>600</v>
      </c>
      <c r="G701" t="s">
        <v>829</v>
      </c>
      <c r="H701" t="s">
        <v>541</v>
      </c>
      <c r="K701" t="s">
        <v>394</v>
      </c>
      <c r="L701" t="s">
        <v>763</v>
      </c>
      <c r="M701" t="s">
        <v>348</v>
      </c>
      <c r="N701" t="s">
        <v>538</v>
      </c>
      <c r="O701" t="s">
        <v>762</v>
      </c>
      <c r="P701" t="s">
        <v>761</v>
      </c>
      <c r="Q701" s="4" t="s">
        <v>230</v>
      </c>
      <c r="R701">
        <v>20</v>
      </c>
      <c r="S701" s="3">
        <f>1/1.05</f>
        <v>0.95238095238095233</v>
      </c>
      <c r="T701" s="3">
        <v>1</v>
      </c>
      <c r="U701">
        <v>-0.54</v>
      </c>
      <c r="Y701" t="s">
        <v>828</v>
      </c>
    </row>
    <row r="702" spans="1:25" x14ac:dyDescent="0.35">
      <c r="A702" t="s">
        <v>764</v>
      </c>
      <c r="B702" t="s">
        <v>398</v>
      </c>
      <c r="C702" t="s">
        <v>485</v>
      </c>
      <c r="D702">
        <v>2014</v>
      </c>
      <c r="E702">
        <v>145</v>
      </c>
      <c r="F702" t="s">
        <v>600</v>
      </c>
      <c r="G702" t="s">
        <v>829</v>
      </c>
      <c r="H702" t="s">
        <v>541</v>
      </c>
      <c r="K702" t="s">
        <v>394</v>
      </c>
      <c r="L702" t="s">
        <v>763</v>
      </c>
      <c r="M702" t="s">
        <v>348</v>
      </c>
      <c r="N702" t="s">
        <v>538</v>
      </c>
      <c r="O702" t="s">
        <v>762</v>
      </c>
      <c r="P702" t="s">
        <v>761</v>
      </c>
      <c r="Q702" s="4" t="s">
        <v>230</v>
      </c>
      <c r="R702">
        <v>30</v>
      </c>
      <c r="S702" s="3">
        <f>1/0.95</f>
        <v>1.0526315789473684</v>
      </c>
      <c r="T702" s="3">
        <v>1.5</v>
      </c>
      <c r="U702">
        <v>-0.81</v>
      </c>
      <c r="Y702" t="s">
        <v>828</v>
      </c>
    </row>
    <row r="703" spans="1:25" x14ac:dyDescent="0.35">
      <c r="A703" t="s">
        <v>764</v>
      </c>
      <c r="B703" t="s">
        <v>398</v>
      </c>
      <c r="C703" t="s">
        <v>485</v>
      </c>
      <c r="D703">
        <v>2014</v>
      </c>
      <c r="E703">
        <v>145</v>
      </c>
      <c r="F703" t="s">
        <v>600</v>
      </c>
      <c r="G703" t="s">
        <v>829</v>
      </c>
      <c r="H703" t="s">
        <v>541</v>
      </c>
      <c r="K703" t="s">
        <v>394</v>
      </c>
      <c r="L703" t="s">
        <v>763</v>
      </c>
      <c r="M703" t="s">
        <v>348</v>
      </c>
      <c r="N703" t="s">
        <v>538</v>
      </c>
      <c r="O703" t="s">
        <v>762</v>
      </c>
      <c r="P703" t="s">
        <v>761</v>
      </c>
      <c r="Q703" s="4" t="s">
        <v>230</v>
      </c>
      <c r="R703">
        <v>40</v>
      </c>
      <c r="S703" s="3">
        <f>1/0.86</f>
        <v>1.1627906976744187</v>
      </c>
      <c r="T703" s="3">
        <v>2</v>
      </c>
      <c r="U703">
        <v>-1.08</v>
      </c>
      <c r="Y703" t="s">
        <v>828</v>
      </c>
    </row>
    <row r="704" spans="1:25" x14ac:dyDescent="0.35">
      <c r="A704" t="s">
        <v>765</v>
      </c>
      <c r="B704" t="s">
        <v>522</v>
      </c>
      <c r="C704" t="s">
        <v>647</v>
      </c>
      <c r="D704">
        <v>2012</v>
      </c>
      <c r="E704">
        <v>146</v>
      </c>
      <c r="F704" t="s">
        <v>416</v>
      </c>
      <c r="G704" t="s">
        <v>829</v>
      </c>
      <c r="H704" t="s">
        <v>541</v>
      </c>
      <c r="I704" t="s">
        <v>170</v>
      </c>
      <c r="J704" t="s">
        <v>766</v>
      </c>
      <c r="K704" t="s">
        <v>378</v>
      </c>
      <c r="L704" t="s">
        <v>377</v>
      </c>
      <c r="M704" t="s">
        <v>348</v>
      </c>
      <c r="N704" t="s">
        <v>173</v>
      </c>
      <c r="O704" t="s">
        <v>439</v>
      </c>
      <c r="P704" t="s">
        <v>172</v>
      </c>
      <c r="Q704" s="4" t="s">
        <v>230</v>
      </c>
      <c r="R704">
        <v>0</v>
      </c>
      <c r="S704" s="3">
        <v>1.85</v>
      </c>
      <c r="T704" s="3">
        <v>0</v>
      </c>
      <c r="U704" s="3">
        <v>0</v>
      </c>
      <c r="Y704" t="s">
        <v>828</v>
      </c>
    </row>
    <row r="705" spans="1:25" x14ac:dyDescent="0.35">
      <c r="A705" t="s">
        <v>765</v>
      </c>
      <c r="B705" t="s">
        <v>522</v>
      </c>
      <c r="C705" t="s">
        <v>647</v>
      </c>
      <c r="D705">
        <v>2012</v>
      </c>
      <c r="E705">
        <v>146</v>
      </c>
      <c r="F705" t="s">
        <v>416</v>
      </c>
      <c r="G705" t="s">
        <v>829</v>
      </c>
      <c r="H705" t="s">
        <v>541</v>
      </c>
      <c r="I705" t="s">
        <v>170</v>
      </c>
      <c r="J705" t="s">
        <v>766</v>
      </c>
      <c r="K705" t="s">
        <v>378</v>
      </c>
      <c r="L705" t="s">
        <v>377</v>
      </c>
      <c r="M705" t="s">
        <v>348</v>
      </c>
      <c r="N705" t="s">
        <v>173</v>
      </c>
      <c r="O705" t="s">
        <v>439</v>
      </c>
      <c r="P705" t="s">
        <v>172</v>
      </c>
      <c r="Q705" s="4" t="s">
        <v>230</v>
      </c>
      <c r="R705">
        <v>25</v>
      </c>
      <c r="S705" s="3">
        <v>1.85</v>
      </c>
      <c r="T705" s="3">
        <v>1.5</v>
      </c>
      <c r="U705" s="3">
        <v>-2</v>
      </c>
      <c r="Y705" t="s">
        <v>828</v>
      </c>
    </row>
    <row r="706" spans="1:25" x14ac:dyDescent="0.35">
      <c r="A706" t="s">
        <v>765</v>
      </c>
      <c r="B706" t="s">
        <v>522</v>
      </c>
      <c r="C706" t="s">
        <v>647</v>
      </c>
      <c r="D706">
        <v>2012</v>
      </c>
      <c r="E706">
        <v>146</v>
      </c>
      <c r="F706" t="s">
        <v>416</v>
      </c>
      <c r="G706" t="s">
        <v>829</v>
      </c>
      <c r="H706" t="s">
        <v>541</v>
      </c>
      <c r="I706" t="s">
        <v>170</v>
      </c>
      <c r="J706" t="s">
        <v>766</v>
      </c>
      <c r="K706" t="s">
        <v>378</v>
      </c>
      <c r="L706" t="s">
        <v>377</v>
      </c>
      <c r="M706" t="s">
        <v>348</v>
      </c>
      <c r="N706" t="s">
        <v>173</v>
      </c>
      <c r="O706" t="s">
        <v>439</v>
      </c>
      <c r="P706" t="s">
        <v>172</v>
      </c>
      <c r="Q706" s="4" t="s">
        <v>230</v>
      </c>
      <c r="R706">
        <v>50</v>
      </c>
      <c r="S706" s="3">
        <v>1.52</v>
      </c>
      <c r="T706" s="3">
        <v>3</v>
      </c>
      <c r="U706" s="3">
        <v>-4</v>
      </c>
      <c r="Y706" t="s">
        <v>828</v>
      </c>
    </row>
    <row r="707" spans="1:25" x14ac:dyDescent="0.35">
      <c r="A707" t="s">
        <v>765</v>
      </c>
      <c r="B707" t="s">
        <v>522</v>
      </c>
      <c r="C707" t="s">
        <v>647</v>
      </c>
      <c r="D707">
        <v>2012</v>
      </c>
      <c r="E707">
        <v>146</v>
      </c>
      <c r="F707" t="s">
        <v>416</v>
      </c>
      <c r="G707" t="s">
        <v>829</v>
      </c>
      <c r="H707" t="s">
        <v>541</v>
      </c>
      <c r="I707" t="s">
        <v>170</v>
      </c>
      <c r="J707" t="s">
        <v>766</v>
      </c>
      <c r="K707" t="s">
        <v>378</v>
      </c>
      <c r="L707" t="s">
        <v>377</v>
      </c>
      <c r="M707" t="s">
        <v>348</v>
      </c>
      <c r="N707" t="s">
        <v>173</v>
      </c>
      <c r="O707" t="s">
        <v>439</v>
      </c>
      <c r="P707" t="s">
        <v>172</v>
      </c>
      <c r="Q707" s="4" t="s">
        <v>230</v>
      </c>
      <c r="R707">
        <v>75</v>
      </c>
      <c r="S707" s="3">
        <v>1.51</v>
      </c>
      <c r="T707" s="3">
        <v>4.5</v>
      </c>
      <c r="U707" s="3">
        <v>-6</v>
      </c>
      <c r="Y707" t="s">
        <v>828</v>
      </c>
    </row>
    <row r="708" spans="1:25" x14ac:dyDescent="0.35">
      <c r="A708" t="s">
        <v>765</v>
      </c>
      <c r="B708" t="s">
        <v>522</v>
      </c>
      <c r="C708" t="s">
        <v>647</v>
      </c>
      <c r="D708">
        <v>2012</v>
      </c>
      <c r="E708">
        <v>146</v>
      </c>
      <c r="F708" t="s">
        <v>416</v>
      </c>
      <c r="G708" t="s">
        <v>829</v>
      </c>
      <c r="H708" t="s">
        <v>541</v>
      </c>
      <c r="I708" t="s">
        <v>170</v>
      </c>
      <c r="J708" t="s">
        <v>766</v>
      </c>
      <c r="K708" t="s">
        <v>378</v>
      </c>
      <c r="L708" t="s">
        <v>377</v>
      </c>
      <c r="M708" t="s">
        <v>348</v>
      </c>
      <c r="N708" t="s">
        <v>173</v>
      </c>
      <c r="O708" t="s">
        <v>439</v>
      </c>
      <c r="P708" t="s">
        <v>172</v>
      </c>
      <c r="Q708" s="4" t="s">
        <v>230</v>
      </c>
      <c r="R708">
        <v>10</v>
      </c>
      <c r="S708" s="3">
        <v>1.53</v>
      </c>
      <c r="T708" s="3">
        <v>6</v>
      </c>
      <c r="U708" s="3">
        <v>-8</v>
      </c>
      <c r="Y708" t="s">
        <v>828</v>
      </c>
    </row>
    <row r="709" spans="1:25" x14ac:dyDescent="0.35">
      <c r="A709" t="s">
        <v>769</v>
      </c>
      <c r="B709" t="s">
        <v>522</v>
      </c>
      <c r="C709" t="s">
        <v>770</v>
      </c>
      <c r="D709">
        <v>2007</v>
      </c>
      <c r="E709">
        <v>147</v>
      </c>
      <c r="F709" t="s">
        <v>600</v>
      </c>
      <c r="G709" t="s">
        <v>829</v>
      </c>
      <c r="H709" t="s">
        <v>541</v>
      </c>
      <c r="K709" t="s">
        <v>394</v>
      </c>
      <c r="M709" t="s">
        <v>348</v>
      </c>
      <c r="N709" t="s">
        <v>538</v>
      </c>
      <c r="O709" t="s">
        <v>768</v>
      </c>
      <c r="P709" t="s">
        <v>767</v>
      </c>
      <c r="Q709" s="4" t="s">
        <v>230</v>
      </c>
      <c r="R709">
        <v>0</v>
      </c>
      <c r="S709" s="3">
        <f>1/0.827</f>
        <v>1.2091898428053205</v>
      </c>
      <c r="T709" s="3">
        <v>0</v>
      </c>
      <c r="Y709" t="s">
        <v>828</v>
      </c>
    </row>
    <row r="710" spans="1:25" x14ac:dyDescent="0.35">
      <c r="A710" t="s">
        <v>769</v>
      </c>
      <c r="B710" t="s">
        <v>522</v>
      </c>
      <c r="C710" t="s">
        <v>770</v>
      </c>
      <c r="D710">
        <v>2007</v>
      </c>
      <c r="E710">
        <v>147</v>
      </c>
      <c r="F710" t="s">
        <v>600</v>
      </c>
      <c r="G710" t="s">
        <v>829</v>
      </c>
      <c r="H710" t="s">
        <v>541</v>
      </c>
      <c r="K710" t="s">
        <v>394</v>
      </c>
      <c r="M710" t="s">
        <v>348</v>
      </c>
      <c r="N710" t="s">
        <v>538</v>
      </c>
      <c r="O710" t="s">
        <v>768</v>
      </c>
      <c r="P710" t="s">
        <v>767</v>
      </c>
      <c r="Q710" s="4" t="s">
        <v>230</v>
      </c>
      <c r="R710">
        <v>-40</v>
      </c>
      <c r="S710" s="3">
        <f>1/0.751</f>
        <v>1.3315579227696406</v>
      </c>
      <c r="T710" s="3">
        <v>2</v>
      </c>
      <c r="Y710" t="s">
        <v>828</v>
      </c>
    </row>
    <row r="711" spans="1:25" x14ac:dyDescent="0.35">
      <c r="A711" t="s">
        <v>769</v>
      </c>
      <c r="B711" t="s">
        <v>522</v>
      </c>
      <c r="C711" t="s">
        <v>770</v>
      </c>
      <c r="D711">
        <v>2007</v>
      </c>
      <c r="E711">
        <v>147</v>
      </c>
      <c r="F711" t="s">
        <v>600</v>
      </c>
      <c r="G711" t="s">
        <v>829</v>
      </c>
      <c r="H711" t="s">
        <v>541</v>
      </c>
      <c r="K711" t="s">
        <v>394</v>
      </c>
      <c r="M711" t="s">
        <v>348</v>
      </c>
      <c r="N711" t="s">
        <v>538</v>
      </c>
      <c r="O711" t="s">
        <v>768</v>
      </c>
      <c r="P711" t="s">
        <v>767</v>
      </c>
      <c r="Q711" s="4" t="s">
        <v>230</v>
      </c>
      <c r="R711">
        <v>-40</v>
      </c>
      <c r="S711" s="3">
        <f>1/0.772</f>
        <v>1.2953367875647668</v>
      </c>
      <c r="T711" s="3">
        <v>2</v>
      </c>
      <c r="Y711" t="s">
        <v>828</v>
      </c>
    </row>
    <row r="712" spans="1:25" x14ac:dyDescent="0.35">
      <c r="A712" t="s">
        <v>769</v>
      </c>
      <c r="B712" t="s">
        <v>522</v>
      </c>
      <c r="C712" t="s">
        <v>770</v>
      </c>
      <c r="D712">
        <v>2007</v>
      </c>
      <c r="E712">
        <v>147</v>
      </c>
      <c r="F712" t="s">
        <v>600</v>
      </c>
      <c r="G712" t="s">
        <v>829</v>
      </c>
      <c r="H712" t="s">
        <v>541</v>
      </c>
      <c r="K712" t="s">
        <v>394</v>
      </c>
      <c r="M712" t="s">
        <v>348</v>
      </c>
      <c r="N712" t="s">
        <v>538</v>
      </c>
      <c r="O712" t="s">
        <v>768</v>
      </c>
      <c r="P712" t="s">
        <v>767</v>
      </c>
      <c r="Q712" s="4" t="s">
        <v>230</v>
      </c>
      <c r="R712">
        <v>-40</v>
      </c>
      <c r="S712" s="3">
        <f>1/0.823</f>
        <v>1.2150668286755772</v>
      </c>
      <c r="T712" s="3">
        <v>2</v>
      </c>
      <c r="Y712" t="s">
        <v>828</v>
      </c>
    </row>
    <row r="713" spans="1:25" x14ac:dyDescent="0.35">
      <c r="A713" t="s">
        <v>769</v>
      </c>
      <c r="B713" t="s">
        <v>522</v>
      </c>
      <c r="C713" t="s">
        <v>770</v>
      </c>
      <c r="D713">
        <v>2007</v>
      </c>
      <c r="E713">
        <v>147</v>
      </c>
      <c r="F713" t="s">
        <v>600</v>
      </c>
      <c r="G713" t="s">
        <v>829</v>
      </c>
      <c r="H713" t="s">
        <v>541</v>
      </c>
      <c r="K713" t="s">
        <v>394</v>
      </c>
      <c r="M713" t="s">
        <v>348</v>
      </c>
      <c r="N713" t="s">
        <v>538</v>
      </c>
      <c r="O713" t="s">
        <v>768</v>
      </c>
      <c r="P713" t="s">
        <v>767</v>
      </c>
      <c r="Q713" s="4" t="s">
        <v>230</v>
      </c>
      <c r="R713">
        <v>-40</v>
      </c>
      <c r="S713" s="3">
        <f>1/0.764</f>
        <v>1.3089005235602094</v>
      </c>
      <c r="T713" s="3">
        <v>2</v>
      </c>
      <c r="Y713" t="s">
        <v>828</v>
      </c>
    </row>
    <row r="714" spans="1:25" x14ac:dyDescent="0.35">
      <c r="A714" t="s">
        <v>769</v>
      </c>
      <c r="B714" t="s">
        <v>522</v>
      </c>
      <c r="C714" t="s">
        <v>770</v>
      </c>
      <c r="D714">
        <v>2007</v>
      </c>
      <c r="E714">
        <v>147</v>
      </c>
      <c r="F714" t="s">
        <v>600</v>
      </c>
      <c r="G714" t="s">
        <v>829</v>
      </c>
      <c r="H714" t="s">
        <v>541</v>
      </c>
      <c r="K714" t="s">
        <v>394</v>
      </c>
      <c r="M714" t="s">
        <v>348</v>
      </c>
      <c r="N714" t="s">
        <v>538</v>
      </c>
      <c r="O714" t="s">
        <v>768</v>
      </c>
      <c r="P714" t="s">
        <v>767</v>
      </c>
      <c r="Q714" s="4" t="s">
        <v>230</v>
      </c>
      <c r="R714">
        <v>-40</v>
      </c>
      <c r="S714" s="3">
        <f>1/0.744</f>
        <v>1.3440860215053763</v>
      </c>
      <c r="T714" s="3">
        <v>2</v>
      </c>
      <c r="Y714" t="s">
        <v>828</v>
      </c>
    </row>
    <row r="715" spans="1:25" x14ac:dyDescent="0.35">
      <c r="A715" t="s">
        <v>769</v>
      </c>
      <c r="B715" t="s">
        <v>774</v>
      </c>
      <c r="C715" t="s">
        <v>770</v>
      </c>
      <c r="D715">
        <v>2011</v>
      </c>
      <c r="E715">
        <v>148</v>
      </c>
      <c r="F715" t="s">
        <v>600</v>
      </c>
      <c r="G715" t="s">
        <v>829</v>
      </c>
      <c r="H715" t="s">
        <v>541</v>
      </c>
      <c r="K715" t="s">
        <v>378</v>
      </c>
      <c r="L715" t="s">
        <v>393</v>
      </c>
      <c r="M715" t="s">
        <v>348</v>
      </c>
      <c r="N715" t="s">
        <v>773</v>
      </c>
      <c r="O715" t="s">
        <v>772</v>
      </c>
      <c r="P715" t="s">
        <v>771</v>
      </c>
      <c r="Q715" s="4" t="s">
        <v>230</v>
      </c>
      <c r="R715">
        <v>0</v>
      </c>
      <c r="S715" s="3">
        <f>1/0.1358</f>
        <v>7.3637702503681881</v>
      </c>
      <c r="T715" s="3">
        <v>0</v>
      </c>
      <c r="U715">
        <v>0</v>
      </c>
      <c r="Y715" t="s">
        <v>828</v>
      </c>
    </row>
    <row r="716" spans="1:25" x14ac:dyDescent="0.35">
      <c r="A716" t="s">
        <v>769</v>
      </c>
      <c r="B716" t="s">
        <v>774</v>
      </c>
      <c r="C716" t="s">
        <v>770</v>
      </c>
      <c r="D716">
        <v>2011</v>
      </c>
      <c r="E716">
        <v>148</v>
      </c>
      <c r="F716" t="s">
        <v>600</v>
      </c>
      <c r="G716" t="s">
        <v>829</v>
      </c>
      <c r="H716" t="s">
        <v>541</v>
      </c>
      <c r="K716" t="s">
        <v>378</v>
      </c>
      <c r="L716" t="s">
        <v>393</v>
      </c>
      <c r="M716" t="s">
        <v>348</v>
      </c>
      <c r="N716" t="s">
        <v>773</v>
      </c>
      <c r="O716" t="s">
        <v>772</v>
      </c>
      <c r="P716" t="s">
        <v>771</v>
      </c>
      <c r="Q716" s="4" t="s">
        <v>230</v>
      </c>
      <c r="R716">
        <v>10</v>
      </c>
      <c r="S716" s="3">
        <f>1/0.121</f>
        <v>8.2644628099173563</v>
      </c>
      <c r="T716" s="3">
        <v>0</v>
      </c>
      <c r="U716">
        <v>0</v>
      </c>
      <c r="Y716" t="s">
        <v>828</v>
      </c>
    </row>
    <row r="717" spans="1:25" x14ac:dyDescent="0.35">
      <c r="A717" t="s">
        <v>769</v>
      </c>
      <c r="B717" t="s">
        <v>774</v>
      </c>
      <c r="C717" t="s">
        <v>770</v>
      </c>
      <c r="D717">
        <v>2011</v>
      </c>
      <c r="E717">
        <v>148</v>
      </c>
      <c r="F717" t="s">
        <v>600</v>
      </c>
      <c r="G717" t="s">
        <v>829</v>
      </c>
      <c r="H717" t="s">
        <v>541</v>
      </c>
      <c r="K717" t="s">
        <v>378</v>
      </c>
      <c r="L717" t="s">
        <v>393</v>
      </c>
      <c r="M717" t="s">
        <v>348</v>
      </c>
      <c r="N717" t="s">
        <v>773</v>
      </c>
      <c r="O717" t="s">
        <v>772</v>
      </c>
      <c r="P717" t="s">
        <v>771</v>
      </c>
      <c r="Q717" s="4" t="s">
        <v>230</v>
      </c>
      <c r="R717">
        <v>25</v>
      </c>
      <c r="S717" s="3">
        <f>1/0.103</f>
        <v>9.7087378640776709</v>
      </c>
      <c r="T717" s="3">
        <v>0</v>
      </c>
      <c r="U717">
        <v>0</v>
      </c>
      <c r="Y717" t="s">
        <v>828</v>
      </c>
    </row>
    <row r="718" spans="1:25" x14ac:dyDescent="0.35">
      <c r="A718" t="s">
        <v>769</v>
      </c>
      <c r="B718" t="s">
        <v>774</v>
      </c>
      <c r="C718" t="s">
        <v>770</v>
      </c>
      <c r="D718">
        <v>2011</v>
      </c>
      <c r="E718">
        <v>148</v>
      </c>
      <c r="F718" t="s">
        <v>600</v>
      </c>
      <c r="G718" t="s">
        <v>829</v>
      </c>
      <c r="H718" t="s">
        <v>541</v>
      </c>
      <c r="K718" t="s">
        <v>378</v>
      </c>
      <c r="L718" t="s">
        <v>393</v>
      </c>
      <c r="M718" t="s">
        <v>348</v>
      </c>
      <c r="N718" t="s">
        <v>773</v>
      </c>
      <c r="O718" t="s">
        <v>772</v>
      </c>
      <c r="P718" t="s">
        <v>771</v>
      </c>
      <c r="Q718" s="4" t="s">
        <v>230</v>
      </c>
      <c r="R718">
        <v>10</v>
      </c>
      <c r="S718" s="3">
        <f>1/0.1285</f>
        <v>7.782101167315175</v>
      </c>
      <c r="T718" s="3">
        <v>0</v>
      </c>
      <c r="U718">
        <v>0</v>
      </c>
      <c r="Y718" t="s">
        <v>828</v>
      </c>
    </row>
    <row r="719" spans="1:25" x14ac:dyDescent="0.35">
      <c r="A719" t="s">
        <v>769</v>
      </c>
      <c r="B719" t="s">
        <v>774</v>
      </c>
      <c r="C719" t="s">
        <v>770</v>
      </c>
      <c r="D719">
        <v>2011</v>
      </c>
      <c r="E719">
        <v>148</v>
      </c>
      <c r="F719" t="s">
        <v>600</v>
      </c>
      <c r="G719" t="s">
        <v>829</v>
      </c>
      <c r="H719" t="s">
        <v>541</v>
      </c>
      <c r="K719" t="s">
        <v>378</v>
      </c>
      <c r="L719" t="s">
        <v>393</v>
      </c>
      <c r="M719" t="s">
        <v>348</v>
      </c>
      <c r="N719" t="s">
        <v>773</v>
      </c>
      <c r="O719" t="s">
        <v>772</v>
      </c>
      <c r="P719" t="s">
        <v>771</v>
      </c>
      <c r="Q719" s="4" t="s">
        <v>230</v>
      </c>
      <c r="R719">
        <v>25</v>
      </c>
      <c r="S719" s="3">
        <f>1/0.1208</f>
        <v>8.2781456953642376</v>
      </c>
      <c r="T719" s="3">
        <v>0</v>
      </c>
      <c r="U719">
        <v>0</v>
      </c>
      <c r="Y719" t="s">
        <v>828</v>
      </c>
    </row>
    <row r="720" spans="1:25" x14ac:dyDescent="0.35">
      <c r="A720" t="s">
        <v>777</v>
      </c>
      <c r="B720" t="s">
        <v>522</v>
      </c>
      <c r="C720" t="s">
        <v>366</v>
      </c>
      <c r="D720">
        <v>2006</v>
      </c>
      <c r="E720">
        <v>149</v>
      </c>
      <c r="F720" t="s">
        <v>600</v>
      </c>
      <c r="G720" t="s">
        <v>829</v>
      </c>
      <c r="H720" t="s">
        <v>541</v>
      </c>
      <c r="K720" t="s">
        <v>378</v>
      </c>
      <c r="M720" t="s">
        <v>348</v>
      </c>
      <c r="N720" t="s">
        <v>538</v>
      </c>
      <c r="O720" t="s">
        <v>776</v>
      </c>
      <c r="P720" t="s">
        <v>775</v>
      </c>
      <c r="Q720" s="4" t="s">
        <v>230</v>
      </c>
      <c r="R720">
        <v>0</v>
      </c>
      <c r="S720" s="3">
        <v>1.04</v>
      </c>
      <c r="T720" s="3">
        <v>0</v>
      </c>
      <c r="U720" s="3">
        <v>0</v>
      </c>
      <c r="Y720" t="s">
        <v>828</v>
      </c>
    </row>
    <row r="721" spans="1:25" x14ac:dyDescent="0.35">
      <c r="A721" t="s">
        <v>777</v>
      </c>
      <c r="B721" t="s">
        <v>522</v>
      </c>
      <c r="C721" t="s">
        <v>366</v>
      </c>
      <c r="D721">
        <v>2006</v>
      </c>
      <c r="E721">
        <v>149</v>
      </c>
      <c r="F721" t="s">
        <v>600</v>
      </c>
      <c r="G721" t="s">
        <v>829</v>
      </c>
      <c r="H721" t="s">
        <v>541</v>
      </c>
      <c r="K721" t="s">
        <v>378</v>
      </c>
      <c r="M721" t="s">
        <v>348</v>
      </c>
      <c r="N721" t="s">
        <v>538</v>
      </c>
      <c r="O721" t="s">
        <v>776</v>
      </c>
      <c r="P721" t="s">
        <v>775</v>
      </c>
      <c r="Q721" s="4" t="s">
        <v>230</v>
      </c>
      <c r="R721">
        <v>20</v>
      </c>
      <c r="S721" s="3">
        <v>0.99</v>
      </c>
      <c r="T721" s="3">
        <v>0.7</v>
      </c>
      <c r="U721" s="3">
        <v>-7.5</v>
      </c>
      <c r="Y721" t="s">
        <v>828</v>
      </c>
    </row>
    <row r="722" spans="1:25" x14ac:dyDescent="0.35">
      <c r="A722" t="s">
        <v>777</v>
      </c>
      <c r="B722" t="s">
        <v>522</v>
      </c>
      <c r="C722" t="s">
        <v>366</v>
      </c>
      <c r="D722">
        <v>2006</v>
      </c>
      <c r="E722">
        <v>149</v>
      </c>
      <c r="F722" t="s">
        <v>600</v>
      </c>
      <c r="G722" t="s">
        <v>829</v>
      </c>
      <c r="H722" t="s">
        <v>541</v>
      </c>
      <c r="K722" t="s">
        <v>378</v>
      </c>
      <c r="M722" t="s">
        <v>348</v>
      </c>
      <c r="N722" t="s">
        <v>538</v>
      </c>
      <c r="O722" t="s">
        <v>776</v>
      </c>
      <c r="P722" t="s">
        <v>775</v>
      </c>
      <c r="Q722" s="4" t="s">
        <v>230</v>
      </c>
      <c r="R722">
        <v>34</v>
      </c>
      <c r="S722" s="3">
        <v>1.04</v>
      </c>
      <c r="T722" s="3">
        <v>1.2</v>
      </c>
      <c r="U722" s="3">
        <v>-12.1</v>
      </c>
      <c r="Y722" t="s">
        <v>828</v>
      </c>
    </row>
    <row r="723" spans="1:25" x14ac:dyDescent="0.35">
      <c r="A723" t="s">
        <v>777</v>
      </c>
      <c r="B723" t="s">
        <v>398</v>
      </c>
      <c r="C723" t="s">
        <v>366</v>
      </c>
      <c r="D723">
        <v>2008</v>
      </c>
      <c r="E723">
        <v>150</v>
      </c>
      <c r="F723" t="s">
        <v>600</v>
      </c>
      <c r="G723" t="s">
        <v>829</v>
      </c>
      <c r="H723" t="s">
        <v>541</v>
      </c>
      <c r="K723" t="s">
        <v>394</v>
      </c>
      <c r="M723" t="s">
        <v>348</v>
      </c>
      <c r="N723" t="s">
        <v>538</v>
      </c>
      <c r="O723" t="s">
        <v>95</v>
      </c>
      <c r="P723" t="s">
        <v>401</v>
      </c>
      <c r="Q723" s="4" t="s">
        <v>230</v>
      </c>
      <c r="R723">
        <v>0</v>
      </c>
      <c r="S723" s="3">
        <v>1.1299999999999999</v>
      </c>
      <c r="T723" s="3">
        <v>0</v>
      </c>
      <c r="U723" s="3">
        <v>0</v>
      </c>
      <c r="Y723" t="s">
        <v>828</v>
      </c>
    </row>
    <row r="724" spans="1:25" x14ac:dyDescent="0.35">
      <c r="A724" t="s">
        <v>777</v>
      </c>
      <c r="B724" t="s">
        <v>398</v>
      </c>
      <c r="C724" t="s">
        <v>366</v>
      </c>
      <c r="D724">
        <v>2008</v>
      </c>
      <c r="E724">
        <v>150</v>
      </c>
      <c r="F724" t="s">
        <v>600</v>
      </c>
      <c r="G724" t="s">
        <v>829</v>
      </c>
      <c r="H724" t="s">
        <v>541</v>
      </c>
      <c r="K724" t="s">
        <v>394</v>
      </c>
      <c r="M724" t="s">
        <v>348</v>
      </c>
      <c r="N724" t="s">
        <v>538</v>
      </c>
      <c r="O724" t="s">
        <v>95</v>
      </c>
      <c r="P724" t="s">
        <v>401</v>
      </c>
      <c r="Q724" s="4" t="s">
        <v>230</v>
      </c>
      <c r="R724">
        <v>20</v>
      </c>
      <c r="S724" s="3">
        <v>1.1200000000000001</v>
      </c>
      <c r="T724" s="3">
        <v>0.7</v>
      </c>
      <c r="U724" s="3">
        <v>-7.5</v>
      </c>
      <c r="Y724" t="s">
        <v>828</v>
      </c>
    </row>
    <row r="725" spans="1:25" x14ac:dyDescent="0.35">
      <c r="A725" t="s">
        <v>777</v>
      </c>
      <c r="B725" t="s">
        <v>398</v>
      </c>
      <c r="C725" t="s">
        <v>366</v>
      </c>
      <c r="D725">
        <v>2008</v>
      </c>
      <c r="E725">
        <v>150</v>
      </c>
      <c r="F725" t="s">
        <v>600</v>
      </c>
      <c r="G725" t="s">
        <v>829</v>
      </c>
      <c r="H725" t="s">
        <v>541</v>
      </c>
      <c r="K725" t="s">
        <v>394</v>
      </c>
      <c r="M725" t="s">
        <v>348</v>
      </c>
      <c r="N725" t="s">
        <v>538</v>
      </c>
      <c r="O725" t="s">
        <v>95</v>
      </c>
      <c r="P725" t="s">
        <v>401</v>
      </c>
      <c r="Q725" s="4" t="s">
        <v>230</v>
      </c>
      <c r="R725">
        <v>34</v>
      </c>
      <c r="S725" s="3">
        <v>1.1200000000000001</v>
      </c>
      <c r="T725" s="3">
        <v>1.2</v>
      </c>
      <c r="U725" s="3">
        <v>-12.1</v>
      </c>
      <c r="Y725" t="s">
        <v>828</v>
      </c>
    </row>
    <row r="726" spans="1:25" x14ac:dyDescent="0.35">
      <c r="A726" t="s">
        <v>777</v>
      </c>
      <c r="B726" t="s">
        <v>398</v>
      </c>
      <c r="C726" t="s">
        <v>366</v>
      </c>
      <c r="D726">
        <v>2008</v>
      </c>
      <c r="E726">
        <v>150</v>
      </c>
      <c r="F726" t="s">
        <v>600</v>
      </c>
      <c r="G726" t="s">
        <v>829</v>
      </c>
      <c r="H726" t="s">
        <v>541</v>
      </c>
      <c r="K726" t="s">
        <v>394</v>
      </c>
      <c r="M726" t="s">
        <v>348</v>
      </c>
      <c r="N726" t="s">
        <v>538</v>
      </c>
      <c r="O726" t="s">
        <v>373</v>
      </c>
      <c r="P726" t="s">
        <v>374</v>
      </c>
      <c r="Q726" s="4" t="s">
        <v>230</v>
      </c>
      <c r="R726">
        <v>0</v>
      </c>
      <c r="S726" s="3">
        <v>1.1100000000000001</v>
      </c>
      <c r="T726" s="3">
        <v>0</v>
      </c>
      <c r="U726" s="3">
        <v>0</v>
      </c>
      <c r="Y726" t="s">
        <v>828</v>
      </c>
    </row>
    <row r="727" spans="1:25" x14ac:dyDescent="0.35">
      <c r="A727" t="s">
        <v>777</v>
      </c>
      <c r="B727" t="s">
        <v>398</v>
      </c>
      <c r="C727" t="s">
        <v>366</v>
      </c>
      <c r="D727">
        <v>2008</v>
      </c>
      <c r="E727">
        <v>150</v>
      </c>
      <c r="F727" t="s">
        <v>600</v>
      </c>
      <c r="G727" t="s">
        <v>829</v>
      </c>
      <c r="H727" t="s">
        <v>541</v>
      </c>
      <c r="K727" t="s">
        <v>394</v>
      </c>
      <c r="M727" t="s">
        <v>348</v>
      </c>
      <c r="N727" t="s">
        <v>538</v>
      </c>
      <c r="O727" t="s">
        <v>373</v>
      </c>
      <c r="P727" t="s">
        <v>374</v>
      </c>
      <c r="Q727" s="4" t="s">
        <v>230</v>
      </c>
      <c r="R727">
        <v>20</v>
      </c>
      <c r="S727" s="3">
        <v>1.1000000000000001</v>
      </c>
      <c r="T727" s="3">
        <v>0.7</v>
      </c>
      <c r="U727" s="3">
        <v>-7.5</v>
      </c>
      <c r="Y727" t="s">
        <v>828</v>
      </c>
    </row>
    <row r="728" spans="1:25" x14ac:dyDescent="0.35">
      <c r="A728" t="s">
        <v>777</v>
      </c>
      <c r="B728" t="s">
        <v>398</v>
      </c>
      <c r="C728" t="s">
        <v>366</v>
      </c>
      <c r="D728">
        <v>2008</v>
      </c>
      <c r="E728">
        <v>150</v>
      </c>
      <c r="F728" t="s">
        <v>600</v>
      </c>
      <c r="G728" t="s">
        <v>829</v>
      </c>
      <c r="H728" t="s">
        <v>541</v>
      </c>
      <c r="K728" t="s">
        <v>394</v>
      </c>
      <c r="M728" t="s">
        <v>348</v>
      </c>
      <c r="N728" t="s">
        <v>538</v>
      </c>
      <c r="O728" t="s">
        <v>373</v>
      </c>
      <c r="P728" t="s">
        <v>374</v>
      </c>
      <c r="Q728" s="4" t="s">
        <v>230</v>
      </c>
      <c r="R728">
        <v>34</v>
      </c>
      <c r="S728" s="3">
        <v>1.1299999999999999</v>
      </c>
      <c r="T728" s="3">
        <v>1.2</v>
      </c>
      <c r="U728" s="3">
        <v>-12.1</v>
      </c>
      <c r="Y728" t="s">
        <v>828</v>
      </c>
    </row>
    <row r="729" spans="1:25" x14ac:dyDescent="0.35">
      <c r="A729" t="s">
        <v>777</v>
      </c>
      <c r="B729" t="s">
        <v>468</v>
      </c>
      <c r="C729" t="s">
        <v>366</v>
      </c>
      <c r="D729">
        <v>2015</v>
      </c>
      <c r="E729">
        <v>151</v>
      </c>
      <c r="F729" t="s">
        <v>600</v>
      </c>
      <c r="G729" t="s">
        <v>829</v>
      </c>
      <c r="H729" t="s">
        <v>541</v>
      </c>
      <c r="K729" t="s">
        <v>378</v>
      </c>
      <c r="L729" t="s">
        <v>574</v>
      </c>
      <c r="M729" t="s">
        <v>348</v>
      </c>
      <c r="N729" t="s">
        <v>538</v>
      </c>
      <c r="O729" t="s">
        <v>149</v>
      </c>
      <c r="P729" t="s">
        <v>148</v>
      </c>
      <c r="Q729" s="4" t="s">
        <v>230</v>
      </c>
      <c r="R729">
        <v>0</v>
      </c>
      <c r="S729" s="3">
        <v>0.66</v>
      </c>
      <c r="T729" s="3">
        <v>0</v>
      </c>
      <c r="U729" s="3">
        <v>0</v>
      </c>
      <c r="Y729" t="s">
        <v>828</v>
      </c>
    </row>
    <row r="730" spans="1:25" x14ac:dyDescent="0.35">
      <c r="A730" t="s">
        <v>777</v>
      </c>
      <c r="B730" t="s">
        <v>468</v>
      </c>
      <c r="C730" t="s">
        <v>366</v>
      </c>
      <c r="D730">
        <v>2015</v>
      </c>
      <c r="E730">
        <v>151</v>
      </c>
      <c r="F730" t="s">
        <v>600</v>
      </c>
      <c r="G730" t="s">
        <v>829</v>
      </c>
      <c r="H730" t="s">
        <v>541</v>
      </c>
      <c r="K730" t="s">
        <v>378</v>
      </c>
      <c r="L730" t="s">
        <v>574</v>
      </c>
      <c r="M730" t="s">
        <v>348</v>
      </c>
      <c r="N730" t="s">
        <v>538</v>
      </c>
      <c r="O730" t="s">
        <v>149</v>
      </c>
      <c r="P730" t="s">
        <v>148</v>
      </c>
      <c r="Q730" s="4" t="s">
        <v>230</v>
      </c>
      <c r="R730">
        <v>30</v>
      </c>
      <c r="S730" s="3">
        <v>0.66</v>
      </c>
      <c r="T730" s="3">
        <v>1.5</v>
      </c>
      <c r="U730" s="3">
        <v>6.5</v>
      </c>
      <c r="Y730" t="s">
        <v>828</v>
      </c>
    </row>
    <row r="731" spans="1:25" x14ac:dyDescent="0.35">
      <c r="A731" t="s">
        <v>777</v>
      </c>
      <c r="B731" t="s">
        <v>468</v>
      </c>
      <c r="C731" t="s">
        <v>366</v>
      </c>
      <c r="D731">
        <v>2015</v>
      </c>
      <c r="E731">
        <v>151</v>
      </c>
      <c r="F731" t="s">
        <v>600</v>
      </c>
      <c r="G731" t="s">
        <v>829</v>
      </c>
      <c r="H731" t="s">
        <v>541</v>
      </c>
      <c r="K731" t="s">
        <v>378</v>
      </c>
      <c r="L731" t="s">
        <v>574</v>
      </c>
      <c r="M731" t="s">
        <v>348</v>
      </c>
      <c r="N731" t="s">
        <v>538</v>
      </c>
      <c r="O731" t="s">
        <v>149</v>
      </c>
      <c r="P731" t="s">
        <v>148</v>
      </c>
      <c r="Q731" s="4" t="s">
        <v>230</v>
      </c>
      <c r="R731">
        <v>60</v>
      </c>
      <c r="S731" s="3">
        <v>0.68</v>
      </c>
      <c r="T731" s="3">
        <v>2.9</v>
      </c>
      <c r="U731" s="3">
        <v>12.9</v>
      </c>
      <c r="Y731" t="s">
        <v>828</v>
      </c>
    </row>
    <row r="732" spans="1:25" x14ac:dyDescent="0.35">
      <c r="A732" t="s">
        <v>777</v>
      </c>
      <c r="B732" t="s">
        <v>468</v>
      </c>
      <c r="C732" t="s">
        <v>366</v>
      </c>
      <c r="D732">
        <v>2015</v>
      </c>
      <c r="E732">
        <v>151</v>
      </c>
      <c r="F732" t="s">
        <v>600</v>
      </c>
      <c r="G732" t="s">
        <v>829</v>
      </c>
      <c r="H732" t="s">
        <v>541</v>
      </c>
      <c r="K732" t="s">
        <v>378</v>
      </c>
      <c r="L732" t="s">
        <v>574</v>
      </c>
      <c r="M732" t="s">
        <v>348</v>
      </c>
      <c r="N732" t="s">
        <v>538</v>
      </c>
      <c r="O732" t="s">
        <v>149</v>
      </c>
      <c r="P732" t="s">
        <v>148</v>
      </c>
      <c r="Q732" s="4" t="s">
        <v>230</v>
      </c>
      <c r="R732">
        <v>90</v>
      </c>
      <c r="S732" s="3">
        <v>0.83</v>
      </c>
      <c r="T732" s="3">
        <v>4.4000000000000004</v>
      </c>
      <c r="U732" s="3">
        <v>19.600000000000001</v>
      </c>
      <c r="Y732" t="s">
        <v>828</v>
      </c>
    </row>
    <row r="733" spans="1:25" x14ac:dyDescent="0.35">
      <c r="A733" t="s">
        <v>778</v>
      </c>
      <c r="B733" t="s">
        <v>532</v>
      </c>
      <c r="C733" t="s">
        <v>549</v>
      </c>
      <c r="D733">
        <v>2012</v>
      </c>
      <c r="E733">
        <v>152</v>
      </c>
      <c r="F733" t="s">
        <v>600</v>
      </c>
      <c r="G733" t="s">
        <v>829</v>
      </c>
      <c r="H733" t="s">
        <v>541</v>
      </c>
      <c r="K733" t="s">
        <v>394</v>
      </c>
      <c r="M733" t="s">
        <v>348</v>
      </c>
      <c r="N733" t="s">
        <v>538</v>
      </c>
      <c r="O733" t="s">
        <v>779</v>
      </c>
      <c r="P733" t="s">
        <v>780</v>
      </c>
      <c r="Q733" s="4" t="s">
        <v>230</v>
      </c>
      <c r="R733">
        <v>0</v>
      </c>
      <c r="S733" s="3">
        <v>1.66</v>
      </c>
      <c r="T733" s="3">
        <v>0</v>
      </c>
      <c r="U733" s="3">
        <v>0</v>
      </c>
      <c r="Y733" t="s">
        <v>828</v>
      </c>
    </row>
    <row r="734" spans="1:25" x14ac:dyDescent="0.35">
      <c r="A734" t="s">
        <v>778</v>
      </c>
      <c r="B734" t="s">
        <v>532</v>
      </c>
      <c r="C734" t="s">
        <v>549</v>
      </c>
      <c r="D734">
        <v>2012</v>
      </c>
      <c r="E734">
        <v>152</v>
      </c>
      <c r="F734" t="s">
        <v>600</v>
      </c>
      <c r="G734" t="s">
        <v>829</v>
      </c>
      <c r="H734" t="s">
        <v>541</v>
      </c>
      <c r="K734" t="s">
        <v>394</v>
      </c>
      <c r="M734" t="s">
        <v>348</v>
      </c>
      <c r="N734" t="s">
        <v>538</v>
      </c>
      <c r="O734" t="s">
        <v>779</v>
      </c>
      <c r="P734" t="s">
        <v>780</v>
      </c>
      <c r="Q734" s="4" t="s">
        <v>230</v>
      </c>
      <c r="R734">
        <v>33</v>
      </c>
      <c r="S734" s="3">
        <v>1.7</v>
      </c>
      <c r="T734" s="3">
        <v>0</v>
      </c>
      <c r="U734" s="3">
        <v>-8</v>
      </c>
      <c r="Y734" t="s">
        <v>828</v>
      </c>
    </row>
    <row r="735" spans="1:25" x14ac:dyDescent="0.35">
      <c r="A735" t="s">
        <v>778</v>
      </c>
      <c r="B735" t="s">
        <v>532</v>
      </c>
      <c r="C735" t="s">
        <v>549</v>
      </c>
      <c r="D735">
        <v>2012</v>
      </c>
      <c r="E735">
        <v>152</v>
      </c>
      <c r="F735" t="s">
        <v>600</v>
      </c>
      <c r="G735" t="s">
        <v>829</v>
      </c>
      <c r="H735" t="s">
        <v>541</v>
      </c>
      <c r="K735" t="s">
        <v>394</v>
      </c>
      <c r="M735" t="s">
        <v>348</v>
      </c>
      <c r="N735" t="s">
        <v>538</v>
      </c>
      <c r="O735" t="s">
        <v>779</v>
      </c>
      <c r="P735" t="s">
        <v>780</v>
      </c>
      <c r="Q735" s="4" t="s">
        <v>230</v>
      </c>
      <c r="R735">
        <v>66</v>
      </c>
      <c r="S735" s="3">
        <v>1.6</v>
      </c>
      <c r="T735" s="3">
        <v>0</v>
      </c>
      <c r="U735" s="3">
        <v>-16</v>
      </c>
      <c r="Y735" t="s">
        <v>828</v>
      </c>
    </row>
    <row r="736" spans="1:25" x14ac:dyDescent="0.35">
      <c r="A736" t="s">
        <v>781</v>
      </c>
      <c r="B736" t="s">
        <v>522</v>
      </c>
      <c r="C736" t="s">
        <v>517</v>
      </c>
      <c r="D736">
        <v>2011</v>
      </c>
      <c r="E736">
        <v>153</v>
      </c>
      <c r="F736" t="s">
        <v>416</v>
      </c>
      <c r="G736" t="s">
        <v>829</v>
      </c>
      <c r="H736" t="s">
        <v>541</v>
      </c>
      <c r="I736" t="s">
        <v>782</v>
      </c>
      <c r="J736" t="s">
        <v>783</v>
      </c>
      <c r="M736" t="s">
        <v>348</v>
      </c>
      <c r="N736" t="s">
        <v>380</v>
      </c>
      <c r="O736" t="s">
        <v>413</v>
      </c>
      <c r="P736" t="s">
        <v>131</v>
      </c>
      <c r="Q736" s="4" t="s">
        <v>520</v>
      </c>
      <c r="R736">
        <v>0</v>
      </c>
      <c r="S736" s="3">
        <v>0.81</v>
      </c>
      <c r="T736" s="3">
        <v>0</v>
      </c>
      <c r="U736" s="3">
        <v>0</v>
      </c>
      <c r="Y736" t="s">
        <v>828</v>
      </c>
    </row>
    <row r="737" spans="1:25" x14ac:dyDescent="0.35">
      <c r="A737" t="s">
        <v>781</v>
      </c>
      <c r="B737" t="s">
        <v>522</v>
      </c>
      <c r="C737" t="s">
        <v>517</v>
      </c>
      <c r="D737">
        <v>2011</v>
      </c>
      <c r="E737">
        <v>153</v>
      </c>
      <c r="F737" t="s">
        <v>416</v>
      </c>
      <c r="G737" t="s">
        <v>829</v>
      </c>
      <c r="H737" t="s">
        <v>541</v>
      </c>
      <c r="I737" t="s">
        <v>782</v>
      </c>
      <c r="J737" t="s">
        <v>783</v>
      </c>
      <c r="M737" t="s">
        <v>348</v>
      </c>
      <c r="N737" t="s">
        <v>380</v>
      </c>
      <c r="O737" t="s">
        <v>413</v>
      </c>
      <c r="P737" t="s">
        <v>131</v>
      </c>
      <c r="Q737" s="4" t="s">
        <v>520</v>
      </c>
      <c r="R737">
        <v>0</v>
      </c>
      <c r="S737" s="3">
        <v>0.8</v>
      </c>
      <c r="T737" s="3">
        <v>0</v>
      </c>
      <c r="U737" s="3">
        <v>0</v>
      </c>
      <c r="Y737" t="s">
        <v>828</v>
      </c>
    </row>
    <row r="738" spans="1:25" x14ac:dyDescent="0.35">
      <c r="A738" t="s">
        <v>781</v>
      </c>
      <c r="B738" t="s">
        <v>522</v>
      </c>
      <c r="C738" t="s">
        <v>517</v>
      </c>
      <c r="D738">
        <v>2011</v>
      </c>
      <c r="E738">
        <v>153</v>
      </c>
      <c r="F738" t="s">
        <v>416</v>
      </c>
      <c r="G738" t="s">
        <v>829</v>
      </c>
      <c r="H738" t="s">
        <v>541</v>
      </c>
      <c r="I738" t="s">
        <v>782</v>
      </c>
      <c r="J738" t="s">
        <v>783</v>
      </c>
      <c r="M738" t="s">
        <v>348</v>
      </c>
      <c r="N738" t="s">
        <v>380</v>
      </c>
      <c r="O738" t="s">
        <v>413</v>
      </c>
      <c r="P738" t="s">
        <v>131</v>
      </c>
      <c r="Q738" s="4" t="s">
        <v>520</v>
      </c>
      <c r="R738">
        <v>50</v>
      </c>
      <c r="S738" s="3">
        <v>0.89</v>
      </c>
      <c r="T738" s="3">
        <v>1.3</v>
      </c>
      <c r="U738" s="3">
        <v>25.4</v>
      </c>
      <c r="Y738" t="s">
        <v>828</v>
      </c>
    </row>
    <row r="739" spans="1:25" x14ac:dyDescent="0.35">
      <c r="A739" t="s">
        <v>781</v>
      </c>
      <c r="B739" t="s">
        <v>522</v>
      </c>
      <c r="C739" t="s">
        <v>517</v>
      </c>
      <c r="D739">
        <v>2011</v>
      </c>
      <c r="E739">
        <v>153</v>
      </c>
      <c r="F739" t="s">
        <v>416</v>
      </c>
      <c r="G739" t="s">
        <v>829</v>
      </c>
      <c r="H739" t="s">
        <v>541</v>
      </c>
      <c r="I739" t="s">
        <v>782</v>
      </c>
      <c r="J739" t="s">
        <v>783</v>
      </c>
      <c r="M739" t="s">
        <v>348</v>
      </c>
      <c r="N739" t="s">
        <v>380</v>
      </c>
      <c r="O739" t="s">
        <v>413</v>
      </c>
      <c r="P739" t="s">
        <v>131</v>
      </c>
      <c r="Q739" s="4" t="s">
        <v>520</v>
      </c>
      <c r="R739">
        <v>50</v>
      </c>
      <c r="S739" s="3">
        <v>0.86</v>
      </c>
      <c r="T739" s="3">
        <v>1.3</v>
      </c>
      <c r="U739" s="3">
        <v>25.4</v>
      </c>
      <c r="Y739" t="s">
        <v>828</v>
      </c>
    </row>
    <row r="740" spans="1:25" x14ac:dyDescent="0.35">
      <c r="A740" t="s">
        <v>781</v>
      </c>
      <c r="B740" t="s">
        <v>522</v>
      </c>
      <c r="C740" t="s">
        <v>517</v>
      </c>
      <c r="D740">
        <v>2011</v>
      </c>
      <c r="E740">
        <v>153</v>
      </c>
      <c r="F740" t="s">
        <v>416</v>
      </c>
      <c r="G740" t="s">
        <v>829</v>
      </c>
      <c r="H740" t="s">
        <v>541</v>
      </c>
      <c r="I740" t="s">
        <v>782</v>
      </c>
      <c r="J740" t="s">
        <v>783</v>
      </c>
      <c r="M740" t="s">
        <v>348</v>
      </c>
      <c r="N740" t="s">
        <v>380</v>
      </c>
      <c r="O740" t="s">
        <v>413</v>
      </c>
      <c r="P740" t="s">
        <v>131</v>
      </c>
      <c r="Q740" s="4" t="s">
        <v>520</v>
      </c>
      <c r="R740">
        <v>100</v>
      </c>
      <c r="S740" s="3">
        <v>0.97</v>
      </c>
      <c r="T740" s="3">
        <v>2.8</v>
      </c>
      <c r="U740" s="3">
        <v>39.299999999999997</v>
      </c>
      <c r="Y740" t="s">
        <v>828</v>
      </c>
    </row>
    <row r="741" spans="1:25" x14ac:dyDescent="0.35">
      <c r="A741" t="s">
        <v>781</v>
      </c>
      <c r="B741" t="s">
        <v>522</v>
      </c>
      <c r="C741" t="s">
        <v>517</v>
      </c>
      <c r="D741">
        <v>2011</v>
      </c>
      <c r="E741">
        <v>153</v>
      </c>
      <c r="F741" t="s">
        <v>416</v>
      </c>
      <c r="G741" t="s">
        <v>829</v>
      </c>
      <c r="H741" t="s">
        <v>541</v>
      </c>
      <c r="I741" t="s">
        <v>782</v>
      </c>
      <c r="J741" t="s">
        <v>783</v>
      </c>
      <c r="M741" t="s">
        <v>348</v>
      </c>
      <c r="N741" t="s">
        <v>380</v>
      </c>
      <c r="O741" t="s">
        <v>413</v>
      </c>
      <c r="P741" t="s">
        <v>131</v>
      </c>
      <c r="Q741" s="4" t="s">
        <v>520</v>
      </c>
      <c r="R741">
        <v>100</v>
      </c>
      <c r="S741" s="3">
        <v>0.93</v>
      </c>
      <c r="T741" s="3">
        <v>2.8</v>
      </c>
      <c r="U741" s="3">
        <v>39.299999999999997</v>
      </c>
      <c r="Y741" t="s">
        <v>828</v>
      </c>
    </row>
    <row r="742" spans="1:25" x14ac:dyDescent="0.35">
      <c r="A742" t="s">
        <v>784</v>
      </c>
      <c r="B742" t="s">
        <v>522</v>
      </c>
      <c r="C742" t="s">
        <v>385</v>
      </c>
      <c r="D742">
        <v>2015</v>
      </c>
      <c r="E742">
        <v>154</v>
      </c>
      <c r="F742" t="s">
        <v>416</v>
      </c>
      <c r="G742" t="s">
        <v>829</v>
      </c>
      <c r="H742" t="s">
        <v>541</v>
      </c>
      <c r="I742" t="s">
        <v>711</v>
      </c>
      <c r="K742" t="s">
        <v>378</v>
      </c>
      <c r="L742" t="s">
        <v>785</v>
      </c>
      <c r="M742" t="s">
        <v>348</v>
      </c>
      <c r="N742" t="s">
        <v>538</v>
      </c>
      <c r="O742" t="s">
        <v>786</v>
      </c>
      <c r="P742" t="s">
        <v>787</v>
      </c>
      <c r="Q742" s="4" t="s">
        <v>230</v>
      </c>
      <c r="R742">
        <v>0</v>
      </c>
      <c r="S742" s="3">
        <v>1.1000000000000001</v>
      </c>
      <c r="T742" s="3">
        <v>0</v>
      </c>
      <c r="U742" s="3">
        <v>0</v>
      </c>
      <c r="Y742" t="s">
        <v>828</v>
      </c>
    </row>
    <row r="743" spans="1:25" x14ac:dyDescent="0.35">
      <c r="A743" t="s">
        <v>784</v>
      </c>
      <c r="B743" t="s">
        <v>522</v>
      </c>
      <c r="C743" t="s">
        <v>385</v>
      </c>
      <c r="D743">
        <v>2015</v>
      </c>
      <c r="E743">
        <v>154</v>
      </c>
      <c r="F743" t="s">
        <v>416</v>
      </c>
      <c r="G743" t="s">
        <v>829</v>
      </c>
      <c r="H743" t="s">
        <v>541</v>
      </c>
      <c r="I743" t="s">
        <v>711</v>
      </c>
      <c r="K743" t="s">
        <v>378</v>
      </c>
      <c r="L743" t="s">
        <v>785</v>
      </c>
      <c r="M743" t="s">
        <v>348</v>
      </c>
      <c r="N743" t="s">
        <v>538</v>
      </c>
      <c r="O743" t="s">
        <v>786</v>
      </c>
      <c r="P743" t="s">
        <v>787</v>
      </c>
      <c r="Q743" s="4" t="s">
        <v>230</v>
      </c>
      <c r="R743">
        <v>50</v>
      </c>
      <c r="S743" s="3">
        <v>1.2</v>
      </c>
      <c r="T743" s="3">
        <v>2.8</v>
      </c>
      <c r="U743" s="3">
        <v>-7.4</v>
      </c>
      <c r="Y743" t="s">
        <v>828</v>
      </c>
    </row>
    <row r="744" spans="1:25" x14ac:dyDescent="0.35">
      <c r="A744" t="s">
        <v>784</v>
      </c>
      <c r="B744" t="s">
        <v>522</v>
      </c>
      <c r="C744" t="s">
        <v>385</v>
      </c>
      <c r="D744">
        <v>2015</v>
      </c>
      <c r="E744">
        <v>154</v>
      </c>
      <c r="F744" t="s">
        <v>416</v>
      </c>
      <c r="G744" t="s">
        <v>829</v>
      </c>
      <c r="H744" t="s">
        <v>541</v>
      </c>
      <c r="I744" t="s">
        <v>711</v>
      </c>
      <c r="K744" t="s">
        <v>378</v>
      </c>
      <c r="L744" t="s">
        <v>785</v>
      </c>
      <c r="M744" t="s">
        <v>348</v>
      </c>
      <c r="N744" t="s">
        <v>538</v>
      </c>
      <c r="O744" t="s">
        <v>786</v>
      </c>
      <c r="P744" t="s">
        <v>787</v>
      </c>
      <c r="Q744" s="4" t="s">
        <v>230</v>
      </c>
      <c r="R744">
        <v>60</v>
      </c>
      <c r="S744" s="3">
        <v>1.2</v>
      </c>
      <c r="T744" s="3">
        <v>3.6</v>
      </c>
      <c r="U744" s="3">
        <v>-9.3000000000000007</v>
      </c>
      <c r="Y744" t="s">
        <v>828</v>
      </c>
    </row>
    <row r="745" spans="1:25" x14ac:dyDescent="0.35">
      <c r="A745" t="s">
        <v>784</v>
      </c>
      <c r="B745" t="s">
        <v>522</v>
      </c>
      <c r="C745" t="s">
        <v>385</v>
      </c>
      <c r="D745">
        <v>2015</v>
      </c>
      <c r="E745">
        <v>154</v>
      </c>
      <c r="F745" t="s">
        <v>416</v>
      </c>
      <c r="G745" t="s">
        <v>829</v>
      </c>
      <c r="H745" t="s">
        <v>541</v>
      </c>
      <c r="I745" t="s">
        <v>711</v>
      </c>
      <c r="K745" t="s">
        <v>378</v>
      </c>
      <c r="L745" t="s">
        <v>785</v>
      </c>
      <c r="M745" t="s">
        <v>348</v>
      </c>
      <c r="N745" t="s">
        <v>538</v>
      </c>
      <c r="O745" t="s">
        <v>786</v>
      </c>
      <c r="P745" t="s">
        <v>787</v>
      </c>
      <c r="Q745" s="4" t="s">
        <v>230</v>
      </c>
      <c r="R745">
        <v>70</v>
      </c>
      <c r="S745" s="3">
        <v>1.3</v>
      </c>
      <c r="T745" s="3">
        <v>4</v>
      </c>
      <c r="U745" s="3">
        <v>-13.2</v>
      </c>
      <c r="Y745" t="s">
        <v>828</v>
      </c>
    </row>
    <row r="746" spans="1:25" x14ac:dyDescent="0.35">
      <c r="A746" t="s">
        <v>784</v>
      </c>
      <c r="B746" t="s">
        <v>522</v>
      </c>
      <c r="C746" t="s">
        <v>385</v>
      </c>
      <c r="D746">
        <v>2015</v>
      </c>
      <c r="E746">
        <v>154</v>
      </c>
      <c r="F746" t="s">
        <v>416</v>
      </c>
      <c r="G746" t="s">
        <v>829</v>
      </c>
      <c r="H746" t="s">
        <v>541</v>
      </c>
      <c r="I746" t="s">
        <v>711</v>
      </c>
      <c r="K746" t="s">
        <v>378</v>
      </c>
      <c r="L746" t="s">
        <v>785</v>
      </c>
      <c r="M746" t="s">
        <v>348</v>
      </c>
      <c r="N746" t="s">
        <v>538</v>
      </c>
      <c r="O746" t="s">
        <v>786</v>
      </c>
      <c r="P746" t="s">
        <v>787</v>
      </c>
      <c r="Q746" s="4" t="s">
        <v>230</v>
      </c>
      <c r="R746">
        <v>0</v>
      </c>
      <c r="S746" s="3">
        <v>1.1000000000000001</v>
      </c>
      <c r="T746" s="3">
        <v>0</v>
      </c>
      <c r="U746" s="3">
        <v>0</v>
      </c>
      <c r="X746" t="s">
        <v>788</v>
      </c>
      <c r="Y746" t="s">
        <v>828</v>
      </c>
    </row>
    <row r="747" spans="1:25" x14ac:dyDescent="0.35">
      <c r="A747" t="s">
        <v>784</v>
      </c>
      <c r="B747" t="s">
        <v>522</v>
      </c>
      <c r="C747" t="s">
        <v>385</v>
      </c>
      <c r="D747">
        <v>2015</v>
      </c>
      <c r="E747">
        <v>154</v>
      </c>
      <c r="F747" t="s">
        <v>416</v>
      </c>
      <c r="G747" t="s">
        <v>829</v>
      </c>
      <c r="H747" t="s">
        <v>541</v>
      </c>
      <c r="I747" t="s">
        <v>711</v>
      </c>
      <c r="K747" t="s">
        <v>378</v>
      </c>
      <c r="L747" t="s">
        <v>785</v>
      </c>
      <c r="M747" t="s">
        <v>348</v>
      </c>
      <c r="N747" t="s">
        <v>538</v>
      </c>
      <c r="O747" t="s">
        <v>786</v>
      </c>
      <c r="P747" t="s">
        <v>787</v>
      </c>
      <c r="Q747" s="4" t="s">
        <v>230</v>
      </c>
      <c r="R747">
        <v>40</v>
      </c>
      <c r="S747" s="3">
        <v>1.2</v>
      </c>
      <c r="T747" s="3">
        <v>0.6</v>
      </c>
      <c r="U747" s="3">
        <v>-8</v>
      </c>
      <c r="X747" t="s">
        <v>788</v>
      </c>
      <c r="Y747" t="s">
        <v>828</v>
      </c>
    </row>
    <row r="748" spans="1:25" x14ac:dyDescent="0.35">
      <c r="A748" t="s">
        <v>784</v>
      </c>
      <c r="B748" t="s">
        <v>522</v>
      </c>
      <c r="C748" t="s">
        <v>385</v>
      </c>
      <c r="D748">
        <v>2015</v>
      </c>
      <c r="E748">
        <v>154</v>
      </c>
      <c r="F748" t="s">
        <v>416</v>
      </c>
      <c r="G748" t="s">
        <v>829</v>
      </c>
      <c r="H748" t="s">
        <v>541</v>
      </c>
      <c r="I748" t="s">
        <v>711</v>
      </c>
      <c r="K748" t="s">
        <v>378</v>
      </c>
      <c r="L748" t="s">
        <v>785</v>
      </c>
      <c r="M748" t="s">
        <v>348</v>
      </c>
      <c r="N748" t="s">
        <v>538</v>
      </c>
      <c r="O748" t="s">
        <v>786</v>
      </c>
      <c r="P748" t="s">
        <v>787</v>
      </c>
      <c r="Q748" s="4" t="s">
        <v>230</v>
      </c>
      <c r="R748">
        <v>50</v>
      </c>
      <c r="S748" s="3">
        <v>1.2</v>
      </c>
      <c r="T748" s="3">
        <v>0.8</v>
      </c>
      <c r="U748" s="3">
        <v>-10</v>
      </c>
      <c r="X748" t="s">
        <v>788</v>
      </c>
      <c r="Y748" t="s">
        <v>828</v>
      </c>
    </row>
    <row r="749" spans="1:25" x14ac:dyDescent="0.35">
      <c r="A749" t="s">
        <v>784</v>
      </c>
      <c r="B749" t="s">
        <v>522</v>
      </c>
      <c r="C749" t="s">
        <v>385</v>
      </c>
      <c r="D749">
        <v>2015</v>
      </c>
      <c r="E749">
        <v>154</v>
      </c>
      <c r="F749" t="s">
        <v>416</v>
      </c>
      <c r="G749" t="s">
        <v>829</v>
      </c>
      <c r="H749" t="s">
        <v>541</v>
      </c>
      <c r="I749" t="s">
        <v>711</v>
      </c>
      <c r="K749" t="s">
        <v>378</v>
      </c>
      <c r="L749" t="s">
        <v>785</v>
      </c>
      <c r="M749" t="s">
        <v>348</v>
      </c>
      <c r="N749" t="s">
        <v>538</v>
      </c>
      <c r="O749" t="s">
        <v>786</v>
      </c>
      <c r="P749" t="s">
        <v>787</v>
      </c>
      <c r="Q749" s="4" t="s">
        <v>230</v>
      </c>
      <c r="R749">
        <v>60</v>
      </c>
      <c r="S749" s="3">
        <v>1.2</v>
      </c>
      <c r="T749" s="3">
        <v>1</v>
      </c>
      <c r="U749" s="3">
        <v>-12.5</v>
      </c>
      <c r="X749" t="s">
        <v>788</v>
      </c>
      <c r="Y749" t="s">
        <v>828</v>
      </c>
    </row>
    <row r="750" spans="1:25" x14ac:dyDescent="0.35">
      <c r="A750" t="s">
        <v>789</v>
      </c>
      <c r="B750" t="s">
        <v>522</v>
      </c>
      <c r="C750" t="s">
        <v>770</v>
      </c>
      <c r="D750">
        <v>2013</v>
      </c>
      <c r="E750">
        <v>155</v>
      </c>
      <c r="F750" t="s">
        <v>416</v>
      </c>
      <c r="G750" t="s">
        <v>829</v>
      </c>
      <c r="H750" t="s">
        <v>541</v>
      </c>
      <c r="I750" t="s">
        <v>790</v>
      </c>
      <c r="J750" t="s">
        <v>791</v>
      </c>
      <c r="K750" t="s">
        <v>394</v>
      </c>
      <c r="M750" t="s">
        <v>348</v>
      </c>
      <c r="N750" t="s">
        <v>173</v>
      </c>
      <c r="O750" t="s">
        <v>793</v>
      </c>
      <c r="P750" t="s">
        <v>792</v>
      </c>
      <c r="Q750" s="4" t="s">
        <v>230</v>
      </c>
      <c r="R750">
        <v>0</v>
      </c>
      <c r="S750" s="3">
        <v>1.53</v>
      </c>
      <c r="U750" s="3">
        <v>0</v>
      </c>
      <c r="Y750" t="s">
        <v>828</v>
      </c>
    </row>
    <row r="751" spans="1:25" x14ac:dyDescent="0.35">
      <c r="A751" t="s">
        <v>789</v>
      </c>
      <c r="B751" t="s">
        <v>522</v>
      </c>
      <c r="C751" t="s">
        <v>770</v>
      </c>
      <c r="D751">
        <v>2013</v>
      </c>
      <c r="E751">
        <v>155</v>
      </c>
      <c r="F751" t="s">
        <v>416</v>
      </c>
      <c r="G751" t="s">
        <v>829</v>
      </c>
      <c r="H751" t="s">
        <v>541</v>
      </c>
      <c r="I751" t="s">
        <v>790</v>
      </c>
      <c r="J751" t="s">
        <v>791</v>
      </c>
      <c r="K751" t="s">
        <v>394</v>
      </c>
      <c r="M751" t="s">
        <v>348</v>
      </c>
      <c r="N751" t="s">
        <v>173</v>
      </c>
      <c r="O751" t="s">
        <v>793</v>
      </c>
      <c r="P751" t="s">
        <v>792</v>
      </c>
      <c r="Q751" s="4" t="s">
        <v>230</v>
      </c>
      <c r="R751">
        <v>30</v>
      </c>
      <c r="S751" s="3">
        <v>1.53</v>
      </c>
      <c r="U751" s="3">
        <v>0</v>
      </c>
      <c r="Y751" t="s">
        <v>828</v>
      </c>
    </row>
    <row r="752" spans="1:25" x14ac:dyDescent="0.35">
      <c r="A752" t="s">
        <v>789</v>
      </c>
      <c r="B752" t="s">
        <v>522</v>
      </c>
      <c r="C752" t="s">
        <v>770</v>
      </c>
      <c r="D752">
        <v>2013</v>
      </c>
      <c r="E752">
        <v>155</v>
      </c>
      <c r="F752" t="s">
        <v>416</v>
      </c>
      <c r="G752" t="s">
        <v>829</v>
      </c>
      <c r="H752" t="s">
        <v>541</v>
      </c>
      <c r="I752" t="s">
        <v>790</v>
      </c>
      <c r="J752" t="s">
        <v>791</v>
      </c>
      <c r="K752" t="s">
        <v>394</v>
      </c>
      <c r="M752" t="s">
        <v>348</v>
      </c>
      <c r="N752" t="s">
        <v>173</v>
      </c>
      <c r="O752" t="s">
        <v>793</v>
      </c>
      <c r="P752" t="s">
        <v>792</v>
      </c>
      <c r="Q752" s="4" t="s">
        <v>230</v>
      </c>
      <c r="R752">
        <v>40</v>
      </c>
      <c r="S752" s="3">
        <v>1.56</v>
      </c>
      <c r="U752" s="3">
        <v>0</v>
      </c>
      <c r="Y752" t="s">
        <v>828</v>
      </c>
    </row>
    <row r="753" spans="1:25" x14ac:dyDescent="0.35">
      <c r="A753" t="s">
        <v>789</v>
      </c>
      <c r="B753" t="s">
        <v>522</v>
      </c>
      <c r="C753" t="s">
        <v>770</v>
      </c>
      <c r="D753">
        <v>2013</v>
      </c>
      <c r="E753">
        <v>155</v>
      </c>
      <c r="F753" t="s">
        <v>416</v>
      </c>
      <c r="G753" t="s">
        <v>829</v>
      </c>
      <c r="H753" t="s">
        <v>541</v>
      </c>
      <c r="I753" t="s">
        <v>790</v>
      </c>
      <c r="J753" t="s">
        <v>791</v>
      </c>
      <c r="K753" t="s">
        <v>394</v>
      </c>
      <c r="M753" t="s">
        <v>348</v>
      </c>
      <c r="N753" t="s">
        <v>173</v>
      </c>
      <c r="O753" t="s">
        <v>793</v>
      </c>
      <c r="P753" t="s">
        <v>792</v>
      </c>
      <c r="Q753" s="4" t="s">
        <v>230</v>
      </c>
      <c r="R753">
        <v>50</v>
      </c>
      <c r="S753" s="3">
        <v>1.58</v>
      </c>
      <c r="U753" s="3">
        <v>0</v>
      </c>
      <c r="Y753" t="s">
        <v>828</v>
      </c>
    </row>
    <row r="754" spans="1:25" x14ac:dyDescent="0.35">
      <c r="A754" t="s">
        <v>789</v>
      </c>
      <c r="B754" t="s">
        <v>522</v>
      </c>
      <c r="C754" t="s">
        <v>770</v>
      </c>
      <c r="D754">
        <v>2013</v>
      </c>
      <c r="E754">
        <v>155</v>
      </c>
      <c r="F754" t="s">
        <v>416</v>
      </c>
      <c r="G754" t="s">
        <v>829</v>
      </c>
      <c r="H754" t="s">
        <v>541</v>
      </c>
      <c r="I754" t="s">
        <v>790</v>
      </c>
      <c r="J754" t="s">
        <v>791</v>
      </c>
      <c r="K754" t="s">
        <v>394</v>
      </c>
      <c r="M754" t="s">
        <v>348</v>
      </c>
      <c r="N754" t="s">
        <v>173</v>
      </c>
      <c r="O754" t="s">
        <v>793</v>
      </c>
      <c r="P754" t="s">
        <v>792</v>
      </c>
      <c r="Q754" s="4" t="s">
        <v>230</v>
      </c>
      <c r="R754">
        <v>60</v>
      </c>
      <c r="S754" s="3">
        <v>1.99</v>
      </c>
      <c r="U754" s="3">
        <v>0</v>
      </c>
      <c r="Y754" t="s">
        <v>828</v>
      </c>
    </row>
    <row r="755" spans="1:25" x14ac:dyDescent="0.35">
      <c r="A755" t="s">
        <v>796</v>
      </c>
      <c r="B755" t="s">
        <v>522</v>
      </c>
      <c r="C755" t="s">
        <v>797</v>
      </c>
      <c r="D755">
        <v>2008</v>
      </c>
      <c r="E755">
        <v>156</v>
      </c>
      <c r="F755" t="s">
        <v>600</v>
      </c>
      <c r="G755" t="s">
        <v>829</v>
      </c>
      <c r="H755" t="s">
        <v>541</v>
      </c>
      <c r="K755" t="s">
        <v>394</v>
      </c>
      <c r="M755" t="s">
        <v>348</v>
      </c>
      <c r="N755" t="s">
        <v>538</v>
      </c>
      <c r="O755" t="s">
        <v>794</v>
      </c>
      <c r="P755" t="s">
        <v>795</v>
      </c>
      <c r="Q755" s="4" t="s">
        <v>230</v>
      </c>
      <c r="R755">
        <v>0</v>
      </c>
      <c r="S755" s="3">
        <v>1.31</v>
      </c>
      <c r="T755" s="3">
        <v>0</v>
      </c>
      <c r="Y755" t="s">
        <v>828</v>
      </c>
    </row>
    <row r="756" spans="1:25" x14ac:dyDescent="0.35">
      <c r="A756" t="s">
        <v>796</v>
      </c>
      <c r="B756" t="s">
        <v>522</v>
      </c>
      <c r="C756" t="s">
        <v>797</v>
      </c>
      <c r="D756">
        <v>2008</v>
      </c>
      <c r="E756">
        <v>156</v>
      </c>
      <c r="F756" t="s">
        <v>600</v>
      </c>
      <c r="G756" t="s">
        <v>829</v>
      </c>
      <c r="H756" t="s">
        <v>541</v>
      </c>
      <c r="K756" t="s">
        <v>378</v>
      </c>
      <c r="L756" t="s">
        <v>393</v>
      </c>
      <c r="M756" t="s">
        <v>348</v>
      </c>
      <c r="N756" t="s">
        <v>538</v>
      </c>
      <c r="O756" t="s">
        <v>794</v>
      </c>
      <c r="P756" t="s">
        <v>795</v>
      </c>
      <c r="Q756" s="4" t="s">
        <v>230</v>
      </c>
      <c r="R756">
        <v>0</v>
      </c>
      <c r="S756" s="3">
        <v>1.32</v>
      </c>
      <c r="T756" s="3">
        <v>0</v>
      </c>
      <c r="Y756" t="s">
        <v>828</v>
      </c>
    </row>
    <row r="757" spans="1:25" x14ac:dyDescent="0.35">
      <c r="A757" t="s">
        <v>796</v>
      </c>
      <c r="B757" t="s">
        <v>522</v>
      </c>
      <c r="C757" t="s">
        <v>797</v>
      </c>
      <c r="D757">
        <v>2008</v>
      </c>
      <c r="E757">
        <v>156</v>
      </c>
      <c r="F757" t="s">
        <v>600</v>
      </c>
      <c r="G757" t="s">
        <v>829</v>
      </c>
      <c r="H757" t="s">
        <v>541</v>
      </c>
      <c r="K757" t="s">
        <v>394</v>
      </c>
      <c r="M757" t="s">
        <v>348</v>
      </c>
      <c r="N757" t="s">
        <v>538</v>
      </c>
      <c r="O757" t="s">
        <v>794</v>
      </c>
      <c r="P757" t="s">
        <v>795</v>
      </c>
      <c r="Q757" s="4" t="s">
        <v>230</v>
      </c>
      <c r="R757">
        <v>25</v>
      </c>
      <c r="S757" s="3">
        <v>1.41</v>
      </c>
      <c r="T757" s="3">
        <v>0.6</v>
      </c>
      <c r="Y757" t="s">
        <v>828</v>
      </c>
    </row>
    <row r="758" spans="1:25" x14ac:dyDescent="0.35">
      <c r="A758" t="s">
        <v>796</v>
      </c>
      <c r="B758" t="s">
        <v>522</v>
      </c>
      <c r="C758" t="s">
        <v>797</v>
      </c>
      <c r="D758">
        <v>2008</v>
      </c>
      <c r="E758">
        <v>156</v>
      </c>
      <c r="F758" t="s">
        <v>600</v>
      </c>
      <c r="G758" t="s">
        <v>829</v>
      </c>
      <c r="H758" t="s">
        <v>541</v>
      </c>
      <c r="K758" t="s">
        <v>378</v>
      </c>
      <c r="L758" t="s">
        <v>393</v>
      </c>
      <c r="M758" t="s">
        <v>348</v>
      </c>
      <c r="N758" t="s">
        <v>538</v>
      </c>
      <c r="O758" t="s">
        <v>794</v>
      </c>
      <c r="P758" t="s">
        <v>795</v>
      </c>
      <c r="Q758" s="4" t="s">
        <v>230</v>
      </c>
      <c r="R758">
        <v>25</v>
      </c>
      <c r="S758" s="3">
        <v>1.25</v>
      </c>
      <c r="T758" s="3">
        <v>0.6</v>
      </c>
      <c r="Y758" t="s">
        <v>828</v>
      </c>
    </row>
    <row r="759" spans="1:25" x14ac:dyDescent="0.35">
      <c r="A759" t="s">
        <v>796</v>
      </c>
      <c r="B759" t="s">
        <v>522</v>
      </c>
      <c r="C759" t="s">
        <v>797</v>
      </c>
      <c r="D759">
        <v>2008</v>
      </c>
      <c r="E759">
        <v>156</v>
      </c>
      <c r="F759" t="s">
        <v>600</v>
      </c>
      <c r="G759" t="s">
        <v>829</v>
      </c>
      <c r="H759" t="s">
        <v>541</v>
      </c>
      <c r="K759" t="s">
        <v>394</v>
      </c>
      <c r="M759" t="s">
        <v>348</v>
      </c>
      <c r="N759" t="s">
        <v>538</v>
      </c>
      <c r="O759" t="s">
        <v>794</v>
      </c>
      <c r="P759" t="s">
        <v>795</v>
      </c>
      <c r="Q759" s="4" t="s">
        <v>230</v>
      </c>
      <c r="R759">
        <v>40</v>
      </c>
      <c r="S759" s="3">
        <v>1.77</v>
      </c>
      <c r="T759" s="3">
        <v>0.8</v>
      </c>
      <c r="Y759" t="s">
        <v>828</v>
      </c>
    </row>
    <row r="760" spans="1:25" x14ac:dyDescent="0.35">
      <c r="A760" t="s">
        <v>796</v>
      </c>
      <c r="B760" t="s">
        <v>522</v>
      </c>
      <c r="C760" t="s">
        <v>797</v>
      </c>
      <c r="D760">
        <v>2008</v>
      </c>
      <c r="E760">
        <v>156</v>
      </c>
      <c r="F760" t="s">
        <v>600</v>
      </c>
      <c r="G760" t="s">
        <v>829</v>
      </c>
      <c r="H760" t="s">
        <v>541</v>
      </c>
      <c r="K760" t="s">
        <v>378</v>
      </c>
      <c r="L760" t="s">
        <v>393</v>
      </c>
      <c r="M760" t="s">
        <v>348</v>
      </c>
      <c r="N760" t="s">
        <v>538</v>
      </c>
      <c r="O760" t="s">
        <v>794</v>
      </c>
      <c r="P760" t="s">
        <v>795</v>
      </c>
      <c r="Q760" s="4" t="s">
        <v>230</v>
      </c>
      <c r="R760">
        <v>40</v>
      </c>
      <c r="S760" s="3">
        <v>1.46</v>
      </c>
      <c r="T760" s="3">
        <v>0.8</v>
      </c>
      <c r="Y760" t="s">
        <v>828</v>
      </c>
    </row>
    <row r="761" spans="1:25" x14ac:dyDescent="0.35">
      <c r="A761" t="s">
        <v>798</v>
      </c>
      <c r="B761" t="s">
        <v>384</v>
      </c>
      <c r="C761" t="s">
        <v>385</v>
      </c>
      <c r="D761">
        <v>2012</v>
      </c>
      <c r="E761">
        <v>155</v>
      </c>
      <c r="F761" t="s">
        <v>600</v>
      </c>
      <c r="G761" t="s">
        <v>829</v>
      </c>
      <c r="H761" t="s">
        <v>541</v>
      </c>
      <c r="K761" t="s">
        <v>378</v>
      </c>
      <c r="L761" t="s">
        <v>785</v>
      </c>
      <c r="M761" t="s">
        <v>348</v>
      </c>
      <c r="N761" t="s">
        <v>538</v>
      </c>
      <c r="O761" t="s">
        <v>386</v>
      </c>
      <c r="P761" t="s">
        <v>182</v>
      </c>
      <c r="Q761" s="4" t="s">
        <v>230</v>
      </c>
      <c r="R761">
        <v>0</v>
      </c>
      <c r="S761" s="3">
        <v>0.9</v>
      </c>
      <c r="T761" s="3">
        <v>0</v>
      </c>
      <c r="U761" s="3">
        <v>0</v>
      </c>
      <c r="Y761" t="s">
        <v>828</v>
      </c>
    </row>
    <row r="762" spans="1:25" x14ac:dyDescent="0.35">
      <c r="A762" t="s">
        <v>798</v>
      </c>
      <c r="B762" t="s">
        <v>384</v>
      </c>
      <c r="C762" t="s">
        <v>385</v>
      </c>
      <c r="D762">
        <v>2012</v>
      </c>
      <c r="E762">
        <v>155</v>
      </c>
      <c r="F762" t="s">
        <v>600</v>
      </c>
      <c r="G762" t="s">
        <v>829</v>
      </c>
      <c r="H762" t="s">
        <v>541</v>
      </c>
      <c r="K762" t="s">
        <v>378</v>
      </c>
      <c r="L762" t="s">
        <v>785</v>
      </c>
      <c r="M762" t="s">
        <v>348</v>
      </c>
      <c r="N762" t="s">
        <v>538</v>
      </c>
      <c r="O762" t="s">
        <v>386</v>
      </c>
      <c r="P762" t="s">
        <v>182</v>
      </c>
      <c r="Q762" s="4" t="s">
        <v>230</v>
      </c>
      <c r="R762">
        <v>50</v>
      </c>
      <c r="S762" s="3">
        <v>1</v>
      </c>
      <c r="T762" s="3">
        <v>2.9</v>
      </c>
      <c r="U762" s="3">
        <v>-21.5</v>
      </c>
      <c r="Y762" t="s">
        <v>828</v>
      </c>
    </row>
    <row r="763" spans="1:25" x14ac:dyDescent="0.35">
      <c r="A763" t="s">
        <v>798</v>
      </c>
      <c r="B763" t="s">
        <v>384</v>
      </c>
      <c r="C763" t="s">
        <v>385</v>
      </c>
      <c r="D763">
        <v>2012</v>
      </c>
      <c r="E763">
        <v>155</v>
      </c>
      <c r="F763" t="s">
        <v>600</v>
      </c>
      <c r="G763" t="s">
        <v>829</v>
      </c>
      <c r="H763" t="s">
        <v>541</v>
      </c>
      <c r="K763" t="s">
        <v>378</v>
      </c>
      <c r="L763" t="s">
        <v>785</v>
      </c>
      <c r="M763" t="s">
        <v>348</v>
      </c>
      <c r="N763" t="s">
        <v>538</v>
      </c>
      <c r="O763" t="s">
        <v>386</v>
      </c>
      <c r="P763" t="s">
        <v>182</v>
      </c>
      <c r="Q763" s="4" t="s">
        <v>230</v>
      </c>
      <c r="R763">
        <v>50</v>
      </c>
      <c r="S763" s="3">
        <v>0.8</v>
      </c>
      <c r="T763" s="3">
        <v>2.8</v>
      </c>
      <c r="U763" s="3">
        <v>-12.6</v>
      </c>
      <c r="Y763" t="s">
        <v>828</v>
      </c>
    </row>
    <row r="764" spans="1:25" x14ac:dyDescent="0.35">
      <c r="A764" t="s">
        <v>798</v>
      </c>
      <c r="B764" t="s">
        <v>384</v>
      </c>
      <c r="C764" t="s">
        <v>385</v>
      </c>
      <c r="D764">
        <v>2012</v>
      </c>
      <c r="E764">
        <v>155</v>
      </c>
      <c r="F764" t="s">
        <v>600</v>
      </c>
      <c r="G764" t="s">
        <v>829</v>
      </c>
      <c r="H764" t="s">
        <v>541</v>
      </c>
      <c r="K764" t="s">
        <v>378</v>
      </c>
      <c r="L764" t="s">
        <v>785</v>
      </c>
      <c r="M764" t="s">
        <v>348</v>
      </c>
      <c r="N764" t="s">
        <v>538</v>
      </c>
      <c r="O764" t="s">
        <v>386</v>
      </c>
      <c r="P764" t="s">
        <v>182</v>
      </c>
      <c r="Q764" s="4" t="s">
        <v>230</v>
      </c>
      <c r="R764">
        <v>50</v>
      </c>
      <c r="S764" s="3">
        <v>0.7</v>
      </c>
      <c r="T764" s="3">
        <v>2.8</v>
      </c>
      <c r="U764" s="3">
        <v>-15.5</v>
      </c>
      <c r="Y764" t="s">
        <v>828</v>
      </c>
    </row>
    <row r="765" spans="1:25" x14ac:dyDescent="0.35">
      <c r="A765" t="s">
        <v>798</v>
      </c>
      <c r="B765" t="s">
        <v>384</v>
      </c>
      <c r="C765" t="s">
        <v>385</v>
      </c>
      <c r="D765">
        <v>2012</v>
      </c>
      <c r="E765">
        <v>155</v>
      </c>
      <c r="F765" t="s">
        <v>600</v>
      </c>
      <c r="G765" t="s">
        <v>829</v>
      </c>
      <c r="H765" t="s">
        <v>541</v>
      </c>
      <c r="K765" t="s">
        <v>378</v>
      </c>
      <c r="L765" t="s">
        <v>785</v>
      </c>
      <c r="M765" t="s">
        <v>348</v>
      </c>
      <c r="N765" t="s">
        <v>538</v>
      </c>
      <c r="O765" t="s">
        <v>386</v>
      </c>
      <c r="P765" t="s">
        <v>182</v>
      </c>
      <c r="Q765" s="4" t="s">
        <v>230</v>
      </c>
      <c r="R765">
        <v>100</v>
      </c>
      <c r="S765" s="3">
        <v>1.1000000000000001</v>
      </c>
      <c r="T765" s="3">
        <v>4.7</v>
      </c>
      <c r="U765" s="3">
        <v>-23.1</v>
      </c>
      <c r="Y765" t="s">
        <v>828</v>
      </c>
    </row>
    <row r="766" spans="1:25" x14ac:dyDescent="0.35">
      <c r="A766" t="s">
        <v>800</v>
      </c>
      <c r="B766" t="s">
        <v>801</v>
      </c>
      <c r="C766" t="s">
        <v>770</v>
      </c>
      <c r="D766">
        <v>2015</v>
      </c>
      <c r="E766">
        <v>156</v>
      </c>
      <c r="F766" t="s">
        <v>600</v>
      </c>
      <c r="G766" t="s">
        <v>829</v>
      </c>
      <c r="H766" t="s">
        <v>541</v>
      </c>
      <c r="K766" t="s">
        <v>394</v>
      </c>
      <c r="M766" t="s">
        <v>348</v>
      </c>
      <c r="N766" t="s">
        <v>538</v>
      </c>
      <c r="O766" t="s">
        <v>303</v>
      </c>
      <c r="P766" t="s">
        <v>799</v>
      </c>
      <c r="Q766" s="4" t="s">
        <v>230</v>
      </c>
      <c r="R766">
        <v>0</v>
      </c>
      <c r="S766" s="3">
        <f>1/0.93</f>
        <v>1.075268817204301</v>
      </c>
      <c r="T766" s="3">
        <v>0</v>
      </c>
      <c r="U766" s="3">
        <v>0</v>
      </c>
      <c r="Y766" t="s">
        <v>828</v>
      </c>
    </row>
    <row r="767" spans="1:25" x14ac:dyDescent="0.35">
      <c r="A767" t="s">
        <v>800</v>
      </c>
      <c r="B767" t="s">
        <v>801</v>
      </c>
      <c r="C767" t="s">
        <v>770</v>
      </c>
      <c r="D767">
        <v>2015</v>
      </c>
      <c r="E767">
        <v>156</v>
      </c>
      <c r="F767" t="s">
        <v>600</v>
      </c>
      <c r="G767" t="s">
        <v>829</v>
      </c>
      <c r="H767" t="s">
        <v>541</v>
      </c>
      <c r="K767" t="s">
        <v>394</v>
      </c>
      <c r="M767" t="s">
        <v>348</v>
      </c>
      <c r="N767" t="s">
        <v>538</v>
      </c>
      <c r="O767" t="s">
        <v>303</v>
      </c>
      <c r="P767" t="s">
        <v>799</v>
      </c>
      <c r="Q767" s="4" t="s">
        <v>230</v>
      </c>
      <c r="R767">
        <v>17</v>
      </c>
      <c r="S767" s="3">
        <f>1/0.94</f>
        <v>1.0638297872340425</v>
      </c>
      <c r="T767" s="3">
        <v>0</v>
      </c>
      <c r="U767" s="3">
        <v>0</v>
      </c>
      <c r="Y767" t="s">
        <v>828</v>
      </c>
    </row>
    <row r="768" spans="1:25" x14ac:dyDescent="0.35">
      <c r="A768" t="s">
        <v>800</v>
      </c>
      <c r="B768" t="s">
        <v>801</v>
      </c>
      <c r="C768" t="s">
        <v>770</v>
      </c>
      <c r="D768">
        <v>2015</v>
      </c>
      <c r="E768">
        <v>156</v>
      </c>
      <c r="F768" t="s">
        <v>600</v>
      </c>
      <c r="G768" t="s">
        <v>829</v>
      </c>
      <c r="H768" t="s">
        <v>541</v>
      </c>
      <c r="K768" t="s">
        <v>394</v>
      </c>
      <c r="M768" t="s">
        <v>348</v>
      </c>
      <c r="N768" t="s">
        <v>538</v>
      </c>
      <c r="O768" t="s">
        <v>303</v>
      </c>
      <c r="P768" t="s">
        <v>799</v>
      </c>
      <c r="Q768" s="4" t="s">
        <v>230</v>
      </c>
      <c r="R768">
        <v>34</v>
      </c>
      <c r="S768" s="3">
        <f>1/0.94</f>
        <v>1.0638297872340425</v>
      </c>
      <c r="T768" s="3">
        <v>0</v>
      </c>
      <c r="U768" s="3">
        <v>0</v>
      </c>
      <c r="Y768" t="s">
        <v>828</v>
      </c>
    </row>
    <row r="769" spans="1:25" x14ac:dyDescent="0.35">
      <c r="A769" t="s">
        <v>800</v>
      </c>
      <c r="B769" t="s">
        <v>801</v>
      </c>
      <c r="C769" t="s">
        <v>770</v>
      </c>
      <c r="D769">
        <v>2015</v>
      </c>
      <c r="E769">
        <v>156</v>
      </c>
      <c r="F769" t="s">
        <v>600</v>
      </c>
      <c r="G769" t="s">
        <v>829</v>
      </c>
      <c r="H769" t="s">
        <v>541</v>
      </c>
      <c r="K769" t="s">
        <v>394</v>
      </c>
      <c r="M769" t="s">
        <v>348</v>
      </c>
      <c r="N769" t="s">
        <v>538</v>
      </c>
      <c r="O769" t="s">
        <v>303</v>
      </c>
      <c r="P769" t="s">
        <v>799</v>
      </c>
      <c r="Q769" s="4" t="s">
        <v>230</v>
      </c>
      <c r="R769">
        <v>50</v>
      </c>
      <c r="S769" s="3">
        <f>1/0.87</f>
        <v>1.1494252873563218</v>
      </c>
      <c r="T769" s="3">
        <v>0</v>
      </c>
      <c r="U769" s="3">
        <v>0</v>
      </c>
      <c r="Y769" t="s">
        <v>828</v>
      </c>
    </row>
    <row r="770" spans="1:25" x14ac:dyDescent="0.35">
      <c r="A770" t="s">
        <v>800</v>
      </c>
      <c r="B770" t="s">
        <v>801</v>
      </c>
      <c r="C770" t="s">
        <v>770</v>
      </c>
      <c r="D770">
        <v>2015</v>
      </c>
      <c r="E770">
        <v>156</v>
      </c>
      <c r="F770" t="s">
        <v>600</v>
      </c>
      <c r="G770" t="s">
        <v>829</v>
      </c>
      <c r="H770" t="s">
        <v>541</v>
      </c>
      <c r="K770" t="s">
        <v>394</v>
      </c>
      <c r="M770" t="s">
        <v>348</v>
      </c>
      <c r="N770" t="s">
        <v>538</v>
      </c>
      <c r="O770" t="s">
        <v>303</v>
      </c>
      <c r="P770" t="s">
        <v>799</v>
      </c>
      <c r="Q770" s="4" t="s">
        <v>230</v>
      </c>
      <c r="R770">
        <v>17</v>
      </c>
      <c r="S770" s="3">
        <f>1/0.93</f>
        <v>1.075268817204301</v>
      </c>
      <c r="T770" s="3">
        <v>0</v>
      </c>
      <c r="U770" s="3">
        <v>0</v>
      </c>
      <c r="Y770" t="s">
        <v>828</v>
      </c>
    </row>
    <row r="771" spans="1:25" x14ac:dyDescent="0.35">
      <c r="A771" t="s">
        <v>800</v>
      </c>
      <c r="B771" t="s">
        <v>801</v>
      </c>
      <c r="C771" t="s">
        <v>770</v>
      </c>
      <c r="D771">
        <v>2015</v>
      </c>
      <c r="E771">
        <v>156</v>
      </c>
      <c r="F771" t="s">
        <v>600</v>
      </c>
      <c r="G771" t="s">
        <v>829</v>
      </c>
      <c r="H771" t="s">
        <v>541</v>
      </c>
      <c r="K771" t="s">
        <v>394</v>
      </c>
      <c r="M771" t="s">
        <v>348</v>
      </c>
      <c r="N771" t="s">
        <v>538</v>
      </c>
      <c r="O771" t="s">
        <v>303</v>
      </c>
      <c r="P771" t="s">
        <v>799</v>
      </c>
      <c r="Q771" s="4" t="s">
        <v>230</v>
      </c>
      <c r="R771">
        <v>34</v>
      </c>
      <c r="S771" s="3">
        <f>1/0.95</f>
        <v>1.0526315789473684</v>
      </c>
      <c r="T771" s="3">
        <v>0</v>
      </c>
      <c r="U771" s="3">
        <v>0</v>
      </c>
      <c r="Y771" t="s">
        <v>828</v>
      </c>
    </row>
    <row r="772" spans="1:25" x14ac:dyDescent="0.35">
      <c r="A772" t="s">
        <v>800</v>
      </c>
      <c r="B772" t="s">
        <v>801</v>
      </c>
      <c r="C772" t="s">
        <v>770</v>
      </c>
      <c r="D772">
        <v>2015</v>
      </c>
      <c r="E772">
        <v>156</v>
      </c>
      <c r="F772" t="s">
        <v>600</v>
      </c>
      <c r="G772" t="s">
        <v>829</v>
      </c>
      <c r="H772" t="s">
        <v>541</v>
      </c>
      <c r="K772" t="s">
        <v>394</v>
      </c>
      <c r="M772" t="s">
        <v>348</v>
      </c>
      <c r="N772" t="s">
        <v>538</v>
      </c>
      <c r="O772" t="s">
        <v>303</v>
      </c>
      <c r="P772" t="s">
        <v>799</v>
      </c>
      <c r="Q772" s="4" t="s">
        <v>230</v>
      </c>
      <c r="R772">
        <v>50</v>
      </c>
      <c r="S772" s="3">
        <f>1/0.89</f>
        <v>1.1235955056179776</v>
      </c>
      <c r="T772" s="3">
        <v>0</v>
      </c>
      <c r="U772" s="3">
        <v>0</v>
      </c>
      <c r="Y772" t="s">
        <v>828</v>
      </c>
    </row>
    <row r="773" spans="1:25" x14ac:dyDescent="0.35">
      <c r="A773" t="s">
        <v>804</v>
      </c>
      <c r="B773" t="s">
        <v>528</v>
      </c>
      <c r="C773" t="s">
        <v>370</v>
      </c>
      <c r="D773">
        <v>2015</v>
      </c>
      <c r="E773">
        <v>157</v>
      </c>
      <c r="F773" t="s">
        <v>600</v>
      </c>
      <c r="G773" t="s">
        <v>829</v>
      </c>
      <c r="H773" t="s">
        <v>541</v>
      </c>
      <c r="K773" t="s">
        <v>394</v>
      </c>
      <c r="M773" t="s">
        <v>348</v>
      </c>
      <c r="N773" t="s">
        <v>173</v>
      </c>
      <c r="O773" t="s">
        <v>803</v>
      </c>
      <c r="P773" s="2" t="s">
        <v>802</v>
      </c>
      <c r="Q773" s="11" t="s">
        <v>230</v>
      </c>
      <c r="R773">
        <v>0</v>
      </c>
      <c r="S773" s="3">
        <v>1.72</v>
      </c>
      <c r="T773" s="3">
        <v>0</v>
      </c>
      <c r="U773" s="3">
        <v>0</v>
      </c>
      <c r="Y773" t="s">
        <v>828</v>
      </c>
    </row>
    <row r="774" spans="1:25" x14ac:dyDescent="0.35">
      <c r="A774" t="s">
        <v>804</v>
      </c>
      <c r="B774" t="s">
        <v>528</v>
      </c>
      <c r="C774" t="s">
        <v>370</v>
      </c>
      <c r="D774">
        <v>2015</v>
      </c>
      <c r="E774">
        <v>157</v>
      </c>
      <c r="F774" t="s">
        <v>600</v>
      </c>
      <c r="G774" t="s">
        <v>829</v>
      </c>
      <c r="H774" t="s">
        <v>541</v>
      </c>
      <c r="K774" t="s">
        <v>394</v>
      </c>
      <c r="M774" t="s">
        <v>348</v>
      </c>
      <c r="N774" t="s">
        <v>173</v>
      </c>
      <c r="O774" t="s">
        <v>803</v>
      </c>
      <c r="P774" s="2" t="s">
        <v>802</v>
      </c>
      <c r="Q774" s="11" t="s">
        <v>230</v>
      </c>
      <c r="R774">
        <v>25</v>
      </c>
      <c r="S774" s="3">
        <v>1.55</v>
      </c>
      <c r="T774" s="3">
        <v>0.3</v>
      </c>
      <c r="U774" s="3">
        <v>-4.5999999999999996</v>
      </c>
      <c r="Y774" t="s">
        <v>828</v>
      </c>
    </row>
    <row r="775" spans="1:25" x14ac:dyDescent="0.35">
      <c r="A775" t="s">
        <v>804</v>
      </c>
      <c r="B775" t="s">
        <v>528</v>
      </c>
      <c r="C775" t="s">
        <v>370</v>
      </c>
      <c r="D775">
        <v>2015</v>
      </c>
      <c r="E775">
        <v>157</v>
      </c>
      <c r="F775" t="s">
        <v>600</v>
      </c>
      <c r="G775" t="s">
        <v>829</v>
      </c>
      <c r="H775" t="s">
        <v>541</v>
      </c>
      <c r="K775" t="s">
        <v>394</v>
      </c>
      <c r="M775" t="s">
        <v>348</v>
      </c>
      <c r="N775" t="s">
        <v>173</v>
      </c>
      <c r="O775" t="s">
        <v>803</v>
      </c>
      <c r="P775" s="2" t="s">
        <v>802</v>
      </c>
      <c r="Q775" s="11" t="s">
        <v>230</v>
      </c>
      <c r="R775">
        <v>50</v>
      </c>
      <c r="S775" s="3">
        <v>1.63</v>
      </c>
      <c r="T775" s="3">
        <v>1</v>
      </c>
      <c r="U775" s="3">
        <v>-10.6</v>
      </c>
      <c r="Y775" t="s">
        <v>828</v>
      </c>
    </row>
    <row r="776" spans="1:25" x14ac:dyDescent="0.35">
      <c r="A776" t="s">
        <v>804</v>
      </c>
      <c r="B776" t="s">
        <v>528</v>
      </c>
      <c r="C776" t="s">
        <v>370</v>
      </c>
      <c r="D776">
        <v>2015</v>
      </c>
      <c r="E776">
        <v>157</v>
      </c>
      <c r="F776" t="s">
        <v>600</v>
      </c>
      <c r="G776" t="s">
        <v>829</v>
      </c>
      <c r="H776" t="s">
        <v>541</v>
      </c>
      <c r="K776" t="s">
        <v>394</v>
      </c>
      <c r="M776" t="s">
        <v>348</v>
      </c>
      <c r="N776" t="s">
        <v>173</v>
      </c>
      <c r="O776" t="s">
        <v>803</v>
      </c>
      <c r="P776" s="2" t="s">
        <v>802</v>
      </c>
      <c r="Q776" s="11" t="s">
        <v>230</v>
      </c>
      <c r="R776">
        <v>75</v>
      </c>
      <c r="S776" s="3">
        <v>1.65</v>
      </c>
      <c r="T776" s="3">
        <v>1</v>
      </c>
      <c r="U776" s="3">
        <v>-14.3</v>
      </c>
      <c r="Y776" t="s">
        <v>828</v>
      </c>
    </row>
    <row r="777" spans="1:25" x14ac:dyDescent="0.35">
      <c r="A777" t="s">
        <v>804</v>
      </c>
      <c r="B777" t="s">
        <v>528</v>
      </c>
      <c r="C777" t="s">
        <v>370</v>
      </c>
      <c r="D777">
        <v>2015</v>
      </c>
      <c r="E777">
        <v>157</v>
      </c>
      <c r="F777" t="s">
        <v>600</v>
      </c>
      <c r="G777" t="s">
        <v>829</v>
      </c>
      <c r="H777" t="s">
        <v>541</v>
      </c>
      <c r="K777" t="s">
        <v>394</v>
      </c>
      <c r="M777" t="s">
        <v>348</v>
      </c>
      <c r="N777" t="s">
        <v>173</v>
      </c>
      <c r="O777" t="s">
        <v>803</v>
      </c>
      <c r="P777" s="2" t="s">
        <v>802</v>
      </c>
      <c r="Q777" s="11" t="s">
        <v>230</v>
      </c>
      <c r="R777">
        <v>100</v>
      </c>
      <c r="S777" s="3">
        <v>1.65</v>
      </c>
      <c r="T777" s="3">
        <v>1.6</v>
      </c>
      <c r="U777" s="3">
        <v>-13.6</v>
      </c>
      <c r="Y777" t="s">
        <v>828</v>
      </c>
    </row>
    <row r="778" spans="1:25" x14ac:dyDescent="0.35">
      <c r="A778" t="s">
        <v>805</v>
      </c>
      <c r="B778" t="s">
        <v>473</v>
      </c>
      <c r="C778" t="s">
        <v>385</v>
      </c>
      <c r="D778">
        <v>2011</v>
      </c>
      <c r="E778">
        <v>158</v>
      </c>
      <c r="F778" t="s">
        <v>600</v>
      </c>
      <c r="G778" t="s">
        <v>829</v>
      </c>
      <c r="H778" t="s">
        <v>541</v>
      </c>
      <c r="K778" t="s">
        <v>378</v>
      </c>
      <c r="L778" t="s">
        <v>808</v>
      </c>
      <c r="M778" t="s">
        <v>348</v>
      </c>
      <c r="N778" t="s">
        <v>538</v>
      </c>
      <c r="O778" t="s">
        <v>806</v>
      </c>
      <c r="P778" t="s">
        <v>807</v>
      </c>
      <c r="Q778" s="11" t="s">
        <v>230</v>
      </c>
      <c r="R778">
        <v>0</v>
      </c>
      <c r="S778" s="3">
        <v>1.27</v>
      </c>
      <c r="T778" s="3">
        <v>0</v>
      </c>
      <c r="U778" s="3">
        <v>0</v>
      </c>
      <c r="Y778" t="s">
        <v>828</v>
      </c>
    </row>
    <row r="779" spans="1:25" x14ac:dyDescent="0.35">
      <c r="A779" t="s">
        <v>805</v>
      </c>
      <c r="B779" t="s">
        <v>473</v>
      </c>
      <c r="C779" t="s">
        <v>385</v>
      </c>
      <c r="D779">
        <v>2011</v>
      </c>
      <c r="E779">
        <v>158</v>
      </c>
      <c r="F779" t="s">
        <v>600</v>
      </c>
      <c r="G779" t="s">
        <v>829</v>
      </c>
      <c r="H779" t="s">
        <v>541</v>
      </c>
      <c r="K779" t="s">
        <v>378</v>
      </c>
      <c r="L779" t="s">
        <v>808</v>
      </c>
      <c r="M779" t="s">
        <v>348</v>
      </c>
      <c r="N779" t="s">
        <v>538</v>
      </c>
      <c r="O779" t="s">
        <v>806</v>
      </c>
      <c r="P779" t="s">
        <v>807</v>
      </c>
      <c r="Q779" s="11" t="s">
        <v>230</v>
      </c>
      <c r="R779">
        <v>20</v>
      </c>
      <c r="S779" s="3">
        <v>1.52</v>
      </c>
      <c r="T779" s="3">
        <v>1.8</v>
      </c>
      <c r="U779" s="3">
        <v>-2.2999999999999998</v>
      </c>
      <c r="Y779" t="s">
        <v>828</v>
      </c>
    </row>
    <row r="780" spans="1:25" x14ac:dyDescent="0.35">
      <c r="A780" t="s">
        <v>805</v>
      </c>
      <c r="B780" t="s">
        <v>473</v>
      </c>
      <c r="C780" t="s">
        <v>385</v>
      </c>
      <c r="D780">
        <v>2011</v>
      </c>
      <c r="E780">
        <v>158</v>
      </c>
      <c r="F780" t="s">
        <v>600</v>
      </c>
      <c r="G780" t="s">
        <v>829</v>
      </c>
      <c r="H780" t="s">
        <v>541</v>
      </c>
      <c r="K780" t="s">
        <v>378</v>
      </c>
      <c r="L780" t="s">
        <v>808</v>
      </c>
      <c r="M780" t="s">
        <v>348</v>
      </c>
      <c r="N780" t="s">
        <v>538</v>
      </c>
      <c r="O780" t="s">
        <v>806</v>
      </c>
      <c r="P780" t="s">
        <v>807</v>
      </c>
      <c r="Q780" s="11" t="s">
        <v>230</v>
      </c>
      <c r="R780">
        <v>30</v>
      </c>
      <c r="S780" s="3">
        <v>1.47</v>
      </c>
      <c r="T780" s="3">
        <v>2.5</v>
      </c>
      <c r="U780" s="3">
        <v>-3.2</v>
      </c>
      <c r="Y780" t="s">
        <v>828</v>
      </c>
    </row>
    <row r="781" spans="1:25" x14ac:dyDescent="0.35">
      <c r="A781" t="s">
        <v>805</v>
      </c>
      <c r="B781" t="s">
        <v>473</v>
      </c>
      <c r="C781" t="s">
        <v>385</v>
      </c>
      <c r="D781">
        <v>2011</v>
      </c>
      <c r="E781">
        <v>158</v>
      </c>
      <c r="F781" t="s">
        <v>600</v>
      </c>
      <c r="G781" t="s">
        <v>829</v>
      </c>
      <c r="H781" t="s">
        <v>541</v>
      </c>
      <c r="K781" t="s">
        <v>378</v>
      </c>
      <c r="L781" t="s">
        <v>808</v>
      </c>
      <c r="M781" t="s">
        <v>348</v>
      </c>
      <c r="N781" t="s">
        <v>538</v>
      </c>
      <c r="O781" t="s">
        <v>806</v>
      </c>
      <c r="P781" t="s">
        <v>807</v>
      </c>
      <c r="Q781" s="11" t="s">
        <v>230</v>
      </c>
      <c r="R781">
        <v>40</v>
      </c>
      <c r="S781" s="3">
        <v>1.4</v>
      </c>
      <c r="T781" s="3">
        <v>3.1</v>
      </c>
      <c r="U781" s="3">
        <v>-4.3</v>
      </c>
      <c r="Y781" t="s">
        <v>828</v>
      </c>
    </row>
    <row r="782" spans="1:25" x14ac:dyDescent="0.35">
      <c r="A782" t="s">
        <v>805</v>
      </c>
      <c r="B782" t="s">
        <v>473</v>
      </c>
      <c r="C782" t="s">
        <v>385</v>
      </c>
      <c r="D782">
        <v>2011</v>
      </c>
      <c r="E782">
        <v>158</v>
      </c>
      <c r="F782" t="s">
        <v>600</v>
      </c>
      <c r="G782" t="s">
        <v>829</v>
      </c>
      <c r="H782" t="s">
        <v>541</v>
      </c>
      <c r="K782" t="s">
        <v>378</v>
      </c>
      <c r="L782" t="s">
        <v>808</v>
      </c>
      <c r="M782" t="s">
        <v>348</v>
      </c>
      <c r="N782" t="s">
        <v>538</v>
      </c>
      <c r="O782" t="s">
        <v>806</v>
      </c>
      <c r="P782" t="s">
        <v>807</v>
      </c>
      <c r="Q782" s="11" t="s">
        <v>230</v>
      </c>
      <c r="R782">
        <v>50</v>
      </c>
      <c r="S782" s="3">
        <v>1.63</v>
      </c>
      <c r="T782" s="3">
        <v>3.7</v>
      </c>
      <c r="U782" s="3">
        <v>-5.2</v>
      </c>
      <c r="Y782" t="s">
        <v>828</v>
      </c>
    </row>
    <row r="783" spans="1:25" x14ac:dyDescent="0.35">
      <c r="A783" t="s">
        <v>809</v>
      </c>
      <c r="B783" t="s">
        <v>455</v>
      </c>
      <c r="C783" t="s">
        <v>533</v>
      </c>
      <c r="D783">
        <v>2008</v>
      </c>
      <c r="E783">
        <v>159</v>
      </c>
      <c r="F783" t="s">
        <v>600</v>
      </c>
      <c r="G783" t="s">
        <v>829</v>
      </c>
      <c r="H783" t="s">
        <v>541</v>
      </c>
      <c r="K783" t="s">
        <v>394</v>
      </c>
      <c r="M783" t="s">
        <v>348</v>
      </c>
      <c r="N783" t="s">
        <v>538</v>
      </c>
      <c r="O783" t="s">
        <v>810</v>
      </c>
      <c r="P783" t="s">
        <v>811</v>
      </c>
      <c r="Q783" s="11" t="s">
        <v>230</v>
      </c>
      <c r="R783">
        <v>0</v>
      </c>
      <c r="S783" s="3">
        <v>0.88</v>
      </c>
      <c r="T783" s="3">
        <v>0</v>
      </c>
      <c r="U783" s="3">
        <v>0</v>
      </c>
      <c r="Y783" t="s">
        <v>828</v>
      </c>
    </row>
    <row r="784" spans="1:25" x14ac:dyDescent="0.35">
      <c r="A784" t="s">
        <v>809</v>
      </c>
      <c r="B784" t="s">
        <v>455</v>
      </c>
      <c r="C784" t="s">
        <v>533</v>
      </c>
      <c r="D784">
        <v>2008</v>
      </c>
      <c r="E784">
        <v>159</v>
      </c>
      <c r="F784" t="s">
        <v>600</v>
      </c>
      <c r="G784" t="s">
        <v>829</v>
      </c>
      <c r="H784" t="s">
        <v>541</v>
      </c>
      <c r="K784" t="s">
        <v>394</v>
      </c>
      <c r="M784" t="s">
        <v>348</v>
      </c>
      <c r="N784" t="s">
        <v>538</v>
      </c>
      <c r="O784" t="s">
        <v>810</v>
      </c>
      <c r="P784" t="s">
        <v>811</v>
      </c>
      <c r="Q784" s="11" t="s">
        <v>230</v>
      </c>
      <c r="R784">
        <v>10</v>
      </c>
      <c r="S784" s="3">
        <v>0.9</v>
      </c>
      <c r="T784" s="3">
        <v>0.3</v>
      </c>
      <c r="U784" s="3">
        <v>-3.6</v>
      </c>
      <c r="Y784" t="s">
        <v>828</v>
      </c>
    </row>
    <row r="785" spans="1:25" x14ac:dyDescent="0.35">
      <c r="A785" t="s">
        <v>809</v>
      </c>
      <c r="B785" t="s">
        <v>455</v>
      </c>
      <c r="C785" t="s">
        <v>533</v>
      </c>
      <c r="D785">
        <v>2008</v>
      </c>
      <c r="E785">
        <v>159</v>
      </c>
      <c r="F785" t="s">
        <v>600</v>
      </c>
      <c r="G785" t="s">
        <v>829</v>
      </c>
      <c r="H785" t="s">
        <v>541</v>
      </c>
      <c r="K785" t="s">
        <v>394</v>
      </c>
      <c r="M785" t="s">
        <v>348</v>
      </c>
      <c r="N785" t="s">
        <v>538</v>
      </c>
      <c r="O785" t="s">
        <v>810</v>
      </c>
      <c r="P785" t="s">
        <v>811</v>
      </c>
      <c r="Q785" s="11" t="s">
        <v>230</v>
      </c>
      <c r="R785">
        <v>20</v>
      </c>
      <c r="S785" s="3">
        <v>0.91</v>
      </c>
      <c r="T785" s="3">
        <v>0.55000000000000004</v>
      </c>
      <c r="U785" s="3">
        <v>-7</v>
      </c>
      <c r="Y785" t="s">
        <v>828</v>
      </c>
    </row>
    <row r="786" spans="1:25" x14ac:dyDescent="0.35">
      <c r="A786" t="s">
        <v>812</v>
      </c>
      <c r="B786" t="s">
        <v>398</v>
      </c>
      <c r="C786" t="s">
        <v>441</v>
      </c>
      <c r="D786">
        <v>2017</v>
      </c>
      <c r="E786">
        <v>160</v>
      </c>
      <c r="F786" t="s">
        <v>600</v>
      </c>
      <c r="G786" t="s">
        <v>829</v>
      </c>
      <c r="H786" t="s">
        <v>541</v>
      </c>
      <c r="K786" t="s">
        <v>378</v>
      </c>
      <c r="L786" t="s">
        <v>393</v>
      </c>
      <c r="M786" t="s">
        <v>348</v>
      </c>
      <c r="N786" t="s">
        <v>538</v>
      </c>
      <c r="O786" t="s">
        <v>814</v>
      </c>
      <c r="P786" t="s">
        <v>813</v>
      </c>
      <c r="Q786" s="11" t="s">
        <v>230</v>
      </c>
      <c r="R786">
        <v>0</v>
      </c>
      <c r="S786" s="3">
        <v>0.91</v>
      </c>
      <c r="T786" s="3">
        <v>0</v>
      </c>
      <c r="U786" s="3">
        <v>0</v>
      </c>
      <c r="Y786" t="s">
        <v>828</v>
      </c>
    </row>
    <row r="787" spans="1:25" x14ac:dyDescent="0.35">
      <c r="A787" t="s">
        <v>812</v>
      </c>
      <c r="B787" t="s">
        <v>398</v>
      </c>
      <c r="C787" t="s">
        <v>441</v>
      </c>
      <c r="D787">
        <v>2017</v>
      </c>
      <c r="E787">
        <v>160</v>
      </c>
      <c r="F787" t="s">
        <v>600</v>
      </c>
      <c r="G787" t="s">
        <v>829</v>
      </c>
      <c r="H787" t="s">
        <v>541</v>
      </c>
      <c r="K787" t="s">
        <v>378</v>
      </c>
      <c r="L787" t="s">
        <v>393</v>
      </c>
      <c r="M787" t="s">
        <v>348</v>
      </c>
      <c r="N787" t="s">
        <v>538</v>
      </c>
      <c r="O787" t="s">
        <v>814</v>
      </c>
      <c r="P787" t="s">
        <v>813</v>
      </c>
      <c r="Q787" s="11" t="s">
        <v>230</v>
      </c>
      <c r="R787">
        <v>30</v>
      </c>
      <c r="S787" s="3">
        <v>0.83</v>
      </c>
      <c r="T787" s="3">
        <v>0.4</v>
      </c>
      <c r="U787" s="3">
        <v>6</v>
      </c>
      <c r="Y787" t="s">
        <v>828</v>
      </c>
    </row>
    <row r="788" spans="1:25" x14ac:dyDescent="0.35">
      <c r="A788" t="s">
        <v>812</v>
      </c>
      <c r="B788" t="s">
        <v>398</v>
      </c>
      <c r="C788" t="s">
        <v>441</v>
      </c>
      <c r="D788">
        <v>2017</v>
      </c>
      <c r="E788">
        <v>160</v>
      </c>
      <c r="F788" t="s">
        <v>600</v>
      </c>
      <c r="G788" t="s">
        <v>829</v>
      </c>
      <c r="H788" t="s">
        <v>541</v>
      </c>
      <c r="K788" t="s">
        <v>378</v>
      </c>
      <c r="L788" t="s">
        <v>393</v>
      </c>
      <c r="M788" t="s">
        <v>348</v>
      </c>
      <c r="N788" t="s">
        <v>538</v>
      </c>
      <c r="O788" t="s">
        <v>814</v>
      </c>
      <c r="P788" t="s">
        <v>813</v>
      </c>
      <c r="Q788" s="11" t="s">
        <v>230</v>
      </c>
      <c r="R788">
        <v>41</v>
      </c>
      <c r="S788" s="3">
        <v>0.91</v>
      </c>
      <c r="T788" s="3">
        <v>1</v>
      </c>
      <c r="U788" s="3">
        <v>8</v>
      </c>
      <c r="Y788" t="s">
        <v>828</v>
      </c>
    </row>
    <row r="789" spans="1:25" x14ac:dyDescent="0.35">
      <c r="A789" t="s">
        <v>812</v>
      </c>
      <c r="B789" t="s">
        <v>398</v>
      </c>
      <c r="C789" t="s">
        <v>441</v>
      </c>
      <c r="D789">
        <v>2017</v>
      </c>
      <c r="E789">
        <v>160</v>
      </c>
      <c r="F789" t="s">
        <v>600</v>
      </c>
      <c r="G789" t="s">
        <v>829</v>
      </c>
      <c r="H789" t="s">
        <v>541</v>
      </c>
      <c r="K789" t="s">
        <v>378</v>
      </c>
      <c r="L789" t="s">
        <v>393</v>
      </c>
      <c r="M789" t="s">
        <v>348</v>
      </c>
      <c r="N789" t="s">
        <v>538</v>
      </c>
      <c r="O789" t="s">
        <v>814</v>
      </c>
      <c r="P789" t="s">
        <v>813</v>
      </c>
      <c r="Q789" s="11" t="s">
        <v>230</v>
      </c>
      <c r="R789">
        <v>55</v>
      </c>
      <c r="S789" s="3">
        <v>0.97</v>
      </c>
      <c r="T789" s="3">
        <v>1.7</v>
      </c>
      <c r="U789" s="3">
        <v>10</v>
      </c>
      <c r="Y789" t="s">
        <v>828</v>
      </c>
    </row>
    <row r="790" spans="1:25" x14ac:dyDescent="0.35">
      <c r="A790" t="s">
        <v>812</v>
      </c>
      <c r="B790" t="s">
        <v>398</v>
      </c>
      <c r="C790" t="s">
        <v>441</v>
      </c>
      <c r="D790">
        <v>2017</v>
      </c>
      <c r="E790">
        <v>160</v>
      </c>
      <c r="F790" t="s">
        <v>600</v>
      </c>
      <c r="G790" t="s">
        <v>829</v>
      </c>
      <c r="H790" t="s">
        <v>541</v>
      </c>
      <c r="K790" t="s">
        <v>378</v>
      </c>
      <c r="L790" t="s">
        <v>393</v>
      </c>
      <c r="M790" t="s">
        <v>348</v>
      </c>
      <c r="N790" t="s">
        <v>538</v>
      </c>
      <c r="O790" t="s">
        <v>814</v>
      </c>
      <c r="P790" t="s">
        <v>813</v>
      </c>
      <c r="Q790" s="11" t="s">
        <v>230</v>
      </c>
      <c r="R790">
        <v>66</v>
      </c>
      <c r="S790" s="3">
        <v>1.03</v>
      </c>
      <c r="T790" s="3">
        <v>2.2999999999999998</v>
      </c>
      <c r="U790" s="3">
        <v>12</v>
      </c>
      <c r="Y790" t="s">
        <v>828</v>
      </c>
    </row>
    <row r="791" spans="1:25" x14ac:dyDescent="0.35">
      <c r="A791" t="s">
        <v>812</v>
      </c>
      <c r="B791" t="s">
        <v>398</v>
      </c>
      <c r="C791" t="s">
        <v>441</v>
      </c>
      <c r="D791">
        <v>2017</v>
      </c>
      <c r="E791">
        <v>160</v>
      </c>
      <c r="F791" t="s">
        <v>600</v>
      </c>
      <c r="G791" t="s">
        <v>829</v>
      </c>
      <c r="H791" t="s">
        <v>541</v>
      </c>
      <c r="K791" t="s">
        <v>378</v>
      </c>
      <c r="L791" t="s">
        <v>393</v>
      </c>
      <c r="M791" t="s">
        <v>348</v>
      </c>
      <c r="N791" t="s">
        <v>538</v>
      </c>
      <c r="O791" t="s">
        <v>814</v>
      </c>
      <c r="P791" t="s">
        <v>813</v>
      </c>
      <c r="Q791" s="11" t="s">
        <v>230</v>
      </c>
      <c r="R791">
        <v>77</v>
      </c>
      <c r="S791" s="3">
        <v>1.31</v>
      </c>
      <c r="T791" s="3">
        <v>2.8</v>
      </c>
      <c r="U791" s="3">
        <v>12</v>
      </c>
      <c r="Y791" t="s">
        <v>828</v>
      </c>
    </row>
    <row r="792" spans="1:25" x14ac:dyDescent="0.35">
      <c r="A792" t="s">
        <v>817</v>
      </c>
      <c r="B792" t="s">
        <v>455</v>
      </c>
      <c r="C792" t="s">
        <v>370</v>
      </c>
      <c r="D792">
        <v>2018</v>
      </c>
      <c r="E792">
        <v>161</v>
      </c>
      <c r="F792" t="s">
        <v>600</v>
      </c>
      <c r="G792" t="s">
        <v>829</v>
      </c>
      <c r="H792" t="s">
        <v>541</v>
      </c>
      <c r="K792" t="s">
        <v>394</v>
      </c>
      <c r="M792" t="s">
        <v>348</v>
      </c>
      <c r="N792" t="s">
        <v>538</v>
      </c>
      <c r="O792" t="s">
        <v>816</v>
      </c>
      <c r="P792" t="s">
        <v>815</v>
      </c>
      <c r="Q792" t="s">
        <v>230</v>
      </c>
      <c r="R792">
        <v>0</v>
      </c>
      <c r="S792" s="3">
        <f>1/0.51</f>
        <v>1.9607843137254901</v>
      </c>
      <c r="T792" s="3">
        <v>0</v>
      </c>
      <c r="U792" s="3">
        <v>0</v>
      </c>
      <c r="Y792" t="s">
        <v>828</v>
      </c>
    </row>
    <row r="793" spans="1:25" x14ac:dyDescent="0.35">
      <c r="A793" t="s">
        <v>817</v>
      </c>
      <c r="B793" t="s">
        <v>455</v>
      </c>
      <c r="C793" t="s">
        <v>370</v>
      </c>
      <c r="D793">
        <v>2018</v>
      </c>
      <c r="E793">
        <v>161</v>
      </c>
      <c r="F793" t="s">
        <v>600</v>
      </c>
      <c r="G793" t="s">
        <v>829</v>
      </c>
      <c r="H793" t="s">
        <v>541</v>
      </c>
      <c r="K793" t="s">
        <v>394</v>
      </c>
      <c r="M793" t="s">
        <v>348</v>
      </c>
      <c r="N793" t="s">
        <v>538</v>
      </c>
      <c r="O793" t="s">
        <v>816</v>
      </c>
      <c r="P793" t="s">
        <v>815</v>
      </c>
      <c r="Q793" t="s">
        <v>230</v>
      </c>
      <c r="R793">
        <v>60</v>
      </c>
      <c r="S793" s="3">
        <f>1/0.6</f>
        <v>1.6666666666666667</v>
      </c>
      <c r="T793" s="3">
        <v>2.5</v>
      </c>
      <c r="U793" s="3">
        <v>0</v>
      </c>
      <c r="Y793" t="s">
        <v>828</v>
      </c>
    </row>
    <row r="794" spans="1:25" x14ac:dyDescent="0.35">
      <c r="A794" t="s">
        <v>820</v>
      </c>
      <c r="B794" t="s">
        <v>398</v>
      </c>
      <c r="C794" t="s">
        <v>399</v>
      </c>
      <c r="D794">
        <v>2015</v>
      </c>
      <c r="E794">
        <v>161</v>
      </c>
      <c r="F794" t="s">
        <v>600</v>
      </c>
      <c r="G794" t="s">
        <v>829</v>
      </c>
      <c r="H794" t="s">
        <v>541</v>
      </c>
      <c r="K794" t="s">
        <v>394</v>
      </c>
      <c r="M794" t="s">
        <v>348</v>
      </c>
      <c r="N794" t="s">
        <v>537</v>
      </c>
      <c r="O794" t="s">
        <v>818</v>
      </c>
      <c r="P794" t="s">
        <v>819</v>
      </c>
      <c r="Q794" t="s">
        <v>230</v>
      </c>
      <c r="R794">
        <v>0</v>
      </c>
      <c r="S794" s="3">
        <v>1.22</v>
      </c>
      <c r="T794" s="3">
        <v>0</v>
      </c>
      <c r="U794" s="3">
        <v>0</v>
      </c>
      <c r="Y794" t="s">
        <v>828</v>
      </c>
    </row>
    <row r="795" spans="1:25" x14ac:dyDescent="0.35">
      <c r="A795" t="s">
        <v>820</v>
      </c>
      <c r="B795" t="s">
        <v>398</v>
      </c>
      <c r="C795" t="s">
        <v>399</v>
      </c>
      <c r="D795">
        <v>2015</v>
      </c>
      <c r="E795">
        <v>161</v>
      </c>
      <c r="F795" t="s">
        <v>600</v>
      </c>
      <c r="G795" t="s">
        <v>829</v>
      </c>
      <c r="H795" t="s">
        <v>541</v>
      </c>
      <c r="K795" t="s">
        <v>394</v>
      </c>
      <c r="M795" t="s">
        <v>348</v>
      </c>
      <c r="N795" t="s">
        <v>537</v>
      </c>
      <c r="O795" t="s">
        <v>818</v>
      </c>
      <c r="P795" t="s">
        <v>819</v>
      </c>
      <c r="Q795" t="s">
        <v>230</v>
      </c>
      <c r="R795">
        <v>25</v>
      </c>
      <c r="S795" s="3">
        <v>1.23</v>
      </c>
      <c r="T795" s="3">
        <v>0</v>
      </c>
      <c r="U795" s="3">
        <v>-14.9</v>
      </c>
      <c r="Y795" t="s">
        <v>828</v>
      </c>
    </row>
    <row r="796" spans="1:25" x14ac:dyDescent="0.35">
      <c r="A796" t="s">
        <v>820</v>
      </c>
      <c r="B796" t="s">
        <v>398</v>
      </c>
      <c r="C796" t="s">
        <v>399</v>
      </c>
      <c r="D796">
        <v>2015</v>
      </c>
      <c r="E796">
        <v>161</v>
      </c>
      <c r="F796" t="s">
        <v>600</v>
      </c>
      <c r="G796" t="s">
        <v>829</v>
      </c>
      <c r="H796" t="s">
        <v>541</v>
      </c>
      <c r="K796" t="s">
        <v>394</v>
      </c>
      <c r="M796" t="s">
        <v>348</v>
      </c>
      <c r="N796" t="s">
        <v>537</v>
      </c>
      <c r="O796" t="s">
        <v>818</v>
      </c>
      <c r="P796" t="s">
        <v>819</v>
      </c>
      <c r="Q796" t="s">
        <v>230</v>
      </c>
      <c r="R796">
        <v>45</v>
      </c>
      <c r="S796" s="3">
        <v>1.28</v>
      </c>
      <c r="T796" s="3">
        <v>0</v>
      </c>
      <c r="U796" s="3">
        <v>-16.5</v>
      </c>
      <c r="Y796" t="s">
        <v>828</v>
      </c>
    </row>
    <row r="797" spans="1:25" x14ac:dyDescent="0.35">
      <c r="A797" t="s">
        <v>820</v>
      </c>
      <c r="B797" t="s">
        <v>398</v>
      </c>
      <c r="C797" t="s">
        <v>399</v>
      </c>
      <c r="D797">
        <v>2015</v>
      </c>
      <c r="E797">
        <v>161</v>
      </c>
      <c r="F797" t="s">
        <v>600</v>
      </c>
      <c r="G797" t="s">
        <v>829</v>
      </c>
      <c r="H797" t="s">
        <v>541</v>
      </c>
      <c r="K797" t="s">
        <v>394</v>
      </c>
      <c r="M797" t="s">
        <v>348</v>
      </c>
      <c r="N797" t="s">
        <v>537</v>
      </c>
      <c r="O797" t="s">
        <v>818</v>
      </c>
      <c r="P797" t="s">
        <v>819</v>
      </c>
      <c r="Q797" t="s">
        <v>230</v>
      </c>
      <c r="R797">
        <v>0</v>
      </c>
      <c r="S797" s="3">
        <v>1.42</v>
      </c>
      <c r="T797" s="3">
        <v>0</v>
      </c>
      <c r="U797" s="3">
        <v>0</v>
      </c>
      <c r="Y797" t="s">
        <v>828</v>
      </c>
    </row>
    <row r="798" spans="1:25" x14ac:dyDescent="0.35">
      <c r="A798" t="s">
        <v>820</v>
      </c>
      <c r="B798" t="s">
        <v>398</v>
      </c>
      <c r="C798" t="s">
        <v>399</v>
      </c>
      <c r="D798">
        <v>2015</v>
      </c>
      <c r="E798">
        <v>161</v>
      </c>
      <c r="F798" t="s">
        <v>600</v>
      </c>
      <c r="G798" t="s">
        <v>829</v>
      </c>
      <c r="H798" t="s">
        <v>541</v>
      </c>
      <c r="K798" t="s">
        <v>394</v>
      </c>
      <c r="M798" t="s">
        <v>348</v>
      </c>
      <c r="N798" t="s">
        <v>537</v>
      </c>
      <c r="O798" t="s">
        <v>818</v>
      </c>
      <c r="P798" t="s">
        <v>819</v>
      </c>
      <c r="Q798" t="s">
        <v>230</v>
      </c>
      <c r="R798">
        <v>25</v>
      </c>
      <c r="S798" s="3">
        <v>1.24</v>
      </c>
      <c r="T798" s="3">
        <v>0</v>
      </c>
      <c r="U798" s="3">
        <v>-7.08</v>
      </c>
      <c r="Y798" t="s">
        <v>828</v>
      </c>
    </row>
    <row r="799" spans="1:25" x14ac:dyDescent="0.35">
      <c r="A799" t="s">
        <v>820</v>
      </c>
      <c r="B799" t="s">
        <v>398</v>
      </c>
      <c r="C799" t="s">
        <v>399</v>
      </c>
      <c r="D799">
        <v>2015</v>
      </c>
      <c r="E799">
        <v>161</v>
      </c>
      <c r="F799" t="s">
        <v>600</v>
      </c>
      <c r="G799" t="s">
        <v>829</v>
      </c>
      <c r="H799" t="s">
        <v>541</v>
      </c>
      <c r="K799" t="s">
        <v>394</v>
      </c>
      <c r="M799" t="s">
        <v>348</v>
      </c>
      <c r="N799" t="s">
        <v>537</v>
      </c>
      <c r="O799" t="s">
        <v>818</v>
      </c>
      <c r="P799" t="s">
        <v>819</v>
      </c>
      <c r="Q799" t="s">
        <v>230</v>
      </c>
      <c r="R799">
        <v>45</v>
      </c>
      <c r="S799" s="3">
        <v>1.49</v>
      </c>
      <c r="T799" s="3">
        <v>0</v>
      </c>
      <c r="U799" s="3">
        <v>-12.7</v>
      </c>
      <c r="Y799" t="s">
        <v>828</v>
      </c>
    </row>
    <row r="800" spans="1:25" x14ac:dyDescent="0.35">
      <c r="A800" t="s">
        <v>820</v>
      </c>
      <c r="B800" t="s">
        <v>398</v>
      </c>
      <c r="C800" t="s">
        <v>399</v>
      </c>
      <c r="D800">
        <v>2015</v>
      </c>
      <c r="E800">
        <v>161</v>
      </c>
      <c r="F800" t="s">
        <v>600</v>
      </c>
      <c r="G800" t="s">
        <v>829</v>
      </c>
      <c r="H800" t="s">
        <v>541</v>
      </c>
      <c r="K800" t="s">
        <v>394</v>
      </c>
      <c r="M800" t="s">
        <v>348</v>
      </c>
      <c r="N800" t="s">
        <v>537</v>
      </c>
      <c r="O800" t="s">
        <v>818</v>
      </c>
      <c r="P800" t="s">
        <v>819</v>
      </c>
      <c r="Q800" t="s">
        <v>230</v>
      </c>
      <c r="R800">
        <v>0</v>
      </c>
      <c r="S800" s="3">
        <v>1.58</v>
      </c>
      <c r="T800" s="3">
        <v>0</v>
      </c>
      <c r="U800" s="3">
        <v>0</v>
      </c>
      <c r="Y800" t="s">
        <v>828</v>
      </c>
    </row>
    <row r="801" spans="1:25" x14ac:dyDescent="0.35">
      <c r="A801" t="s">
        <v>820</v>
      </c>
      <c r="B801" t="s">
        <v>398</v>
      </c>
      <c r="C801" t="s">
        <v>399</v>
      </c>
      <c r="D801">
        <v>2015</v>
      </c>
      <c r="E801">
        <v>161</v>
      </c>
      <c r="F801" t="s">
        <v>600</v>
      </c>
      <c r="G801" t="s">
        <v>829</v>
      </c>
      <c r="H801" t="s">
        <v>541</v>
      </c>
      <c r="K801" t="s">
        <v>394</v>
      </c>
      <c r="M801" t="s">
        <v>348</v>
      </c>
      <c r="N801" t="s">
        <v>537</v>
      </c>
      <c r="O801" t="s">
        <v>818</v>
      </c>
      <c r="P801" t="s">
        <v>819</v>
      </c>
      <c r="Q801" t="s">
        <v>230</v>
      </c>
      <c r="R801">
        <v>25</v>
      </c>
      <c r="S801" s="3">
        <v>1.57</v>
      </c>
      <c r="T801" s="3">
        <v>0</v>
      </c>
      <c r="U801" s="3">
        <v>-5.2</v>
      </c>
      <c r="Y801" t="s">
        <v>828</v>
      </c>
    </row>
    <row r="802" spans="1:25" x14ac:dyDescent="0.35">
      <c r="A802" t="s">
        <v>820</v>
      </c>
      <c r="B802" t="s">
        <v>398</v>
      </c>
      <c r="C802" t="s">
        <v>399</v>
      </c>
      <c r="D802">
        <v>2015</v>
      </c>
      <c r="E802">
        <v>161</v>
      </c>
      <c r="F802" t="s">
        <v>600</v>
      </c>
      <c r="G802" t="s">
        <v>829</v>
      </c>
      <c r="H802" t="s">
        <v>541</v>
      </c>
      <c r="K802" t="s">
        <v>394</v>
      </c>
      <c r="M802" t="s">
        <v>348</v>
      </c>
      <c r="N802" t="s">
        <v>537</v>
      </c>
      <c r="O802" t="s">
        <v>818</v>
      </c>
      <c r="P802" t="s">
        <v>819</v>
      </c>
      <c r="Q802" t="s">
        <v>230</v>
      </c>
      <c r="R802">
        <v>45</v>
      </c>
      <c r="S802" s="3">
        <v>1.51</v>
      </c>
      <c r="T802" s="3">
        <v>0</v>
      </c>
      <c r="U802" s="3">
        <v>-10</v>
      </c>
      <c r="Y802" t="s">
        <v>828</v>
      </c>
    </row>
    <row r="803" spans="1:25" x14ac:dyDescent="0.35">
      <c r="A803" t="s">
        <v>823</v>
      </c>
      <c r="B803" t="s">
        <v>824</v>
      </c>
      <c r="C803" t="s">
        <v>456</v>
      </c>
      <c r="D803">
        <v>2008</v>
      </c>
      <c r="E803">
        <v>162</v>
      </c>
      <c r="F803" t="s">
        <v>600</v>
      </c>
      <c r="G803" t="s">
        <v>829</v>
      </c>
      <c r="H803" t="s">
        <v>541</v>
      </c>
      <c r="K803" t="s">
        <v>394</v>
      </c>
      <c r="M803" t="s">
        <v>348</v>
      </c>
      <c r="N803" t="s">
        <v>173</v>
      </c>
      <c r="O803" t="s">
        <v>822</v>
      </c>
      <c r="P803" t="s">
        <v>821</v>
      </c>
      <c r="Q803" t="s">
        <v>230</v>
      </c>
      <c r="R803">
        <v>0</v>
      </c>
      <c r="S803" s="3">
        <v>1.32</v>
      </c>
      <c r="T803" s="3">
        <v>0</v>
      </c>
      <c r="U803" s="3">
        <v>0</v>
      </c>
      <c r="Y803" t="s">
        <v>828</v>
      </c>
    </row>
    <row r="804" spans="1:25" x14ac:dyDescent="0.35">
      <c r="A804" t="s">
        <v>823</v>
      </c>
      <c r="B804" t="s">
        <v>824</v>
      </c>
      <c r="C804" t="s">
        <v>456</v>
      </c>
      <c r="D804">
        <v>2008</v>
      </c>
      <c r="E804">
        <v>162</v>
      </c>
      <c r="F804" t="s">
        <v>600</v>
      </c>
      <c r="G804" t="s">
        <v>829</v>
      </c>
      <c r="H804" t="s">
        <v>541</v>
      </c>
      <c r="K804" t="s">
        <v>394</v>
      </c>
      <c r="M804" t="s">
        <v>348</v>
      </c>
      <c r="N804" t="s">
        <v>173</v>
      </c>
      <c r="O804" t="s">
        <v>822</v>
      </c>
      <c r="P804" t="s">
        <v>821</v>
      </c>
      <c r="Q804" t="s">
        <v>230</v>
      </c>
      <c r="R804">
        <v>20</v>
      </c>
      <c r="S804" s="3">
        <v>1.41</v>
      </c>
      <c r="T804" s="3">
        <v>0</v>
      </c>
      <c r="U804" s="3">
        <v>0</v>
      </c>
      <c r="Y804" t="s">
        <v>828</v>
      </c>
    </row>
    <row r="805" spans="1:25" x14ac:dyDescent="0.35">
      <c r="A805" t="s">
        <v>823</v>
      </c>
      <c r="B805" t="s">
        <v>824</v>
      </c>
      <c r="C805" t="s">
        <v>456</v>
      </c>
      <c r="D805">
        <v>2008</v>
      </c>
      <c r="E805">
        <v>162</v>
      </c>
      <c r="F805" t="s">
        <v>600</v>
      </c>
      <c r="G805" t="s">
        <v>829</v>
      </c>
      <c r="H805" t="s">
        <v>541</v>
      </c>
      <c r="K805" t="s">
        <v>394</v>
      </c>
      <c r="M805" t="s">
        <v>348</v>
      </c>
      <c r="N805" t="s">
        <v>173</v>
      </c>
      <c r="O805" t="s">
        <v>822</v>
      </c>
      <c r="P805" t="s">
        <v>821</v>
      </c>
      <c r="Q805" t="s">
        <v>230</v>
      </c>
      <c r="R805">
        <v>40</v>
      </c>
      <c r="S805" s="3">
        <v>1.47</v>
      </c>
      <c r="T805" s="3">
        <v>0</v>
      </c>
      <c r="U805" s="3">
        <v>0</v>
      </c>
      <c r="Y805" t="s">
        <v>828</v>
      </c>
    </row>
    <row r="806" spans="1:25" x14ac:dyDescent="0.35">
      <c r="A806" t="s">
        <v>823</v>
      </c>
      <c r="B806" t="s">
        <v>824</v>
      </c>
      <c r="C806" t="s">
        <v>456</v>
      </c>
      <c r="D806">
        <v>2008</v>
      </c>
      <c r="E806">
        <v>162</v>
      </c>
      <c r="F806" t="s">
        <v>600</v>
      </c>
      <c r="G806" t="s">
        <v>829</v>
      </c>
      <c r="H806" t="s">
        <v>541</v>
      </c>
      <c r="K806" t="s">
        <v>394</v>
      </c>
      <c r="M806" t="s">
        <v>348</v>
      </c>
      <c r="N806" t="s">
        <v>173</v>
      </c>
      <c r="O806" t="s">
        <v>822</v>
      </c>
      <c r="P806" t="s">
        <v>821</v>
      </c>
      <c r="Q806" t="s">
        <v>230</v>
      </c>
      <c r="R806">
        <v>60</v>
      </c>
      <c r="S806" s="3">
        <v>1.51</v>
      </c>
      <c r="T806" s="3">
        <v>0</v>
      </c>
      <c r="U806" s="3">
        <v>0</v>
      </c>
      <c r="Y806" t="s">
        <v>828</v>
      </c>
    </row>
    <row r="807" spans="1:25" x14ac:dyDescent="0.35">
      <c r="A807" t="s">
        <v>823</v>
      </c>
      <c r="B807" t="s">
        <v>824</v>
      </c>
      <c r="C807" t="s">
        <v>456</v>
      </c>
      <c r="D807">
        <v>2008</v>
      </c>
      <c r="E807">
        <v>162</v>
      </c>
      <c r="F807" t="s">
        <v>600</v>
      </c>
      <c r="G807" t="s">
        <v>829</v>
      </c>
      <c r="H807" t="s">
        <v>541</v>
      </c>
      <c r="K807" t="s">
        <v>394</v>
      </c>
      <c r="M807" t="s">
        <v>348</v>
      </c>
      <c r="N807" t="s">
        <v>173</v>
      </c>
      <c r="O807" t="s">
        <v>822</v>
      </c>
      <c r="P807" t="s">
        <v>821</v>
      </c>
      <c r="Q807" t="s">
        <v>230</v>
      </c>
      <c r="R807">
        <v>80</v>
      </c>
      <c r="S807" s="3">
        <v>1.34</v>
      </c>
      <c r="T807" s="3">
        <v>0</v>
      </c>
      <c r="U807" s="3">
        <v>0</v>
      </c>
      <c r="Y807" t="s">
        <v>828</v>
      </c>
    </row>
    <row r="808" spans="1:25" x14ac:dyDescent="0.35">
      <c r="A808" t="s">
        <v>823</v>
      </c>
      <c r="B808" t="s">
        <v>824</v>
      </c>
      <c r="C808" t="s">
        <v>456</v>
      </c>
      <c r="D808">
        <v>2008</v>
      </c>
      <c r="E808">
        <v>162</v>
      </c>
      <c r="F808" t="s">
        <v>600</v>
      </c>
      <c r="G808" t="s">
        <v>829</v>
      </c>
      <c r="H808" t="s">
        <v>541</v>
      </c>
      <c r="K808" t="s">
        <v>394</v>
      </c>
      <c r="M808" t="s">
        <v>348</v>
      </c>
      <c r="N808" t="s">
        <v>173</v>
      </c>
      <c r="O808" t="s">
        <v>822</v>
      </c>
      <c r="P808" t="s">
        <v>821</v>
      </c>
      <c r="Q808" t="s">
        <v>230</v>
      </c>
      <c r="R808">
        <v>100</v>
      </c>
      <c r="S808" s="3">
        <v>1.37</v>
      </c>
      <c r="T808" s="3">
        <v>0</v>
      </c>
      <c r="U808" s="3">
        <v>0</v>
      </c>
      <c r="Y808" t="s">
        <v>828</v>
      </c>
    </row>
    <row r="809" spans="1:25" x14ac:dyDescent="0.35">
      <c r="A809" t="s">
        <v>825</v>
      </c>
      <c r="B809" t="s">
        <v>453</v>
      </c>
      <c r="C809" t="s">
        <v>399</v>
      </c>
      <c r="D809">
        <v>2014</v>
      </c>
      <c r="E809">
        <v>163</v>
      </c>
      <c r="F809" t="s">
        <v>600</v>
      </c>
      <c r="G809" t="s">
        <v>829</v>
      </c>
      <c r="H809" t="s">
        <v>541</v>
      </c>
      <c r="K809" t="s">
        <v>394</v>
      </c>
      <c r="M809" t="s">
        <v>348</v>
      </c>
      <c r="N809" t="s">
        <v>481</v>
      </c>
      <c r="O809" t="s">
        <v>288</v>
      </c>
      <c r="P809" t="s">
        <v>482</v>
      </c>
      <c r="Q809" t="s">
        <v>230</v>
      </c>
      <c r="R809">
        <v>0</v>
      </c>
      <c r="S809" s="3">
        <v>1.39</v>
      </c>
      <c r="T809" s="3">
        <v>0</v>
      </c>
      <c r="U809" s="3">
        <v>0</v>
      </c>
      <c r="Y809" t="s">
        <v>828</v>
      </c>
    </row>
    <row r="810" spans="1:25" x14ac:dyDescent="0.35">
      <c r="A810" t="s">
        <v>825</v>
      </c>
      <c r="B810" t="s">
        <v>453</v>
      </c>
      <c r="C810" t="s">
        <v>399</v>
      </c>
      <c r="D810">
        <v>2014</v>
      </c>
      <c r="E810">
        <v>163</v>
      </c>
      <c r="F810" t="s">
        <v>600</v>
      </c>
      <c r="G810" t="s">
        <v>829</v>
      </c>
      <c r="H810" t="s">
        <v>541</v>
      </c>
      <c r="K810" t="s">
        <v>394</v>
      </c>
      <c r="M810" t="s">
        <v>348</v>
      </c>
      <c r="N810" t="s">
        <v>481</v>
      </c>
      <c r="O810" t="s">
        <v>288</v>
      </c>
      <c r="P810" t="s">
        <v>482</v>
      </c>
      <c r="Q810" t="s">
        <v>230</v>
      </c>
      <c r="R810">
        <v>25</v>
      </c>
      <c r="S810" s="3">
        <v>1.35</v>
      </c>
      <c r="T810" s="3">
        <v>0</v>
      </c>
      <c r="U810" s="3">
        <v>0.5</v>
      </c>
      <c r="Y810" t="s">
        <v>828</v>
      </c>
    </row>
    <row r="811" spans="1:25" x14ac:dyDescent="0.35">
      <c r="A811" t="s">
        <v>825</v>
      </c>
      <c r="B811" t="s">
        <v>453</v>
      </c>
      <c r="C811" t="s">
        <v>399</v>
      </c>
      <c r="D811">
        <v>2014</v>
      </c>
      <c r="E811">
        <v>163</v>
      </c>
      <c r="F811" t="s">
        <v>600</v>
      </c>
      <c r="G811" t="s">
        <v>829</v>
      </c>
      <c r="H811" t="s">
        <v>541</v>
      </c>
      <c r="K811" t="s">
        <v>394</v>
      </c>
      <c r="M811" t="s">
        <v>348</v>
      </c>
      <c r="N811" t="s">
        <v>481</v>
      </c>
      <c r="O811" t="s">
        <v>288</v>
      </c>
      <c r="P811" t="s">
        <v>482</v>
      </c>
      <c r="Q811" t="s">
        <v>230</v>
      </c>
      <c r="R811">
        <v>35</v>
      </c>
      <c r="S811" s="3">
        <v>1.37</v>
      </c>
      <c r="T811" s="3">
        <v>0</v>
      </c>
      <c r="U811" s="3">
        <v>0.3</v>
      </c>
      <c r="Y811" t="s">
        <v>828</v>
      </c>
    </row>
    <row r="812" spans="1:25" x14ac:dyDescent="0.35">
      <c r="A812" t="s">
        <v>825</v>
      </c>
      <c r="B812" t="s">
        <v>453</v>
      </c>
      <c r="C812" t="s">
        <v>399</v>
      </c>
      <c r="D812">
        <v>2014</v>
      </c>
      <c r="E812">
        <v>163</v>
      </c>
      <c r="F812" t="s">
        <v>600</v>
      </c>
      <c r="G812" t="s">
        <v>829</v>
      </c>
      <c r="H812" t="s">
        <v>541</v>
      </c>
      <c r="K812" t="s">
        <v>394</v>
      </c>
      <c r="M812" t="s">
        <v>348</v>
      </c>
      <c r="N812" t="s">
        <v>481</v>
      </c>
      <c r="O812" t="s">
        <v>288</v>
      </c>
      <c r="P812" t="s">
        <v>482</v>
      </c>
      <c r="Q812" t="s">
        <v>230</v>
      </c>
      <c r="R812">
        <v>45</v>
      </c>
      <c r="S812" s="3">
        <v>1.36</v>
      </c>
      <c r="T812" s="3">
        <v>0</v>
      </c>
      <c r="U812" s="3">
        <v>0.25</v>
      </c>
      <c r="Y812" t="s">
        <v>828</v>
      </c>
    </row>
    <row r="813" spans="1:25" x14ac:dyDescent="0.35">
      <c r="A813" t="s">
        <v>825</v>
      </c>
      <c r="B813" t="s">
        <v>453</v>
      </c>
      <c r="C813" t="s">
        <v>399</v>
      </c>
      <c r="D813">
        <v>2014</v>
      </c>
      <c r="E813">
        <v>163</v>
      </c>
      <c r="F813" t="s">
        <v>600</v>
      </c>
      <c r="G813" t="s">
        <v>829</v>
      </c>
      <c r="H813" t="s">
        <v>541</v>
      </c>
      <c r="K813" t="s">
        <v>394</v>
      </c>
      <c r="M813" t="s">
        <v>348</v>
      </c>
      <c r="N813" t="s">
        <v>481</v>
      </c>
      <c r="O813" t="s">
        <v>288</v>
      </c>
      <c r="P813" t="s">
        <v>482</v>
      </c>
      <c r="Q813" t="s">
        <v>230</v>
      </c>
      <c r="R813">
        <v>55</v>
      </c>
      <c r="S813" s="3">
        <v>1.56</v>
      </c>
      <c r="T813" s="3">
        <v>0</v>
      </c>
      <c r="U813" s="3">
        <v>0.5</v>
      </c>
      <c r="Y813" t="s">
        <v>828</v>
      </c>
    </row>
    <row r="814" spans="1:25" x14ac:dyDescent="0.35">
      <c r="A814" t="s">
        <v>825</v>
      </c>
      <c r="B814" t="s">
        <v>453</v>
      </c>
      <c r="C814" t="s">
        <v>399</v>
      </c>
      <c r="D814">
        <v>2014</v>
      </c>
      <c r="E814">
        <v>163</v>
      </c>
      <c r="F814" t="s">
        <v>600</v>
      </c>
      <c r="G814" t="s">
        <v>829</v>
      </c>
      <c r="H814" t="s">
        <v>541</v>
      </c>
      <c r="K814" t="s">
        <v>394</v>
      </c>
      <c r="M814" t="s">
        <v>348</v>
      </c>
      <c r="N814" t="s">
        <v>481</v>
      </c>
      <c r="O814" t="s">
        <v>288</v>
      </c>
      <c r="P814" t="s">
        <v>482</v>
      </c>
      <c r="Q814" t="s">
        <v>230</v>
      </c>
      <c r="R814">
        <v>65</v>
      </c>
      <c r="S814" s="3">
        <v>1.56</v>
      </c>
      <c r="T814" s="3">
        <v>0</v>
      </c>
      <c r="U814" s="3">
        <v>0.4</v>
      </c>
      <c r="Y814" t="s">
        <v>828</v>
      </c>
    </row>
    <row r="815" spans="1:25" x14ac:dyDescent="0.35">
      <c r="A815" t="s">
        <v>825</v>
      </c>
      <c r="B815" t="s">
        <v>453</v>
      </c>
      <c r="C815" t="s">
        <v>399</v>
      </c>
      <c r="D815">
        <v>2014</v>
      </c>
      <c r="E815">
        <v>163</v>
      </c>
      <c r="F815" t="s">
        <v>600</v>
      </c>
      <c r="G815" t="s">
        <v>829</v>
      </c>
      <c r="H815" t="s">
        <v>541</v>
      </c>
      <c r="K815" t="s">
        <v>394</v>
      </c>
      <c r="M815" t="s">
        <v>348</v>
      </c>
      <c r="N815" t="s">
        <v>481</v>
      </c>
      <c r="O815" t="s">
        <v>288</v>
      </c>
      <c r="P815" t="s">
        <v>482</v>
      </c>
      <c r="Q815" t="s">
        <v>230</v>
      </c>
      <c r="R815">
        <v>75</v>
      </c>
      <c r="S815" s="3">
        <v>1.57</v>
      </c>
      <c r="T815" s="3">
        <v>0</v>
      </c>
      <c r="U815" s="3">
        <v>0.45</v>
      </c>
      <c r="Y815" t="s">
        <v>828</v>
      </c>
    </row>
    <row r="816" spans="1:25" x14ac:dyDescent="0.35">
      <c r="A816" t="s">
        <v>825</v>
      </c>
      <c r="B816" t="s">
        <v>453</v>
      </c>
      <c r="C816" t="s">
        <v>399</v>
      </c>
      <c r="D816">
        <v>2014</v>
      </c>
      <c r="E816">
        <v>163</v>
      </c>
      <c r="F816" t="s">
        <v>600</v>
      </c>
      <c r="G816" t="s">
        <v>829</v>
      </c>
      <c r="H816" t="s">
        <v>541</v>
      </c>
      <c r="K816" t="s">
        <v>394</v>
      </c>
      <c r="M816" t="s">
        <v>348</v>
      </c>
      <c r="N816" t="s">
        <v>481</v>
      </c>
      <c r="O816" t="s">
        <v>288</v>
      </c>
      <c r="P816" t="s">
        <v>482</v>
      </c>
      <c r="Q816" t="s">
        <v>230</v>
      </c>
      <c r="R816">
        <v>100</v>
      </c>
      <c r="S816" s="3">
        <v>1.56</v>
      </c>
      <c r="T816" s="3">
        <v>0</v>
      </c>
      <c r="U816" s="3">
        <v>0.7</v>
      </c>
      <c r="Y816" t="s">
        <v>828</v>
      </c>
    </row>
    <row r="817" spans="1:25" x14ac:dyDescent="0.35">
      <c r="A817" t="s">
        <v>826</v>
      </c>
      <c r="B817" t="s">
        <v>827</v>
      </c>
      <c r="C817" t="s">
        <v>533</v>
      </c>
      <c r="D817">
        <v>2011</v>
      </c>
      <c r="E817">
        <v>164</v>
      </c>
      <c r="F817" t="s">
        <v>600</v>
      </c>
      <c r="G817" t="s">
        <v>829</v>
      </c>
      <c r="H817" t="s">
        <v>541</v>
      </c>
      <c r="K817" t="s">
        <v>378</v>
      </c>
      <c r="L817" t="s">
        <v>377</v>
      </c>
      <c r="M817" t="s">
        <v>348</v>
      </c>
      <c r="N817" t="s">
        <v>380</v>
      </c>
      <c r="O817" t="s">
        <v>413</v>
      </c>
      <c r="P817" t="s">
        <v>131</v>
      </c>
      <c r="Q817" t="s">
        <v>520</v>
      </c>
      <c r="R817">
        <v>0</v>
      </c>
      <c r="S817" s="3">
        <v>1.58</v>
      </c>
      <c r="T817" s="3">
        <v>0</v>
      </c>
      <c r="U817" s="3">
        <v>0</v>
      </c>
      <c r="Y817" t="s">
        <v>828</v>
      </c>
    </row>
    <row r="818" spans="1:25" x14ac:dyDescent="0.35">
      <c r="A818" t="s">
        <v>826</v>
      </c>
      <c r="B818" t="s">
        <v>827</v>
      </c>
      <c r="C818" t="s">
        <v>533</v>
      </c>
      <c r="D818">
        <v>2011</v>
      </c>
      <c r="E818">
        <v>164</v>
      </c>
      <c r="F818" t="s">
        <v>600</v>
      </c>
      <c r="G818" t="s">
        <v>829</v>
      </c>
      <c r="H818" t="s">
        <v>541</v>
      </c>
      <c r="K818" t="s">
        <v>378</v>
      </c>
      <c r="L818" t="s">
        <v>377</v>
      </c>
      <c r="M818" t="s">
        <v>348</v>
      </c>
      <c r="N818" t="s">
        <v>380</v>
      </c>
      <c r="O818" t="s">
        <v>413</v>
      </c>
      <c r="P818" t="s">
        <v>131</v>
      </c>
      <c r="Q818" t="s">
        <v>520</v>
      </c>
      <c r="R818">
        <v>35</v>
      </c>
      <c r="S818" s="3">
        <v>1.7</v>
      </c>
      <c r="T818" s="3">
        <v>0.17</v>
      </c>
      <c r="U818" s="3">
        <v>-5.17</v>
      </c>
      <c r="Y818" t="s">
        <v>828</v>
      </c>
    </row>
    <row r="819" spans="1:25" x14ac:dyDescent="0.35">
      <c r="A819" t="s">
        <v>826</v>
      </c>
      <c r="B819" t="s">
        <v>827</v>
      </c>
      <c r="C819" t="s">
        <v>533</v>
      </c>
      <c r="D819">
        <v>2011</v>
      </c>
      <c r="E819">
        <v>164</v>
      </c>
      <c r="F819" t="s">
        <v>600</v>
      </c>
      <c r="G819" t="s">
        <v>829</v>
      </c>
      <c r="H819" t="s">
        <v>541</v>
      </c>
      <c r="K819" t="s">
        <v>378</v>
      </c>
      <c r="L819" t="s">
        <v>377</v>
      </c>
      <c r="M819" t="s">
        <v>348</v>
      </c>
      <c r="N819" t="s">
        <v>380</v>
      </c>
      <c r="O819" t="s">
        <v>413</v>
      </c>
      <c r="P819" t="s">
        <v>131</v>
      </c>
      <c r="Q819" t="s">
        <v>520</v>
      </c>
      <c r="R819">
        <v>70</v>
      </c>
      <c r="S819" s="3">
        <v>2.6</v>
      </c>
      <c r="T819" s="3">
        <v>0.21</v>
      </c>
      <c r="U819" s="3">
        <v>-10.210000000000001</v>
      </c>
      <c r="Y819" t="s">
        <v>828</v>
      </c>
    </row>
    <row r="820" spans="1:25" x14ac:dyDescent="0.35">
      <c r="A820" t="s">
        <v>826</v>
      </c>
      <c r="B820" t="s">
        <v>827</v>
      </c>
      <c r="C820" t="s">
        <v>533</v>
      </c>
      <c r="D820">
        <v>2011</v>
      </c>
      <c r="E820">
        <v>164</v>
      </c>
      <c r="F820" t="s">
        <v>600</v>
      </c>
      <c r="G820" t="s">
        <v>829</v>
      </c>
      <c r="H820" t="s">
        <v>541</v>
      </c>
      <c r="K820" t="s">
        <v>378</v>
      </c>
      <c r="L820" t="s">
        <v>377</v>
      </c>
      <c r="M820" t="s">
        <v>348</v>
      </c>
      <c r="N820" t="s">
        <v>380</v>
      </c>
      <c r="O820" t="s">
        <v>413</v>
      </c>
      <c r="P820" t="s">
        <v>131</v>
      </c>
      <c r="Q820" t="s">
        <v>520</v>
      </c>
      <c r="R820">
        <v>35</v>
      </c>
      <c r="S820" s="3">
        <v>1.85</v>
      </c>
      <c r="T820" s="3">
        <v>0.02</v>
      </c>
      <c r="U820" s="3">
        <v>-11.02</v>
      </c>
      <c r="Y820" t="s">
        <v>828</v>
      </c>
    </row>
    <row r="821" spans="1:25" x14ac:dyDescent="0.35">
      <c r="A821" t="s">
        <v>826</v>
      </c>
      <c r="B821" t="s">
        <v>827</v>
      </c>
      <c r="C821" t="s">
        <v>533</v>
      </c>
      <c r="D821">
        <v>2011</v>
      </c>
      <c r="E821">
        <v>164</v>
      </c>
      <c r="F821" t="s">
        <v>600</v>
      </c>
      <c r="G821" t="s">
        <v>829</v>
      </c>
      <c r="H821" t="s">
        <v>541</v>
      </c>
      <c r="K821" t="s">
        <v>378</v>
      </c>
      <c r="L821" t="s">
        <v>377</v>
      </c>
      <c r="M821" t="s">
        <v>348</v>
      </c>
      <c r="N821" t="s">
        <v>380</v>
      </c>
      <c r="O821" t="s">
        <v>413</v>
      </c>
      <c r="P821" t="s">
        <v>131</v>
      </c>
      <c r="Q821" t="s">
        <v>520</v>
      </c>
      <c r="R821">
        <v>70</v>
      </c>
      <c r="S821" s="3">
        <v>3.35</v>
      </c>
      <c r="T821" s="3">
        <v>0.13</v>
      </c>
      <c r="U821" s="3">
        <v>-19.079999999999998</v>
      </c>
      <c r="Y821" t="s">
        <v>828</v>
      </c>
    </row>
    <row r="822" spans="1:25" x14ac:dyDescent="0.35">
      <c r="A822" t="s">
        <v>834</v>
      </c>
      <c r="B822" t="s">
        <v>827</v>
      </c>
      <c r="C822" t="s">
        <v>488</v>
      </c>
      <c r="D822">
        <v>2009</v>
      </c>
      <c r="E822">
        <v>165</v>
      </c>
      <c r="F822" t="s">
        <v>600</v>
      </c>
      <c r="G822" t="s">
        <v>829</v>
      </c>
      <c r="H822" t="s">
        <v>832</v>
      </c>
      <c r="K822" t="s">
        <v>394</v>
      </c>
      <c r="M822" t="s">
        <v>348</v>
      </c>
      <c r="N822" t="s">
        <v>481</v>
      </c>
      <c r="O822" t="s">
        <v>289</v>
      </c>
      <c r="P822" t="s">
        <v>835</v>
      </c>
      <c r="Q822" t="s">
        <v>230</v>
      </c>
      <c r="R822">
        <v>0</v>
      </c>
      <c r="S822" s="3">
        <v>82.07</v>
      </c>
      <c r="T822" s="3">
        <v>0</v>
      </c>
      <c r="U822" s="3">
        <v>0</v>
      </c>
    </row>
    <row r="823" spans="1:25" x14ac:dyDescent="0.35">
      <c r="A823" t="s">
        <v>834</v>
      </c>
      <c r="B823" t="s">
        <v>827</v>
      </c>
      <c r="C823" t="s">
        <v>488</v>
      </c>
      <c r="D823">
        <v>2009</v>
      </c>
      <c r="E823">
        <v>165</v>
      </c>
      <c r="F823" t="s">
        <v>600</v>
      </c>
      <c r="G823" t="s">
        <v>829</v>
      </c>
      <c r="H823" t="s">
        <v>832</v>
      </c>
      <c r="K823" t="s">
        <v>394</v>
      </c>
      <c r="M823" t="s">
        <v>348</v>
      </c>
      <c r="N823" t="s">
        <v>481</v>
      </c>
      <c r="O823" t="s">
        <v>289</v>
      </c>
      <c r="P823" t="s">
        <v>835</v>
      </c>
      <c r="Q823" t="s">
        <v>230</v>
      </c>
      <c r="R823">
        <v>100</v>
      </c>
      <c r="S823" s="3">
        <v>63.5</v>
      </c>
      <c r="T823" s="3">
        <v>0</v>
      </c>
      <c r="U823" s="3">
        <v>0</v>
      </c>
    </row>
    <row r="824" spans="1:25" x14ac:dyDescent="0.35">
      <c r="A824" t="s">
        <v>834</v>
      </c>
      <c r="B824" t="s">
        <v>827</v>
      </c>
      <c r="C824" t="s">
        <v>488</v>
      </c>
      <c r="D824">
        <v>2009</v>
      </c>
      <c r="E824">
        <v>165</v>
      </c>
      <c r="F824" t="s">
        <v>600</v>
      </c>
      <c r="G824" t="s">
        <v>829</v>
      </c>
      <c r="H824" t="s">
        <v>833</v>
      </c>
      <c r="K824" t="s">
        <v>394</v>
      </c>
      <c r="M824" t="s">
        <v>348</v>
      </c>
      <c r="N824" t="s">
        <v>481</v>
      </c>
      <c r="O824" t="s">
        <v>289</v>
      </c>
      <c r="P824" t="s">
        <v>835</v>
      </c>
      <c r="Q824" t="s">
        <v>230</v>
      </c>
      <c r="R824">
        <v>100</v>
      </c>
      <c r="S824" s="3">
        <v>77</v>
      </c>
      <c r="T824" s="3">
        <v>0</v>
      </c>
      <c r="U824" s="3">
        <v>0</v>
      </c>
    </row>
    <row r="825" spans="1:25" x14ac:dyDescent="0.35">
      <c r="A825" t="s">
        <v>834</v>
      </c>
      <c r="B825" t="s">
        <v>827</v>
      </c>
      <c r="C825" t="s">
        <v>488</v>
      </c>
      <c r="D825">
        <v>2009</v>
      </c>
      <c r="E825">
        <v>165</v>
      </c>
      <c r="F825" t="s">
        <v>600</v>
      </c>
      <c r="G825" t="s">
        <v>829</v>
      </c>
      <c r="H825" t="s">
        <v>833</v>
      </c>
      <c r="K825" t="s">
        <v>394</v>
      </c>
      <c r="M825" t="s">
        <v>348</v>
      </c>
      <c r="N825" t="s">
        <v>481</v>
      </c>
      <c r="O825" t="s">
        <v>289</v>
      </c>
      <c r="P825" t="s">
        <v>835</v>
      </c>
      <c r="Q825" t="s">
        <v>230</v>
      </c>
      <c r="R825">
        <v>100</v>
      </c>
      <c r="S825" s="3">
        <v>80.3</v>
      </c>
      <c r="T825" s="3">
        <v>0</v>
      </c>
      <c r="U825" s="3">
        <v>0</v>
      </c>
    </row>
    <row r="826" spans="1:25" x14ac:dyDescent="0.35">
      <c r="A826" t="s">
        <v>838</v>
      </c>
      <c r="B826" t="s">
        <v>455</v>
      </c>
      <c r="C826" t="s">
        <v>839</v>
      </c>
      <c r="D826">
        <v>2015</v>
      </c>
      <c r="E826">
        <v>166</v>
      </c>
      <c r="F826" t="s">
        <v>600</v>
      </c>
      <c r="G826" t="s">
        <v>829</v>
      </c>
      <c r="H826" t="s">
        <v>832</v>
      </c>
      <c r="K826" t="s">
        <v>378</v>
      </c>
      <c r="L826" t="s">
        <v>574</v>
      </c>
      <c r="M826" t="s">
        <v>348</v>
      </c>
      <c r="N826" t="s">
        <v>31</v>
      </c>
      <c r="O826" t="s">
        <v>837</v>
      </c>
      <c r="P826" t="s">
        <v>836</v>
      </c>
      <c r="Q826" t="s">
        <v>230</v>
      </c>
      <c r="R826">
        <v>0</v>
      </c>
      <c r="S826" s="3">
        <v>1.4</v>
      </c>
      <c r="U826" s="3">
        <v>0</v>
      </c>
    </row>
    <row r="827" spans="1:25" x14ac:dyDescent="0.35">
      <c r="A827" t="s">
        <v>838</v>
      </c>
      <c r="B827" t="s">
        <v>455</v>
      </c>
      <c r="C827" t="s">
        <v>839</v>
      </c>
      <c r="D827">
        <v>2015</v>
      </c>
      <c r="E827">
        <v>166</v>
      </c>
      <c r="F827" t="s">
        <v>600</v>
      </c>
      <c r="G827" t="s">
        <v>829</v>
      </c>
      <c r="H827" t="s">
        <v>832</v>
      </c>
      <c r="K827" t="s">
        <v>378</v>
      </c>
      <c r="L827" t="s">
        <v>574</v>
      </c>
      <c r="M827" t="s">
        <v>348</v>
      </c>
      <c r="N827" t="s">
        <v>31</v>
      </c>
      <c r="O827" t="s">
        <v>837</v>
      </c>
      <c r="P827" t="s">
        <v>836</v>
      </c>
      <c r="Q827" t="s">
        <v>230</v>
      </c>
      <c r="R827">
        <v>100</v>
      </c>
      <c r="S827" s="3">
        <v>2.63</v>
      </c>
      <c r="U827" s="3">
        <v>7.6</v>
      </c>
    </row>
    <row r="828" spans="1:25" x14ac:dyDescent="0.35">
      <c r="A828" t="s">
        <v>843</v>
      </c>
      <c r="B828" t="s">
        <v>453</v>
      </c>
      <c r="C828" t="s">
        <v>456</v>
      </c>
      <c r="D828">
        <v>2018</v>
      </c>
      <c r="E828">
        <v>167</v>
      </c>
      <c r="F828" t="s">
        <v>600</v>
      </c>
      <c r="G828" t="s">
        <v>829</v>
      </c>
      <c r="H828" t="s">
        <v>832</v>
      </c>
      <c r="K828" t="s">
        <v>378</v>
      </c>
      <c r="L828" t="s">
        <v>377</v>
      </c>
      <c r="M828" t="s">
        <v>348</v>
      </c>
      <c r="N828" t="s">
        <v>538</v>
      </c>
      <c r="O828" t="s">
        <v>842</v>
      </c>
      <c r="P828" t="s">
        <v>840</v>
      </c>
      <c r="Q828" t="s">
        <v>230</v>
      </c>
      <c r="R828">
        <v>0</v>
      </c>
      <c r="S828" s="3">
        <v>1.53</v>
      </c>
      <c r="T828" s="3">
        <v>0</v>
      </c>
    </row>
    <row r="829" spans="1:25" x14ac:dyDescent="0.35">
      <c r="A829" t="s">
        <v>843</v>
      </c>
      <c r="B829" t="s">
        <v>453</v>
      </c>
      <c r="C829" t="s">
        <v>456</v>
      </c>
      <c r="D829">
        <v>2018</v>
      </c>
      <c r="E829">
        <v>167</v>
      </c>
      <c r="F829" t="s">
        <v>600</v>
      </c>
      <c r="G829" t="s">
        <v>829</v>
      </c>
      <c r="H829" t="s">
        <v>832</v>
      </c>
      <c r="K829" t="s">
        <v>378</v>
      </c>
      <c r="L829" t="s">
        <v>377</v>
      </c>
      <c r="M829" t="s">
        <v>348</v>
      </c>
      <c r="N829" t="s">
        <v>538</v>
      </c>
      <c r="O829" t="s">
        <v>842</v>
      </c>
      <c r="P829" t="s">
        <v>840</v>
      </c>
      <c r="Q829" t="s">
        <v>230</v>
      </c>
      <c r="R829">
        <v>25</v>
      </c>
      <c r="S829" s="3">
        <v>1.5</v>
      </c>
      <c r="T829" s="3">
        <v>0.73</v>
      </c>
    </row>
    <row r="830" spans="1:25" x14ac:dyDescent="0.35">
      <c r="A830" t="s">
        <v>843</v>
      </c>
      <c r="B830" t="s">
        <v>453</v>
      </c>
      <c r="C830" t="s">
        <v>456</v>
      </c>
      <c r="D830">
        <v>2018</v>
      </c>
      <c r="E830">
        <v>167</v>
      </c>
      <c r="F830" t="s">
        <v>600</v>
      </c>
      <c r="G830" t="s">
        <v>829</v>
      </c>
      <c r="H830" t="s">
        <v>832</v>
      </c>
      <c r="K830" t="s">
        <v>378</v>
      </c>
      <c r="L830" t="s">
        <v>377</v>
      </c>
      <c r="M830" t="s">
        <v>348</v>
      </c>
      <c r="N830" t="s">
        <v>538</v>
      </c>
      <c r="O830" t="s">
        <v>842</v>
      </c>
      <c r="P830" t="s">
        <v>840</v>
      </c>
      <c r="Q830" t="s">
        <v>230</v>
      </c>
      <c r="R830">
        <v>45</v>
      </c>
      <c r="S830" s="3">
        <v>1.75</v>
      </c>
      <c r="T830" s="3">
        <v>1.47</v>
      </c>
    </row>
    <row r="831" spans="1:25" x14ac:dyDescent="0.35">
      <c r="A831" t="s">
        <v>843</v>
      </c>
      <c r="B831" t="s">
        <v>453</v>
      </c>
      <c r="C831" t="s">
        <v>456</v>
      </c>
      <c r="D831">
        <v>2018</v>
      </c>
      <c r="E831">
        <v>167</v>
      </c>
      <c r="F831" t="s">
        <v>600</v>
      </c>
      <c r="G831" t="s">
        <v>829</v>
      </c>
      <c r="H831" t="s">
        <v>832</v>
      </c>
      <c r="K831" t="s">
        <v>378</v>
      </c>
      <c r="L831" t="s">
        <v>841</v>
      </c>
      <c r="M831" t="s">
        <v>348</v>
      </c>
      <c r="N831" t="s">
        <v>538</v>
      </c>
      <c r="O831" t="s">
        <v>842</v>
      </c>
      <c r="P831" t="s">
        <v>840</v>
      </c>
      <c r="Q831" t="s">
        <v>230</v>
      </c>
      <c r="R831">
        <v>0</v>
      </c>
      <c r="S831" s="3">
        <v>1.81</v>
      </c>
      <c r="T831" s="3">
        <v>0</v>
      </c>
    </row>
    <row r="832" spans="1:25" x14ac:dyDescent="0.35">
      <c r="A832" t="s">
        <v>843</v>
      </c>
      <c r="B832" t="s">
        <v>453</v>
      </c>
      <c r="C832" t="s">
        <v>456</v>
      </c>
      <c r="D832">
        <v>2018</v>
      </c>
      <c r="E832">
        <v>167</v>
      </c>
      <c r="F832" t="s">
        <v>600</v>
      </c>
      <c r="G832" t="s">
        <v>829</v>
      </c>
      <c r="H832" t="s">
        <v>832</v>
      </c>
      <c r="K832" t="s">
        <v>378</v>
      </c>
      <c r="L832" t="s">
        <v>841</v>
      </c>
      <c r="M832" t="s">
        <v>348</v>
      </c>
      <c r="N832" t="s">
        <v>538</v>
      </c>
      <c r="O832" t="s">
        <v>842</v>
      </c>
      <c r="P832" t="s">
        <v>840</v>
      </c>
      <c r="Q832" t="s">
        <v>230</v>
      </c>
      <c r="R832">
        <v>25</v>
      </c>
      <c r="S832" s="3">
        <v>1.5</v>
      </c>
      <c r="T832" s="3">
        <v>0.73</v>
      </c>
    </row>
    <row r="833" spans="1:20" x14ac:dyDescent="0.35">
      <c r="A833" t="s">
        <v>843</v>
      </c>
      <c r="B833" t="s">
        <v>453</v>
      </c>
      <c r="C833" t="s">
        <v>456</v>
      </c>
      <c r="D833">
        <v>2018</v>
      </c>
      <c r="E833">
        <v>167</v>
      </c>
      <c r="F833" t="s">
        <v>600</v>
      </c>
      <c r="G833" t="s">
        <v>829</v>
      </c>
      <c r="H833" t="s">
        <v>832</v>
      </c>
      <c r="K833" t="s">
        <v>378</v>
      </c>
      <c r="L833" t="s">
        <v>841</v>
      </c>
      <c r="M833" t="s">
        <v>348</v>
      </c>
      <c r="N833" t="s">
        <v>538</v>
      </c>
      <c r="O833" t="s">
        <v>842</v>
      </c>
      <c r="P833" t="s">
        <v>840</v>
      </c>
      <c r="Q833" t="s">
        <v>230</v>
      </c>
      <c r="R833">
        <v>45</v>
      </c>
      <c r="S833" s="3">
        <v>1.67</v>
      </c>
      <c r="T833" s="3">
        <v>1.47</v>
      </c>
    </row>
    <row r="834" spans="1:20" x14ac:dyDescent="0.35">
      <c r="A834" t="s">
        <v>844</v>
      </c>
      <c r="B834" t="s">
        <v>522</v>
      </c>
      <c r="C834" t="s">
        <v>407</v>
      </c>
      <c r="D834">
        <v>2015</v>
      </c>
      <c r="E834">
        <v>168</v>
      </c>
      <c r="F834" t="s">
        <v>600</v>
      </c>
      <c r="G834" t="s">
        <v>829</v>
      </c>
      <c r="H834" t="s">
        <v>832</v>
      </c>
      <c r="K834" t="s">
        <v>378</v>
      </c>
      <c r="L834" t="s">
        <v>845</v>
      </c>
      <c r="M834" t="s">
        <v>348</v>
      </c>
      <c r="N834" t="s">
        <v>537</v>
      </c>
      <c r="O834" t="s">
        <v>262</v>
      </c>
      <c r="P834" t="s">
        <v>847</v>
      </c>
      <c r="Q834" t="s">
        <v>229</v>
      </c>
      <c r="R834">
        <v>0</v>
      </c>
      <c r="S834" s="3">
        <v>1.1200000000000001</v>
      </c>
      <c r="T834" s="3">
        <v>0</v>
      </c>
    </row>
    <row r="835" spans="1:20" x14ac:dyDescent="0.35">
      <c r="A835" t="s">
        <v>844</v>
      </c>
      <c r="B835" t="s">
        <v>522</v>
      </c>
      <c r="C835" t="s">
        <v>407</v>
      </c>
      <c r="D835">
        <v>2015</v>
      </c>
      <c r="E835">
        <v>168</v>
      </c>
      <c r="F835" t="s">
        <v>600</v>
      </c>
      <c r="G835" t="s">
        <v>829</v>
      </c>
      <c r="H835" t="s">
        <v>832</v>
      </c>
      <c r="K835" t="s">
        <v>378</v>
      </c>
      <c r="L835" t="s">
        <v>845</v>
      </c>
      <c r="M835" t="s">
        <v>348</v>
      </c>
      <c r="N835" t="s">
        <v>537</v>
      </c>
      <c r="O835" t="s">
        <v>262</v>
      </c>
      <c r="P835" t="s">
        <v>847</v>
      </c>
      <c r="Q835" t="s">
        <v>229</v>
      </c>
      <c r="R835">
        <v>20</v>
      </c>
      <c r="S835" s="3">
        <v>1.1599999999999999</v>
      </c>
      <c r="T835" s="3">
        <v>0.69</v>
      </c>
    </row>
    <row r="836" spans="1:20" x14ac:dyDescent="0.35">
      <c r="A836" t="s">
        <v>844</v>
      </c>
      <c r="B836" t="s">
        <v>522</v>
      </c>
      <c r="C836" t="s">
        <v>407</v>
      </c>
      <c r="D836">
        <v>2015</v>
      </c>
      <c r="E836">
        <v>168</v>
      </c>
      <c r="F836" t="s">
        <v>600</v>
      </c>
      <c r="G836" t="s">
        <v>829</v>
      </c>
      <c r="H836" t="s">
        <v>832</v>
      </c>
      <c r="K836" t="s">
        <v>378</v>
      </c>
      <c r="L836" t="s">
        <v>845</v>
      </c>
      <c r="M836" t="s">
        <v>348</v>
      </c>
      <c r="N836" t="s">
        <v>537</v>
      </c>
      <c r="O836" t="s">
        <v>262</v>
      </c>
      <c r="P836" t="s">
        <v>847</v>
      </c>
      <c r="Q836" t="s">
        <v>229</v>
      </c>
      <c r="R836">
        <v>30</v>
      </c>
      <c r="S836" s="3">
        <v>1.07</v>
      </c>
      <c r="T836" s="3">
        <v>1.04</v>
      </c>
    </row>
    <row r="837" spans="1:20" x14ac:dyDescent="0.35">
      <c r="A837" t="s">
        <v>844</v>
      </c>
      <c r="B837" t="s">
        <v>522</v>
      </c>
      <c r="C837" t="s">
        <v>407</v>
      </c>
      <c r="D837">
        <v>2015</v>
      </c>
      <c r="E837">
        <v>168</v>
      </c>
      <c r="F837" t="s">
        <v>600</v>
      </c>
      <c r="G837" t="s">
        <v>829</v>
      </c>
      <c r="H837" t="s">
        <v>832</v>
      </c>
      <c r="K837" t="s">
        <v>378</v>
      </c>
      <c r="L837" t="s">
        <v>845</v>
      </c>
      <c r="M837" t="s">
        <v>348</v>
      </c>
      <c r="N837" t="s">
        <v>537</v>
      </c>
      <c r="O837" t="s">
        <v>262</v>
      </c>
      <c r="P837" t="s">
        <v>847</v>
      </c>
      <c r="Q837" t="s">
        <v>229</v>
      </c>
      <c r="R837">
        <v>40</v>
      </c>
      <c r="S837" s="3">
        <v>1.21</v>
      </c>
      <c r="T837" s="3">
        <v>1.39</v>
      </c>
    </row>
    <row r="838" spans="1:20" x14ac:dyDescent="0.35">
      <c r="A838" t="s">
        <v>844</v>
      </c>
      <c r="B838" t="s">
        <v>522</v>
      </c>
      <c r="C838" t="s">
        <v>407</v>
      </c>
      <c r="D838">
        <v>2015</v>
      </c>
      <c r="E838">
        <v>168</v>
      </c>
      <c r="F838" t="s">
        <v>600</v>
      </c>
      <c r="G838" t="s">
        <v>829</v>
      </c>
      <c r="H838" t="s">
        <v>832</v>
      </c>
      <c r="K838" t="s">
        <v>378</v>
      </c>
      <c r="L838" t="s">
        <v>845</v>
      </c>
      <c r="M838" t="s">
        <v>348</v>
      </c>
      <c r="N838" t="s">
        <v>537</v>
      </c>
      <c r="O838" t="s">
        <v>262</v>
      </c>
      <c r="P838" t="s">
        <v>847</v>
      </c>
      <c r="Q838" t="s">
        <v>229</v>
      </c>
      <c r="R838">
        <v>50</v>
      </c>
      <c r="S838" s="3">
        <v>1.1200000000000001</v>
      </c>
      <c r="T838" s="3">
        <v>1.76</v>
      </c>
    </row>
    <row r="839" spans="1:20" x14ac:dyDescent="0.35">
      <c r="A839" t="s">
        <v>844</v>
      </c>
      <c r="B839" t="s">
        <v>522</v>
      </c>
      <c r="C839" t="s">
        <v>407</v>
      </c>
      <c r="D839">
        <v>2015</v>
      </c>
      <c r="E839">
        <v>168</v>
      </c>
      <c r="F839" t="s">
        <v>600</v>
      </c>
      <c r="G839" t="s">
        <v>829</v>
      </c>
      <c r="H839" t="s">
        <v>833</v>
      </c>
      <c r="K839" t="s">
        <v>378</v>
      </c>
      <c r="L839" t="s">
        <v>845</v>
      </c>
      <c r="M839" t="s">
        <v>348</v>
      </c>
      <c r="N839" t="s">
        <v>537</v>
      </c>
      <c r="O839" t="s">
        <v>262</v>
      </c>
      <c r="P839" t="s">
        <v>847</v>
      </c>
      <c r="Q839" t="s">
        <v>229</v>
      </c>
      <c r="R839">
        <v>20</v>
      </c>
      <c r="S839" s="3">
        <v>1.51</v>
      </c>
      <c r="T839" s="3">
        <v>0.69</v>
      </c>
    </row>
    <row r="840" spans="1:20" x14ac:dyDescent="0.35">
      <c r="A840" t="s">
        <v>844</v>
      </c>
      <c r="B840" t="s">
        <v>522</v>
      </c>
      <c r="C840" t="s">
        <v>407</v>
      </c>
      <c r="D840">
        <v>2015</v>
      </c>
      <c r="E840">
        <v>168</v>
      </c>
      <c r="F840" t="s">
        <v>600</v>
      </c>
      <c r="G840" t="s">
        <v>829</v>
      </c>
      <c r="H840" t="s">
        <v>833</v>
      </c>
      <c r="K840" t="s">
        <v>378</v>
      </c>
      <c r="L840" t="s">
        <v>845</v>
      </c>
      <c r="M840" t="s">
        <v>348</v>
      </c>
      <c r="N840" t="s">
        <v>537</v>
      </c>
      <c r="O840" t="s">
        <v>262</v>
      </c>
      <c r="P840" t="s">
        <v>847</v>
      </c>
      <c r="Q840" t="s">
        <v>229</v>
      </c>
      <c r="R840">
        <v>30</v>
      </c>
      <c r="S840" s="3">
        <v>1.31</v>
      </c>
      <c r="T840" s="3">
        <v>1.04</v>
      </c>
    </row>
    <row r="841" spans="1:20" x14ac:dyDescent="0.35">
      <c r="A841" t="s">
        <v>844</v>
      </c>
      <c r="B841" t="s">
        <v>522</v>
      </c>
      <c r="C841" t="s">
        <v>407</v>
      </c>
      <c r="D841">
        <v>2015</v>
      </c>
      <c r="E841">
        <v>168</v>
      </c>
      <c r="F841" t="s">
        <v>600</v>
      </c>
      <c r="G841" t="s">
        <v>829</v>
      </c>
      <c r="H841" t="s">
        <v>833</v>
      </c>
      <c r="K841" t="s">
        <v>378</v>
      </c>
      <c r="L841" t="s">
        <v>845</v>
      </c>
      <c r="M841" t="s">
        <v>348</v>
      </c>
      <c r="N841" t="s">
        <v>537</v>
      </c>
      <c r="O841" t="s">
        <v>262</v>
      </c>
      <c r="P841" t="s">
        <v>847</v>
      </c>
      <c r="Q841" t="s">
        <v>229</v>
      </c>
      <c r="R841">
        <v>40</v>
      </c>
      <c r="S841" s="3">
        <v>1.78</v>
      </c>
      <c r="T841" s="3">
        <v>1.39</v>
      </c>
    </row>
    <row r="842" spans="1:20" x14ac:dyDescent="0.35">
      <c r="A842" t="s">
        <v>844</v>
      </c>
      <c r="B842" t="s">
        <v>522</v>
      </c>
      <c r="C842" t="s">
        <v>407</v>
      </c>
      <c r="D842">
        <v>2015</v>
      </c>
      <c r="E842">
        <v>168</v>
      </c>
      <c r="F842" t="s">
        <v>600</v>
      </c>
      <c r="G842" t="s">
        <v>829</v>
      </c>
      <c r="H842" t="s">
        <v>833</v>
      </c>
      <c r="K842" t="s">
        <v>378</v>
      </c>
      <c r="L842" t="s">
        <v>845</v>
      </c>
      <c r="M842" t="s">
        <v>348</v>
      </c>
      <c r="N842" t="s">
        <v>537</v>
      </c>
      <c r="O842" t="s">
        <v>262</v>
      </c>
      <c r="P842" t="s">
        <v>847</v>
      </c>
      <c r="Q842" t="s">
        <v>229</v>
      </c>
      <c r="R842">
        <v>50</v>
      </c>
      <c r="S842" s="3">
        <v>1.4</v>
      </c>
      <c r="T842" s="3">
        <v>1.76</v>
      </c>
    </row>
    <row r="843" spans="1:20" x14ac:dyDescent="0.35">
      <c r="A843" t="s">
        <v>844</v>
      </c>
      <c r="B843" t="s">
        <v>522</v>
      </c>
      <c r="C843" t="s">
        <v>407</v>
      </c>
      <c r="D843">
        <v>2015</v>
      </c>
      <c r="E843">
        <v>168</v>
      </c>
      <c r="F843" t="s">
        <v>600</v>
      </c>
      <c r="G843" t="s">
        <v>829</v>
      </c>
      <c r="H843" t="s">
        <v>832</v>
      </c>
      <c r="K843" t="s">
        <v>378</v>
      </c>
      <c r="L843" t="s">
        <v>845</v>
      </c>
      <c r="M843" t="s">
        <v>348</v>
      </c>
      <c r="N843" t="s">
        <v>537</v>
      </c>
      <c r="O843" t="s">
        <v>262</v>
      </c>
      <c r="P843" t="s">
        <v>847</v>
      </c>
      <c r="Q843" t="s">
        <v>229</v>
      </c>
      <c r="R843">
        <v>0</v>
      </c>
      <c r="S843" s="3">
        <v>1.1200000000000001</v>
      </c>
      <c r="T843" s="3">
        <v>0</v>
      </c>
    </row>
    <row r="844" spans="1:20" x14ac:dyDescent="0.35">
      <c r="A844" t="s">
        <v>844</v>
      </c>
      <c r="B844" t="s">
        <v>522</v>
      </c>
      <c r="C844" t="s">
        <v>407</v>
      </c>
      <c r="D844">
        <v>2015</v>
      </c>
      <c r="E844">
        <v>168</v>
      </c>
      <c r="F844" t="s">
        <v>600</v>
      </c>
      <c r="G844" t="s">
        <v>829</v>
      </c>
      <c r="H844" t="s">
        <v>832</v>
      </c>
      <c r="K844" t="s">
        <v>378</v>
      </c>
      <c r="L844" t="s">
        <v>845</v>
      </c>
      <c r="M844" t="s">
        <v>348</v>
      </c>
      <c r="N844" t="s">
        <v>537</v>
      </c>
      <c r="O844" t="s">
        <v>262</v>
      </c>
      <c r="P844" t="s">
        <v>847</v>
      </c>
      <c r="Q844" t="s">
        <v>229</v>
      </c>
      <c r="R844">
        <v>20</v>
      </c>
      <c r="S844" s="3">
        <v>1.1599999999999999</v>
      </c>
      <c r="T844" s="3">
        <v>0.69</v>
      </c>
    </row>
    <row r="845" spans="1:20" x14ac:dyDescent="0.35">
      <c r="A845" t="s">
        <v>844</v>
      </c>
      <c r="B845" t="s">
        <v>522</v>
      </c>
      <c r="C845" t="s">
        <v>407</v>
      </c>
      <c r="D845">
        <v>2015</v>
      </c>
      <c r="E845">
        <v>168</v>
      </c>
      <c r="F845" t="s">
        <v>600</v>
      </c>
      <c r="G845" t="s">
        <v>829</v>
      </c>
      <c r="H845" t="s">
        <v>832</v>
      </c>
      <c r="K845" t="s">
        <v>378</v>
      </c>
      <c r="L845" t="s">
        <v>845</v>
      </c>
      <c r="M845" t="s">
        <v>348</v>
      </c>
      <c r="N845" t="s">
        <v>537</v>
      </c>
      <c r="O845" t="s">
        <v>262</v>
      </c>
      <c r="P845" t="s">
        <v>847</v>
      </c>
      <c r="Q845" t="s">
        <v>229</v>
      </c>
      <c r="R845">
        <v>30</v>
      </c>
      <c r="S845" s="3">
        <v>1.1100000000000001</v>
      </c>
      <c r="T845" s="3">
        <v>1.04</v>
      </c>
    </row>
    <row r="846" spans="1:20" x14ac:dyDescent="0.35">
      <c r="A846" t="s">
        <v>844</v>
      </c>
      <c r="B846" t="s">
        <v>522</v>
      </c>
      <c r="C846" t="s">
        <v>407</v>
      </c>
      <c r="D846">
        <v>2015</v>
      </c>
      <c r="E846">
        <v>168</v>
      </c>
      <c r="F846" t="s">
        <v>600</v>
      </c>
      <c r="G846" t="s">
        <v>829</v>
      </c>
      <c r="H846" t="s">
        <v>832</v>
      </c>
      <c r="K846" t="s">
        <v>378</v>
      </c>
      <c r="L846" t="s">
        <v>845</v>
      </c>
      <c r="M846" t="s">
        <v>348</v>
      </c>
      <c r="N846" t="s">
        <v>537</v>
      </c>
      <c r="O846" t="s">
        <v>262</v>
      </c>
      <c r="P846" t="s">
        <v>847</v>
      </c>
      <c r="Q846" t="s">
        <v>229</v>
      </c>
      <c r="R846">
        <v>40</v>
      </c>
      <c r="S846" s="3">
        <v>1.21</v>
      </c>
      <c r="T846" s="3">
        <v>1.39</v>
      </c>
    </row>
    <row r="847" spans="1:20" x14ac:dyDescent="0.35">
      <c r="A847" t="s">
        <v>844</v>
      </c>
      <c r="B847" t="s">
        <v>522</v>
      </c>
      <c r="C847" t="s">
        <v>407</v>
      </c>
      <c r="D847">
        <v>2015</v>
      </c>
      <c r="E847">
        <v>168</v>
      </c>
      <c r="F847" t="s">
        <v>600</v>
      </c>
      <c r="G847" t="s">
        <v>829</v>
      </c>
      <c r="H847" t="s">
        <v>832</v>
      </c>
      <c r="K847" t="s">
        <v>378</v>
      </c>
      <c r="L847" t="s">
        <v>845</v>
      </c>
      <c r="M847" t="s">
        <v>348</v>
      </c>
      <c r="N847" t="s">
        <v>537</v>
      </c>
      <c r="O847" t="s">
        <v>262</v>
      </c>
      <c r="P847" t="s">
        <v>847</v>
      </c>
      <c r="Q847" t="s">
        <v>229</v>
      </c>
      <c r="R847">
        <v>50</v>
      </c>
      <c r="S847" s="3">
        <v>1.1499999999999999</v>
      </c>
      <c r="T847" s="3">
        <v>1.76</v>
      </c>
    </row>
    <row r="848" spans="1:20" x14ac:dyDescent="0.35">
      <c r="A848" t="s">
        <v>844</v>
      </c>
      <c r="B848" t="s">
        <v>522</v>
      </c>
      <c r="C848" t="s">
        <v>407</v>
      </c>
      <c r="D848">
        <v>2015</v>
      </c>
      <c r="E848">
        <v>168</v>
      </c>
      <c r="F848" t="s">
        <v>600</v>
      </c>
      <c r="G848" t="s">
        <v>829</v>
      </c>
      <c r="H848" t="s">
        <v>832</v>
      </c>
      <c r="K848" t="s">
        <v>378</v>
      </c>
      <c r="L848" t="s">
        <v>846</v>
      </c>
      <c r="M848" t="s">
        <v>348</v>
      </c>
      <c r="N848" t="s">
        <v>537</v>
      </c>
      <c r="O848" t="s">
        <v>262</v>
      </c>
      <c r="P848" t="s">
        <v>847</v>
      </c>
      <c r="Q848" t="s">
        <v>229</v>
      </c>
      <c r="R848">
        <v>20</v>
      </c>
      <c r="S848" s="3">
        <v>1.51</v>
      </c>
      <c r="T848" s="3">
        <v>0.69</v>
      </c>
    </row>
    <row r="849" spans="1:20" x14ac:dyDescent="0.35">
      <c r="A849" t="s">
        <v>844</v>
      </c>
      <c r="B849" t="s">
        <v>522</v>
      </c>
      <c r="C849" t="s">
        <v>407</v>
      </c>
      <c r="D849">
        <v>2015</v>
      </c>
      <c r="E849">
        <v>168</v>
      </c>
      <c r="F849" t="s">
        <v>600</v>
      </c>
      <c r="G849" t="s">
        <v>829</v>
      </c>
      <c r="H849" t="s">
        <v>832</v>
      </c>
      <c r="K849" t="s">
        <v>378</v>
      </c>
      <c r="L849" t="s">
        <v>846</v>
      </c>
      <c r="M849" t="s">
        <v>348</v>
      </c>
      <c r="N849" t="s">
        <v>537</v>
      </c>
      <c r="O849" t="s">
        <v>262</v>
      </c>
      <c r="P849" t="s">
        <v>847</v>
      </c>
      <c r="Q849" t="s">
        <v>229</v>
      </c>
      <c r="R849">
        <v>30</v>
      </c>
      <c r="S849" s="3">
        <v>1.33</v>
      </c>
      <c r="T849" s="3">
        <v>1.04</v>
      </c>
    </row>
    <row r="850" spans="1:20" x14ac:dyDescent="0.35">
      <c r="A850" t="s">
        <v>844</v>
      </c>
      <c r="B850" t="s">
        <v>522</v>
      </c>
      <c r="C850" t="s">
        <v>407</v>
      </c>
      <c r="D850">
        <v>2015</v>
      </c>
      <c r="E850">
        <v>168</v>
      </c>
      <c r="F850" t="s">
        <v>600</v>
      </c>
      <c r="G850" t="s">
        <v>829</v>
      </c>
      <c r="H850" t="s">
        <v>832</v>
      </c>
      <c r="K850" t="s">
        <v>378</v>
      </c>
      <c r="L850" t="s">
        <v>846</v>
      </c>
      <c r="M850" t="s">
        <v>348</v>
      </c>
      <c r="N850" t="s">
        <v>537</v>
      </c>
      <c r="O850" t="s">
        <v>262</v>
      </c>
      <c r="P850" t="s">
        <v>847</v>
      </c>
      <c r="Q850" t="s">
        <v>229</v>
      </c>
      <c r="R850">
        <v>40</v>
      </c>
      <c r="S850" s="3">
        <v>1.78</v>
      </c>
      <c r="T850" s="3">
        <v>1.39</v>
      </c>
    </row>
    <row r="851" spans="1:20" x14ac:dyDescent="0.35">
      <c r="A851" t="s">
        <v>844</v>
      </c>
      <c r="B851" t="s">
        <v>522</v>
      </c>
      <c r="C851" t="s">
        <v>407</v>
      </c>
      <c r="D851">
        <v>2015</v>
      </c>
      <c r="E851">
        <v>168</v>
      </c>
      <c r="F851" t="s">
        <v>600</v>
      </c>
      <c r="G851" t="s">
        <v>829</v>
      </c>
      <c r="H851" t="s">
        <v>832</v>
      </c>
      <c r="K851" t="s">
        <v>378</v>
      </c>
      <c r="L851" t="s">
        <v>846</v>
      </c>
      <c r="M851" t="s">
        <v>348</v>
      </c>
      <c r="N851" t="s">
        <v>537</v>
      </c>
      <c r="O851" t="s">
        <v>262</v>
      </c>
      <c r="P851" t="s">
        <v>847</v>
      </c>
      <c r="Q851" t="s">
        <v>229</v>
      </c>
      <c r="R851">
        <v>50</v>
      </c>
      <c r="S851" s="3">
        <v>1.68</v>
      </c>
      <c r="T851" s="3">
        <v>1.76</v>
      </c>
    </row>
    <row r="852" spans="1:20" x14ac:dyDescent="0.35">
      <c r="A852" t="s">
        <v>844</v>
      </c>
      <c r="B852" t="s">
        <v>522</v>
      </c>
      <c r="C852" t="s">
        <v>407</v>
      </c>
      <c r="D852">
        <v>2015</v>
      </c>
      <c r="E852">
        <v>168</v>
      </c>
      <c r="F852" t="s">
        <v>600</v>
      </c>
      <c r="G852" t="s">
        <v>829</v>
      </c>
      <c r="H852" t="s">
        <v>833</v>
      </c>
      <c r="K852" t="s">
        <v>378</v>
      </c>
      <c r="L852" t="s">
        <v>846</v>
      </c>
      <c r="M852" t="s">
        <v>348</v>
      </c>
      <c r="N852" t="s">
        <v>537</v>
      </c>
      <c r="O852" t="s">
        <v>262</v>
      </c>
      <c r="P852" t="s">
        <v>848</v>
      </c>
      <c r="Q852" t="s">
        <v>229</v>
      </c>
      <c r="R852">
        <v>0</v>
      </c>
      <c r="S852" s="3">
        <v>1.2</v>
      </c>
      <c r="T852" s="3">
        <v>0</v>
      </c>
    </row>
    <row r="853" spans="1:20" x14ac:dyDescent="0.35">
      <c r="A853" t="s">
        <v>844</v>
      </c>
      <c r="B853" t="s">
        <v>522</v>
      </c>
      <c r="C853" t="s">
        <v>407</v>
      </c>
      <c r="D853">
        <v>2015</v>
      </c>
      <c r="E853">
        <v>168</v>
      </c>
      <c r="F853" t="s">
        <v>600</v>
      </c>
      <c r="G853" t="s">
        <v>829</v>
      </c>
      <c r="H853" t="s">
        <v>833</v>
      </c>
      <c r="K853" t="s">
        <v>378</v>
      </c>
      <c r="L853" t="s">
        <v>846</v>
      </c>
      <c r="M853" t="s">
        <v>348</v>
      </c>
      <c r="N853" t="s">
        <v>537</v>
      </c>
      <c r="O853" t="s">
        <v>262</v>
      </c>
      <c r="P853" t="s">
        <v>848</v>
      </c>
      <c r="Q853" t="s">
        <v>229</v>
      </c>
      <c r="R853">
        <v>20</v>
      </c>
      <c r="S853" s="3">
        <v>1.25</v>
      </c>
      <c r="T853" s="3">
        <v>0.69</v>
      </c>
    </row>
    <row r="854" spans="1:20" x14ac:dyDescent="0.35">
      <c r="A854" t="s">
        <v>844</v>
      </c>
      <c r="B854" t="s">
        <v>522</v>
      </c>
      <c r="C854" t="s">
        <v>407</v>
      </c>
      <c r="D854">
        <v>2015</v>
      </c>
      <c r="E854">
        <v>168</v>
      </c>
      <c r="F854" t="s">
        <v>600</v>
      </c>
      <c r="G854" t="s">
        <v>829</v>
      </c>
      <c r="H854" t="s">
        <v>833</v>
      </c>
      <c r="K854" t="s">
        <v>378</v>
      </c>
      <c r="L854" t="s">
        <v>846</v>
      </c>
      <c r="M854" t="s">
        <v>348</v>
      </c>
      <c r="N854" t="s">
        <v>537</v>
      </c>
      <c r="O854" t="s">
        <v>262</v>
      </c>
      <c r="P854" t="s">
        <v>848</v>
      </c>
      <c r="Q854" t="s">
        <v>229</v>
      </c>
      <c r="R854">
        <v>30</v>
      </c>
      <c r="S854" s="3">
        <v>1.28</v>
      </c>
      <c r="T854" s="3">
        <v>1.04</v>
      </c>
    </row>
    <row r="855" spans="1:20" x14ac:dyDescent="0.35">
      <c r="A855" t="s">
        <v>844</v>
      </c>
      <c r="B855" t="s">
        <v>522</v>
      </c>
      <c r="C855" t="s">
        <v>407</v>
      </c>
      <c r="D855">
        <v>2015</v>
      </c>
      <c r="E855">
        <v>168</v>
      </c>
      <c r="F855" t="s">
        <v>600</v>
      </c>
      <c r="G855" t="s">
        <v>829</v>
      </c>
      <c r="H855" t="s">
        <v>833</v>
      </c>
      <c r="K855" t="s">
        <v>378</v>
      </c>
      <c r="L855" t="s">
        <v>846</v>
      </c>
      <c r="M855" t="s">
        <v>348</v>
      </c>
      <c r="N855" t="s">
        <v>537</v>
      </c>
      <c r="O855" t="s">
        <v>262</v>
      </c>
      <c r="P855" t="s">
        <v>848</v>
      </c>
      <c r="Q855" t="s">
        <v>229</v>
      </c>
      <c r="R855">
        <v>40</v>
      </c>
      <c r="S855" s="3">
        <v>1.29</v>
      </c>
      <c r="T855" s="3">
        <v>1.39</v>
      </c>
    </row>
    <row r="856" spans="1:20" x14ac:dyDescent="0.35">
      <c r="A856" t="s">
        <v>844</v>
      </c>
      <c r="B856" t="s">
        <v>522</v>
      </c>
      <c r="C856" t="s">
        <v>407</v>
      </c>
      <c r="D856">
        <v>2015</v>
      </c>
      <c r="E856">
        <v>168</v>
      </c>
      <c r="F856" t="s">
        <v>600</v>
      </c>
      <c r="G856" t="s">
        <v>829</v>
      </c>
      <c r="H856" t="s">
        <v>833</v>
      </c>
      <c r="K856" t="s">
        <v>378</v>
      </c>
      <c r="L856" t="s">
        <v>846</v>
      </c>
      <c r="M856" t="s">
        <v>348</v>
      </c>
      <c r="N856" t="s">
        <v>537</v>
      </c>
      <c r="O856" t="s">
        <v>262</v>
      </c>
      <c r="P856" t="s">
        <v>848</v>
      </c>
      <c r="Q856" t="s">
        <v>229</v>
      </c>
      <c r="R856">
        <v>50</v>
      </c>
      <c r="S856" s="3">
        <v>1.34</v>
      </c>
      <c r="T856" s="3">
        <v>1.76</v>
      </c>
    </row>
    <row r="857" spans="1:20" x14ac:dyDescent="0.35">
      <c r="A857" t="s">
        <v>850</v>
      </c>
      <c r="B857" t="s">
        <v>625</v>
      </c>
      <c r="C857" t="s">
        <v>770</v>
      </c>
      <c r="D857">
        <v>2017</v>
      </c>
      <c r="E857">
        <v>169</v>
      </c>
      <c r="F857" t="s">
        <v>600</v>
      </c>
      <c r="G857" t="s">
        <v>829</v>
      </c>
      <c r="H857" t="s">
        <v>851</v>
      </c>
      <c r="K857" t="s">
        <v>378</v>
      </c>
      <c r="L857" t="s">
        <v>849</v>
      </c>
      <c r="M857" t="s">
        <v>348</v>
      </c>
      <c r="N857" t="s">
        <v>538</v>
      </c>
      <c r="O857" t="s">
        <v>768</v>
      </c>
      <c r="P857" t="s">
        <v>767</v>
      </c>
      <c r="Q857" t="s">
        <v>230</v>
      </c>
      <c r="R857">
        <v>0</v>
      </c>
      <c r="S857" s="3">
        <f>1/1.11</f>
        <v>0.9009009009009008</v>
      </c>
      <c r="T857" s="3">
        <v>0</v>
      </c>
    </row>
    <row r="858" spans="1:20" x14ac:dyDescent="0.35">
      <c r="A858" t="s">
        <v>850</v>
      </c>
      <c r="B858" t="s">
        <v>625</v>
      </c>
      <c r="C858" t="s">
        <v>770</v>
      </c>
      <c r="D858">
        <v>2017</v>
      </c>
      <c r="E858">
        <v>169</v>
      </c>
      <c r="F858" t="s">
        <v>600</v>
      </c>
      <c r="G858" t="s">
        <v>829</v>
      </c>
      <c r="H858" t="s">
        <v>851</v>
      </c>
      <c r="K858" t="s">
        <v>378</v>
      </c>
      <c r="L858" t="s">
        <v>849</v>
      </c>
      <c r="M858" t="s">
        <v>348</v>
      </c>
      <c r="N858" t="s">
        <v>538</v>
      </c>
      <c r="O858" t="s">
        <v>768</v>
      </c>
      <c r="P858" t="s">
        <v>767</v>
      </c>
      <c r="Q858" t="s">
        <v>230</v>
      </c>
      <c r="R858">
        <v>33</v>
      </c>
      <c r="S858" s="3">
        <f>1/1.08</f>
        <v>0.92592592592592582</v>
      </c>
      <c r="T858" s="3">
        <v>0.85</v>
      </c>
    </row>
    <row r="859" spans="1:20" x14ac:dyDescent="0.35">
      <c r="A859" t="s">
        <v>850</v>
      </c>
      <c r="B859" t="s">
        <v>625</v>
      </c>
      <c r="C859" t="s">
        <v>770</v>
      </c>
      <c r="D859">
        <v>2017</v>
      </c>
      <c r="E859">
        <v>169</v>
      </c>
      <c r="F859" t="s">
        <v>600</v>
      </c>
      <c r="G859" t="s">
        <v>829</v>
      </c>
      <c r="H859" t="s">
        <v>851</v>
      </c>
      <c r="K859" t="s">
        <v>378</v>
      </c>
      <c r="L859" t="s">
        <v>849</v>
      </c>
      <c r="M859" t="s">
        <v>348</v>
      </c>
      <c r="N859" t="s">
        <v>538</v>
      </c>
      <c r="O859" t="s">
        <v>768</v>
      </c>
      <c r="P859" t="s">
        <v>767</v>
      </c>
      <c r="Q859" t="s">
        <v>230</v>
      </c>
      <c r="R859">
        <v>67</v>
      </c>
      <c r="S859" s="3">
        <f>1/0.95</f>
        <v>1.0526315789473684</v>
      </c>
      <c r="T859" s="3">
        <v>2.1</v>
      </c>
    </row>
    <row r="860" spans="1:20" x14ac:dyDescent="0.35">
      <c r="A860" t="s">
        <v>850</v>
      </c>
      <c r="B860" t="s">
        <v>625</v>
      </c>
      <c r="C860" t="s">
        <v>770</v>
      </c>
      <c r="D860">
        <v>2017</v>
      </c>
      <c r="E860">
        <v>169</v>
      </c>
      <c r="F860" t="s">
        <v>600</v>
      </c>
      <c r="G860" t="s">
        <v>829</v>
      </c>
      <c r="H860" t="s">
        <v>851</v>
      </c>
      <c r="K860" t="s">
        <v>378</v>
      </c>
      <c r="L860" t="s">
        <v>849</v>
      </c>
      <c r="M860" t="s">
        <v>348</v>
      </c>
      <c r="N860" t="s">
        <v>538</v>
      </c>
      <c r="O860" t="s">
        <v>768</v>
      </c>
      <c r="P860" t="s">
        <v>767</v>
      </c>
      <c r="Q860" t="s">
        <v>230</v>
      </c>
      <c r="R860">
        <v>100</v>
      </c>
      <c r="S860" s="3">
        <f>1/0.56</f>
        <v>1.7857142857142856</v>
      </c>
      <c r="T860" s="3">
        <v>3.3</v>
      </c>
    </row>
    <row r="861" spans="1:20" x14ac:dyDescent="0.35">
      <c r="A861" t="s">
        <v>850</v>
      </c>
      <c r="B861" t="s">
        <v>522</v>
      </c>
      <c r="C861" t="s">
        <v>770</v>
      </c>
      <c r="D861">
        <v>2018</v>
      </c>
      <c r="E861">
        <v>170</v>
      </c>
      <c r="F861" t="s">
        <v>600</v>
      </c>
      <c r="G861" t="s">
        <v>829</v>
      </c>
      <c r="H861" t="s">
        <v>832</v>
      </c>
      <c r="K861" t="s">
        <v>394</v>
      </c>
      <c r="L861" t="s">
        <v>852</v>
      </c>
      <c r="M861" t="s">
        <v>348</v>
      </c>
      <c r="N861" t="s">
        <v>538</v>
      </c>
      <c r="O861" t="s">
        <v>303</v>
      </c>
      <c r="P861" t="s">
        <v>799</v>
      </c>
      <c r="Q861" t="s">
        <v>230</v>
      </c>
      <c r="R861">
        <v>0</v>
      </c>
      <c r="S861" s="3">
        <v>1.18</v>
      </c>
      <c r="T861" s="3">
        <v>0</v>
      </c>
    </row>
    <row r="862" spans="1:20" x14ac:dyDescent="0.35">
      <c r="A862" t="s">
        <v>850</v>
      </c>
      <c r="B862" t="s">
        <v>522</v>
      </c>
      <c r="C862" t="s">
        <v>770</v>
      </c>
      <c r="D862">
        <v>2018</v>
      </c>
      <c r="E862">
        <v>170</v>
      </c>
      <c r="F862" t="s">
        <v>600</v>
      </c>
      <c r="G862" t="s">
        <v>829</v>
      </c>
      <c r="H862" t="s">
        <v>832</v>
      </c>
      <c r="K862" t="s">
        <v>378</v>
      </c>
      <c r="L862" t="s">
        <v>852</v>
      </c>
      <c r="M862" t="s">
        <v>348</v>
      </c>
      <c r="N862" t="s">
        <v>538</v>
      </c>
      <c r="O862" t="s">
        <v>303</v>
      </c>
      <c r="P862" t="s">
        <v>799</v>
      </c>
      <c r="Q862" t="s">
        <v>230</v>
      </c>
      <c r="R862">
        <v>25</v>
      </c>
      <c r="S862" s="3">
        <v>1.21</v>
      </c>
      <c r="T862" s="3">
        <v>0.4</v>
      </c>
    </row>
    <row r="863" spans="1:20" x14ac:dyDescent="0.35">
      <c r="A863" t="s">
        <v>850</v>
      </c>
      <c r="B863" t="s">
        <v>522</v>
      </c>
      <c r="C863" t="s">
        <v>770</v>
      </c>
      <c r="D863">
        <v>2018</v>
      </c>
      <c r="E863">
        <v>170</v>
      </c>
      <c r="F863" t="s">
        <v>600</v>
      </c>
      <c r="G863" t="s">
        <v>829</v>
      </c>
      <c r="H863" t="s">
        <v>832</v>
      </c>
      <c r="K863" t="s">
        <v>394</v>
      </c>
      <c r="L863" t="s">
        <v>852</v>
      </c>
      <c r="M863" t="s">
        <v>348</v>
      </c>
      <c r="N863" t="s">
        <v>538</v>
      </c>
      <c r="O863" t="s">
        <v>303</v>
      </c>
      <c r="P863" t="s">
        <v>799</v>
      </c>
      <c r="Q863" t="s">
        <v>230</v>
      </c>
      <c r="R863">
        <v>25</v>
      </c>
      <c r="S863" s="3">
        <v>1.23</v>
      </c>
      <c r="T863" s="3">
        <v>0.4</v>
      </c>
    </row>
    <row r="864" spans="1:20" x14ac:dyDescent="0.35">
      <c r="A864" t="s">
        <v>850</v>
      </c>
      <c r="B864" t="s">
        <v>522</v>
      </c>
      <c r="C864" t="s">
        <v>770</v>
      </c>
      <c r="D864">
        <v>2018</v>
      </c>
      <c r="E864">
        <v>170</v>
      </c>
      <c r="F864" t="s">
        <v>600</v>
      </c>
      <c r="G864" t="s">
        <v>829</v>
      </c>
      <c r="H864" t="s">
        <v>832</v>
      </c>
      <c r="K864" t="s">
        <v>378</v>
      </c>
      <c r="L864" t="s">
        <v>852</v>
      </c>
      <c r="M864" t="s">
        <v>348</v>
      </c>
      <c r="N864" t="s">
        <v>538</v>
      </c>
      <c r="O864" t="s">
        <v>303</v>
      </c>
      <c r="P864" t="s">
        <v>799</v>
      </c>
      <c r="Q864" t="s">
        <v>230</v>
      </c>
      <c r="R864">
        <v>50</v>
      </c>
      <c r="S864" s="3">
        <v>1.24</v>
      </c>
      <c r="T864" s="3">
        <v>0.8</v>
      </c>
    </row>
    <row r="865" spans="1:21" x14ac:dyDescent="0.35">
      <c r="A865" t="s">
        <v>850</v>
      </c>
      <c r="B865" t="s">
        <v>522</v>
      </c>
      <c r="C865" t="s">
        <v>770</v>
      </c>
      <c r="D865">
        <v>2018</v>
      </c>
      <c r="E865">
        <v>170</v>
      </c>
      <c r="F865" t="s">
        <v>600</v>
      </c>
      <c r="G865" t="s">
        <v>829</v>
      </c>
      <c r="H865" t="s">
        <v>832</v>
      </c>
      <c r="K865" t="s">
        <v>394</v>
      </c>
      <c r="L865" t="s">
        <v>852</v>
      </c>
      <c r="M865" t="s">
        <v>348</v>
      </c>
      <c r="N865" t="s">
        <v>538</v>
      </c>
      <c r="O865" t="s">
        <v>303</v>
      </c>
      <c r="P865" t="s">
        <v>799</v>
      </c>
      <c r="Q865" t="s">
        <v>230</v>
      </c>
      <c r="R865">
        <v>50</v>
      </c>
      <c r="S865" s="3">
        <v>1.48</v>
      </c>
      <c r="T865" s="3">
        <v>0.8</v>
      </c>
    </row>
    <row r="866" spans="1:21" x14ac:dyDescent="0.35">
      <c r="A866" t="s">
        <v>850</v>
      </c>
      <c r="B866" t="s">
        <v>522</v>
      </c>
      <c r="C866" t="s">
        <v>770</v>
      </c>
      <c r="D866">
        <v>2018</v>
      </c>
      <c r="E866">
        <v>170</v>
      </c>
      <c r="F866" t="s">
        <v>600</v>
      </c>
      <c r="G866" t="s">
        <v>829</v>
      </c>
      <c r="H866" t="s">
        <v>832</v>
      </c>
      <c r="K866" t="s">
        <v>378</v>
      </c>
      <c r="L866" t="s">
        <v>852</v>
      </c>
      <c r="M866" t="s">
        <v>348</v>
      </c>
      <c r="N866" t="s">
        <v>538</v>
      </c>
      <c r="O866" t="s">
        <v>303</v>
      </c>
      <c r="P866" t="s">
        <v>799</v>
      </c>
      <c r="Q866" t="s">
        <v>230</v>
      </c>
      <c r="R866">
        <v>75</v>
      </c>
      <c r="S866" s="3">
        <v>1.48</v>
      </c>
      <c r="T866" s="3">
        <v>1.4</v>
      </c>
    </row>
    <row r="867" spans="1:21" x14ac:dyDescent="0.35">
      <c r="A867" t="s">
        <v>850</v>
      </c>
      <c r="B867" t="s">
        <v>522</v>
      </c>
      <c r="C867" t="s">
        <v>770</v>
      </c>
      <c r="D867">
        <v>2018</v>
      </c>
      <c r="E867">
        <v>170</v>
      </c>
      <c r="F867" t="s">
        <v>600</v>
      </c>
      <c r="G867" t="s">
        <v>829</v>
      </c>
      <c r="H867" t="s">
        <v>832</v>
      </c>
      <c r="K867" t="s">
        <v>394</v>
      </c>
      <c r="L867" t="s">
        <v>852</v>
      </c>
      <c r="M867" t="s">
        <v>348</v>
      </c>
      <c r="N867" t="s">
        <v>538</v>
      </c>
      <c r="O867" t="s">
        <v>303</v>
      </c>
      <c r="P867" t="s">
        <v>799</v>
      </c>
      <c r="Q867" t="s">
        <v>230</v>
      </c>
      <c r="R867">
        <v>75</v>
      </c>
      <c r="S867" s="3">
        <v>1.49</v>
      </c>
      <c r="T867" s="3">
        <v>1.4</v>
      </c>
    </row>
    <row r="868" spans="1:21" x14ac:dyDescent="0.35">
      <c r="A868" t="s">
        <v>853</v>
      </c>
      <c r="B868" t="s">
        <v>473</v>
      </c>
      <c r="C868" t="s">
        <v>549</v>
      </c>
      <c r="D868">
        <v>2011</v>
      </c>
      <c r="E868">
        <v>171</v>
      </c>
      <c r="F868" t="s">
        <v>600</v>
      </c>
      <c r="G868" t="s">
        <v>829</v>
      </c>
      <c r="H868" t="s">
        <v>833</v>
      </c>
      <c r="K868" t="s">
        <v>394</v>
      </c>
      <c r="L868" t="s">
        <v>854</v>
      </c>
      <c r="M868" t="s">
        <v>348</v>
      </c>
      <c r="N868" t="s">
        <v>31</v>
      </c>
      <c r="O868" t="s">
        <v>855</v>
      </c>
      <c r="P868" t="s">
        <v>856</v>
      </c>
      <c r="Q868" t="s">
        <v>520</v>
      </c>
      <c r="R868">
        <v>0</v>
      </c>
      <c r="S868" s="3">
        <v>1.52</v>
      </c>
      <c r="T868" s="3">
        <v>0</v>
      </c>
      <c r="U868" s="3">
        <v>0</v>
      </c>
    </row>
    <row r="869" spans="1:21" x14ac:dyDescent="0.35">
      <c r="A869" t="s">
        <v>853</v>
      </c>
      <c r="B869" t="s">
        <v>473</v>
      </c>
      <c r="C869" t="s">
        <v>549</v>
      </c>
      <c r="D869">
        <v>2011</v>
      </c>
      <c r="E869">
        <v>171</v>
      </c>
      <c r="F869" t="s">
        <v>600</v>
      </c>
      <c r="G869" t="s">
        <v>829</v>
      </c>
      <c r="H869" t="s">
        <v>832</v>
      </c>
      <c r="K869" t="s">
        <v>394</v>
      </c>
      <c r="L869" t="s">
        <v>854</v>
      </c>
      <c r="M869" t="s">
        <v>348</v>
      </c>
      <c r="N869" t="s">
        <v>31</v>
      </c>
      <c r="O869" t="s">
        <v>855</v>
      </c>
      <c r="P869" t="s">
        <v>856</v>
      </c>
      <c r="Q869" t="s">
        <v>520</v>
      </c>
      <c r="R869">
        <v>30</v>
      </c>
      <c r="S869" s="3">
        <v>1.69</v>
      </c>
      <c r="T869" s="3">
        <v>-1</v>
      </c>
      <c r="U869" s="3">
        <v>-0.4</v>
      </c>
    </row>
    <row r="870" spans="1:21" x14ac:dyDescent="0.35">
      <c r="A870" t="s">
        <v>853</v>
      </c>
      <c r="B870" t="s">
        <v>473</v>
      </c>
      <c r="C870" t="s">
        <v>549</v>
      </c>
      <c r="D870">
        <v>2011</v>
      </c>
      <c r="E870">
        <v>171</v>
      </c>
      <c r="F870" t="s">
        <v>600</v>
      </c>
      <c r="G870" t="s">
        <v>829</v>
      </c>
      <c r="H870" t="s">
        <v>833</v>
      </c>
      <c r="K870" t="s">
        <v>394</v>
      </c>
      <c r="L870" t="s">
        <v>854</v>
      </c>
      <c r="M870" t="s">
        <v>348</v>
      </c>
      <c r="N870" t="s">
        <v>31</v>
      </c>
      <c r="O870" t="s">
        <v>855</v>
      </c>
      <c r="P870" t="s">
        <v>856</v>
      </c>
      <c r="Q870" t="s">
        <v>520</v>
      </c>
      <c r="R870">
        <v>30</v>
      </c>
      <c r="S870" s="3">
        <v>1.72</v>
      </c>
      <c r="T870" s="3">
        <v>-1</v>
      </c>
      <c r="U870" s="3">
        <v>-0.4</v>
      </c>
    </row>
    <row r="871" spans="1:21" x14ac:dyDescent="0.35">
      <c r="A871" t="s">
        <v>853</v>
      </c>
      <c r="B871" t="s">
        <v>473</v>
      </c>
      <c r="C871" t="s">
        <v>549</v>
      </c>
      <c r="D871">
        <v>2011</v>
      </c>
      <c r="E871">
        <v>171</v>
      </c>
      <c r="F871" t="s">
        <v>600</v>
      </c>
      <c r="G871" t="s">
        <v>829</v>
      </c>
      <c r="H871" t="s">
        <v>833</v>
      </c>
      <c r="K871" t="s">
        <v>394</v>
      </c>
      <c r="L871" t="s">
        <v>854</v>
      </c>
      <c r="M871" t="s">
        <v>348</v>
      </c>
      <c r="N871" t="s">
        <v>31</v>
      </c>
      <c r="O871" t="s">
        <v>855</v>
      </c>
      <c r="P871" t="s">
        <v>856</v>
      </c>
      <c r="Q871" t="s">
        <v>520</v>
      </c>
      <c r="R871">
        <v>30</v>
      </c>
      <c r="S871" s="3">
        <v>1.66</v>
      </c>
      <c r="T871" s="3">
        <v>-1</v>
      </c>
      <c r="U871" s="3">
        <v>-0.4</v>
      </c>
    </row>
    <row r="872" spans="1:21" x14ac:dyDescent="0.35">
      <c r="A872" t="s">
        <v>853</v>
      </c>
      <c r="B872" t="s">
        <v>473</v>
      </c>
      <c r="C872" t="s">
        <v>549</v>
      </c>
      <c r="D872">
        <v>2011</v>
      </c>
      <c r="E872">
        <v>171</v>
      </c>
      <c r="F872" t="s">
        <v>600</v>
      </c>
      <c r="G872" t="s">
        <v>829</v>
      </c>
      <c r="H872" t="s">
        <v>833</v>
      </c>
      <c r="K872" t="s">
        <v>394</v>
      </c>
      <c r="L872" t="s">
        <v>854</v>
      </c>
      <c r="M872" t="s">
        <v>348</v>
      </c>
      <c r="N872" t="s">
        <v>31</v>
      </c>
      <c r="O872" t="s">
        <v>855</v>
      </c>
      <c r="P872" t="s">
        <v>856</v>
      </c>
      <c r="Q872" t="s">
        <v>520</v>
      </c>
      <c r="R872">
        <v>30</v>
      </c>
      <c r="S872" s="3">
        <v>1.62</v>
      </c>
      <c r="T872" s="3">
        <v>-1</v>
      </c>
      <c r="U872" s="3">
        <v>-0.4</v>
      </c>
    </row>
    <row r="873" spans="1:21" x14ac:dyDescent="0.35">
      <c r="A873" t="s">
        <v>853</v>
      </c>
      <c r="B873" t="s">
        <v>473</v>
      </c>
      <c r="C873" t="s">
        <v>549</v>
      </c>
      <c r="D873">
        <v>2011</v>
      </c>
      <c r="E873">
        <v>171</v>
      </c>
      <c r="F873" t="s">
        <v>600</v>
      </c>
      <c r="G873" t="s">
        <v>829</v>
      </c>
      <c r="H873" t="s">
        <v>833</v>
      </c>
      <c r="K873" t="s">
        <v>394</v>
      </c>
      <c r="L873" t="s">
        <v>854</v>
      </c>
      <c r="M873" t="s">
        <v>348</v>
      </c>
      <c r="N873" t="s">
        <v>31</v>
      </c>
      <c r="O873" t="s">
        <v>855</v>
      </c>
      <c r="P873" t="s">
        <v>856</v>
      </c>
      <c r="Q873" t="s">
        <v>520</v>
      </c>
      <c r="R873">
        <v>0</v>
      </c>
      <c r="S873" s="3">
        <v>2.0299999999999998</v>
      </c>
      <c r="T873" s="3">
        <v>0</v>
      </c>
      <c r="U873" s="3">
        <v>0</v>
      </c>
    </row>
    <row r="874" spans="1:21" x14ac:dyDescent="0.35">
      <c r="A874" t="s">
        <v>853</v>
      </c>
      <c r="B874" t="s">
        <v>473</v>
      </c>
      <c r="C874" t="s">
        <v>549</v>
      </c>
      <c r="D874">
        <v>2011</v>
      </c>
      <c r="E874">
        <v>171</v>
      </c>
      <c r="F874" t="s">
        <v>600</v>
      </c>
      <c r="G874" t="s">
        <v>829</v>
      </c>
      <c r="H874" t="s">
        <v>832</v>
      </c>
      <c r="K874" t="s">
        <v>394</v>
      </c>
      <c r="L874" t="s">
        <v>854</v>
      </c>
      <c r="M874" t="s">
        <v>348</v>
      </c>
      <c r="N874" t="s">
        <v>31</v>
      </c>
      <c r="O874" t="s">
        <v>855</v>
      </c>
      <c r="P874" t="s">
        <v>856</v>
      </c>
      <c r="Q874" t="s">
        <v>520</v>
      </c>
      <c r="R874">
        <v>45</v>
      </c>
      <c r="S874" s="3">
        <v>2.3199999999999998</v>
      </c>
      <c r="T874" s="3">
        <v>-2</v>
      </c>
      <c r="U874" s="3">
        <v>-1.1000000000000001</v>
      </c>
    </row>
    <row r="875" spans="1:21" x14ac:dyDescent="0.35">
      <c r="A875" t="s">
        <v>853</v>
      </c>
      <c r="B875" t="s">
        <v>473</v>
      </c>
      <c r="C875" t="s">
        <v>549</v>
      </c>
      <c r="D875">
        <v>2011</v>
      </c>
      <c r="E875">
        <v>171</v>
      </c>
      <c r="F875" t="s">
        <v>600</v>
      </c>
      <c r="G875" t="s">
        <v>829</v>
      </c>
      <c r="H875" t="s">
        <v>833</v>
      </c>
      <c r="K875" t="s">
        <v>394</v>
      </c>
      <c r="L875" t="s">
        <v>854</v>
      </c>
      <c r="M875" t="s">
        <v>348</v>
      </c>
      <c r="N875" t="s">
        <v>31</v>
      </c>
      <c r="O875" t="s">
        <v>855</v>
      </c>
      <c r="P875" t="s">
        <v>856</v>
      </c>
      <c r="Q875" t="s">
        <v>520</v>
      </c>
      <c r="R875">
        <v>45</v>
      </c>
      <c r="S875" s="3">
        <v>2.0299999999999998</v>
      </c>
      <c r="T875" s="3">
        <v>-2</v>
      </c>
      <c r="U875" s="3">
        <v>-1.1000000000000001</v>
      </c>
    </row>
    <row r="876" spans="1:21" x14ac:dyDescent="0.35">
      <c r="A876" t="s">
        <v>853</v>
      </c>
      <c r="B876" t="s">
        <v>473</v>
      </c>
      <c r="C876" t="s">
        <v>549</v>
      </c>
      <c r="D876">
        <v>2011</v>
      </c>
      <c r="E876">
        <v>171</v>
      </c>
      <c r="F876" t="s">
        <v>600</v>
      </c>
      <c r="G876" t="s">
        <v>829</v>
      </c>
      <c r="H876" t="s">
        <v>833</v>
      </c>
      <c r="K876" t="s">
        <v>378</v>
      </c>
      <c r="L876" t="s">
        <v>854</v>
      </c>
      <c r="M876" t="s">
        <v>348</v>
      </c>
      <c r="N876" t="s">
        <v>31</v>
      </c>
      <c r="O876" t="s">
        <v>855</v>
      </c>
      <c r="P876" t="s">
        <v>856</v>
      </c>
      <c r="Q876" t="s">
        <v>520</v>
      </c>
      <c r="R876">
        <v>45</v>
      </c>
      <c r="S876" s="3">
        <v>1.94</v>
      </c>
      <c r="T876" s="3">
        <v>-2</v>
      </c>
      <c r="U876" s="3">
        <v>-1.1000000000000001</v>
      </c>
    </row>
    <row r="877" spans="1:21" x14ac:dyDescent="0.35">
      <c r="A877" t="s">
        <v>853</v>
      </c>
      <c r="B877" t="s">
        <v>473</v>
      </c>
      <c r="C877" t="s">
        <v>549</v>
      </c>
      <c r="D877">
        <v>2011</v>
      </c>
      <c r="E877">
        <v>171</v>
      </c>
      <c r="F877" t="s">
        <v>600</v>
      </c>
      <c r="G877" t="s">
        <v>829</v>
      </c>
      <c r="H877" t="s">
        <v>832</v>
      </c>
      <c r="K877" t="s">
        <v>378</v>
      </c>
      <c r="L877" t="s">
        <v>854</v>
      </c>
      <c r="M877" t="s">
        <v>348</v>
      </c>
      <c r="N877" t="s">
        <v>31</v>
      </c>
      <c r="O877" t="s">
        <v>855</v>
      </c>
      <c r="P877" t="s">
        <v>856</v>
      </c>
      <c r="Q877" t="s">
        <v>520</v>
      </c>
      <c r="R877">
        <v>45</v>
      </c>
      <c r="S877" s="3">
        <v>1.79</v>
      </c>
      <c r="T877" s="3">
        <v>-2</v>
      </c>
      <c r="U877" s="3">
        <v>-1.1000000000000001</v>
      </c>
    </row>
    <row r="878" spans="1:21" x14ac:dyDescent="0.35">
      <c r="A878" t="s">
        <v>857</v>
      </c>
      <c r="B878" t="s">
        <v>625</v>
      </c>
      <c r="C878" t="s">
        <v>485</v>
      </c>
      <c r="D878">
        <v>2012</v>
      </c>
      <c r="E878">
        <v>172</v>
      </c>
      <c r="F878" t="s">
        <v>600</v>
      </c>
      <c r="G878" t="s">
        <v>829</v>
      </c>
      <c r="H878" t="s">
        <v>832</v>
      </c>
      <c r="K878" t="s">
        <v>378</v>
      </c>
      <c r="L878" t="s">
        <v>574</v>
      </c>
      <c r="M878" t="s">
        <v>348</v>
      </c>
      <c r="N878" t="s">
        <v>538</v>
      </c>
      <c r="O878" t="s">
        <v>858</v>
      </c>
      <c r="P878" t="s">
        <v>859</v>
      </c>
      <c r="Q878" t="s">
        <v>230</v>
      </c>
      <c r="R878">
        <v>0</v>
      </c>
      <c r="S878" s="3">
        <f>1/1.75</f>
        <v>0.5714285714285714</v>
      </c>
      <c r="T878" s="3">
        <v>0</v>
      </c>
      <c r="U878" s="3">
        <v>0</v>
      </c>
    </row>
    <row r="879" spans="1:21" x14ac:dyDescent="0.35">
      <c r="A879" t="s">
        <v>857</v>
      </c>
      <c r="B879" t="s">
        <v>625</v>
      </c>
      <c r="C879" t="s">
        <v>485</v>
      </c>
      <c r="D879">
        <v>2012</v>
      </c>
      <c r="E879">
        <v>172</v>
      </c>
      <c r="F879" t="s">
        <v>600</v>
      </c>
      <c r="G879" t="s">
        <v>829</v>
      </c>
      <c r="H879" t="s">
        <v>832</v>
      </c>
      <c r="K879" t="s">
        <v>378</v>
      </c>
      <c r="L879" t="s">
        <v>574</v>
      </c>
      <c r="M879" t="s">
        <v>348</v>
      </c>
      <c r="N879" t="s">
        <v>538</v>
      </c>
      <c r="O879" t="s">
        <v>858</v>
      </c>
      <c r="P879" t="s">
        <v>859</v>
      </c>
      <c r="Q879" t="s">
        <v>230</v>
      </c>
      <c r="R879">
        <v>40</v>
      </c>
      <c r="S879" s="3">
        <f>1/0.89</f>
        <v>1.1235955056179776</v>
      </c>
      <c r="T879" s="3">
        <v>1</v>
      </c>
      <c r="U879" s="3">
        <v>-18</v>
      </c>
    </row>
    <row r="880" spans="1:21" x14ac:dyDescent="0.35">
      <c r="A880" t="s">
        <v>857</v>
      </c>
      <c r="B880" t="s">
        <v>625</v>
      </c>
      <c r="C880" t="s">
        <v>485</v>
      </c>
      <c r="D880">
        <v>2012</v>
      </c>
      <c r="E880">
        <v>172</v>
      </c>
      <c r="F880" t="s">
        <v>600</v>
      </c>
      <c r="G880" t="s">
        <v>829</v>
      </c>
      <c r="H880" t="s">
        <v>832</v>
      </c>
      <c r="K880" t="s">
        <v>378</v>
      </c>
      <c r="L880" t="s">
        <v>574</v>
      </c>
      <c r="M880" t="s">
        <v>348</v>
      </c>
      <c r="N880" t="s">
        <v>538</v>
      </c>
      <c r="O880" t="s">
        <v>858</v>
      </c>
      <c r="P880" t="s">
        <v>859</v>
      </c>
      <c r="Q880" t="s">
        <v>230</v>
      </c>
      <c r="R880">
        <v>40</v>
      </c>
      <c r="S880" s="3">
        <f>1/0.83</f>
        <v>1.2048192771084338</v>
      </c>
      <c r="T880" s="3">
        <v>1</v>
      </c>
      <c r="U880" s="3">
        <v>-18</v>
      </c>
    </row>
    <row r="881" spans="1:21" x14ac:dyDescent="0.35">
      <c r="A881" t="s">
        <v>857</v>
      </c>
      <c r="B881" t="s">
        <v>625</v>
      </c>
      <c r="C881" t="s">
        <v>485</v>
      </c>
      <c r="D881">
        <v>2012</v>
      </c>
      <c r="E881">
        <v>172</v>
      </c>
      <c r="F881" t="s">
        <v>600</v>
      </c>
      <c r="G881" t="s">
        <v>829</v>
      </c>
      <c r="H881" t="s">
        <v>833</v>
      </c>
      <c r="K881" t="s">
        <v>378</v>
      </c>
      <c r="L881" t="s">
        <v>574</v>
      </c>
      <c r="M881" t="s">
        <v>348</v>
      </c>
      <c r="N881" t="s">
        <v>538</v>
      </c>
      <c r="O881" t="s">
        <v>858</v>
      </c>
      <c r="P881" t="s">
        <v>859</v>
      </c>
      <c r="Q881" t="s">
        <v>230</v>
      </c>
      <c r="R881">
        <v>40</v>
      </c>
      <c r="S881" s="3">
        <f>1/1.08</f>
        <v>0.92592592592592582</v>
      </c>
      <c r="T881" s="3">
        <v>1</v>
      </c>
      <c r="U881" s="3">
        <v>-18</v>
      </c>
    </row>
    <row r="882" spans="1:21" x14ac:dyDescent="0.35">
      <c r="A882" t="s">
        <v>857</v>
      </c>
      <c r="B882" t="s">
        <v>625</v>
      </c>
      <c r="C882" t="s">
        <v>485</v>
      </c>
      <c r="D882">
        <v>2012</v>
      </c>
      <c r="E882">
        <v>172</v>
      </c>
      <c r="F882" t="s">
        <v>600</v>
      </c>
      <c r="G882" t="s">
        <v>829</v>
      </c>
      <c r="H882" t="s">
        <v>833</v>
      </c>
      <c r="K882" t="s">
        <v>378</v>
      </c>
      <c r="L882" t="s">
        <v>574</v>
      </c>
      <c r="M882" t="s">
        <v>348</v>
      </c>
      <c r="N882" t="s">
        <v>538</v>
      </c>
      <c r="O882" t="s">
        <v>858</v>
      </c>
      <c r="P882" t="s">
        <v>859</v>
      </c>
      <c r="Q882" t="s">
        <v>230</v>
      </c>
      <c r="R882">
        <v>40</v>
      </c>
      <c r="S882" s="3">
        <f>1/0.75</f>
        <v>1.3333333333333333</v>
      </c>
      <c r="T882" s="3">
        <v>1</v>
      </c>
      <c r="U882" s="3">
        <v>-18</v>
      </c>
    </row>
    <row r="883" spans="1:21" x14ac:dyDescent="0.35">
      <c r="A883" t="s">
        <v>857</v>
      </c>
      <c r="B883" t="s">
        <v>625</v>
      </c>
      <c r="C883" t="s">
        <v>485</v>
      </c>
      <c r="D883">
        <v>2012</v>
      </c>
      <c r="E883">
        <v>172</v>
      </c>
      <c r="F883" t="s">
        <v>600</v>
      </c>
      <c r="G883" t="s">
        <v>829</v>
      </c>
      <c r="H883" t="s">
        <v>833</v>
      </c>
      <c r="K883" t="s">
        <v>378</v>
      </c>
      <c r="L883" t="s">
        <v>574</v>
      </c>
      <c r="M883" t="s">
        <v>348</v>
      </c>
      <c r="N883" t="s">
        <v>538</v>
      </c>
      <c r="O883" t="s">
        <v>858</v>
      </c>
      <c r="P883" t="s">
        <v>859</v>
      </c>
      <c r="Q883" t="s">
        <v>230</v>
      </c>
      <c r="R883">
        <v>40</v>
      </c>
      <c r="S883" s="3">
        <f>1/1.05</f>
        <v>0.95238095238095233</v>
      </c>
      <c r="T883" s="3">
        <v>1</v>
      </c>
      <c r="U883" s="3">
        <v>-18</v>
      </c>
    </row>
    <row r="884" spans="1:21" x14ac:dyDescent="0.35">
      <c r="A884" t="s">
        <v>857</v>
      </c>
      <c r="B884" t="s">
        <v>625</v>
      </c>
      <c r="C884" t="s">
        <v>485</v>
      </c>
      <c r="D884">
        <v>2012</v>
      </c>
      <c r="E884">
        <v>172</v>
      </c>
      <c r="F884" t="s">
        <v>600</v>
      </c>
      <c r="G884" t="s">
        <v>829</v>
      </c>
      <c r="H884" t="s">
        <v>833</v>
      </c>
      <c r="K884" t="s">
        <v>378</v>
      </c>
      <c r="L884" t="s">
        <v>574</v>
      </c>
      <c r="M884" t="s">
        <v>348</v>
      </c>
      <c r="N884" t="s">
        <v>538</v>
      </c>
      <c r="O884" t="s">
        <v>858</v>
      </c>
      <c r="P884" t="s">
        <v>859</v>
      </c>
      <c r="Q884" t="s">
        <v>230</v>
      </c>
      <c r="R884">
        <v>40</v>
      </c>
      <c r="S884" s="3">
        <f>1/0.75</f>
        <v>1.3333333333333333</v>
      </c>
      <c r="T884" s="3">
        <v>1</v>
      </c>
      <c r="U884" s="3">
        <v>-18</v>
      </c>
    </row>
    <row r="885" spans="1:21" x14ac:dyDescent="0.35">
      <c r="A885" t="s">
        <v>862</v>
      </c>
      <c r="B885" t="s">
        <v>532</v>
      </c>
      <c r="C885" t="s">
        <v>370</v>
      </c>
      <c r="D885">
        <v>2013</v>
      </c>
      <c r="E885">
        <v>173</v>
      </c>
      <c r="F885" t="s">
        <v>863</v>
      </c>
      <c r="G885" t="s">
        <v>829</v>
      </c>
      <c r="H885" t="s">
        <v>832</v>
      </c>
      <c r="I885" t="s">
        <v>864</v>
      </c>
      <c r="K885" t="s">
        <v>394</v>
      </c>
      <c r="M885" t="s">
        <v>348</v>
      </c>
      <c r="N885" t="s">
        <v>304</v>
      </c>
      <c r="O885" t="s">
        <v>861</v>
      </c>
      <c r="P885" t="s">
        <v>860</v>
      </c>
      <c r="Q885" t="s">
        <v>230</v>
      </c>
      <c r="R885">
        <v>0</v>
      </c>
      <c r="S885" s="3">
        <v>1.99</v>
      </c>
      <c r="T885" s="3">
        <v>0</v>
      </c>
      <c r="U885" s="3">
        <v>0</v>
      </c>
    </row>
    <row r="886" spans="1:21" x14ac:dyDescent="0.35">
      <c r="A886" t="s">
        <v>862</v>
      </c>
      <c r="B886" t="s">
        <v>532</v>
      </c>
      <c r="C886" t="s">
        <v>370</v>
      </c>
      <c r="D886">
        <v>2013</v>
      </c>
      <c r="E886">
        <v>173</v>
      </c>
      <c r="F886" t="s">
        <v>863</v>
      </c>
      <c r="G886" t="s">
        <v>829</v>
      </c>
      <c r="H886" t="s">
        <v>832</v>
      </c>
      <c r="I886" t="s">
        <v>864</v>
      </c>
      <c r="K886" t="s">
        <v>394</v>
      </c>
      <c r="M886" t="s">
        <v>348</v>
      </c>
      <c r="N886" t="s">
        <v>304</v>
      </c>
      <c r="O886" t="s">
        <v>861</v>
      </c>
      <c r="P886" t="s">
        <v>860</v>
      </c>
      <c r="Q886" t="s">
        <v>230</v>
      </c>
      <c r="R886">
        <v>21</v>
      </c>
      <c r="S886" s="3">
        <v>1.81</v>
      </c>
      <c r="T886" s="3">
        <v>0.5</v>
      </c>
      <c r="U886" s="3">
        <v>-5</v>
      </c>
    </row>
    <row r="887" spans="1:21" x14ac:dyDescent="0.35">
      <c r="A887" t="s">
        <v>862</v>
      </c>
      <c r="B887" t="s">
        <v>532</v>
      </c>
      <c r="C887" t="s">
        <v>370</v>
      </c>
      <c r="D887">
        <v>2013</v>
      </c>
      <c r="E887">
        <v>173</v>
      </c>
      <c r="F887" t="s">
        <v>863</v>
      </c>
      <c r="G887" t="s">
        <v>829</v>
      </c>
      <c r="H887" t="s">
        <v>832</v>
      </c>
      <c r="I887" t="s">
        <v>864</v>
      </c>
      <c r="K887" t="s">
        <v>394</v>
      </c>
      <c r="M887" t="s">
        <v>348</v>
      </c>
      <c r="N887" t="s">
        <v>304</v>
      </c>
      <c r="O887" t="s">
        <v>861</v>
      </c>
      <c r="P887" t="s">
        <v>860</v>
      </c>
      <c r="Q887" t="s">
        <v>230</v>
      </c>
      <c r="R887">
        <v>43</v>
      </c>
      <c r="S887" s="3">
        <v>1.89</v>
      </c>
      <c r="T887" s="3">
        <v>1.5</v>
      </c>
      <c r="U887" s="3">
        <v>-12</v>
      </c>
    </row>
    <row r="888" spans="1:21" x14ac:dyDescent="0.35">
      <c r="A888" t="s">
        <v>862</v>
      </c>
      <c r="B888" t="s">
        <v>532</v>
      </c>
      <c r="C888" t="s">
        <v>370</v>
      </c>
      <c r="D888">
        <v>2013</v>
      </c>
      <c r="E888">
        <v>173</v>
      </c>
      <c r="F888" t="s">
        <v>863</v>
      </c>
      <c r="G888" t="s">
        <v>829</v>
      </c>
      <c r="H888" t="s">
        <v>832</v>
      </c>
      <c r="I888" t="s">
        <v>864</v>
      </c>
      <c r="K888" t="s">
        <v>394</v>
      </c>
      <c r="M888" t="s">
        <v>348</v>
      </c>
      <c r="N888" t="s">
        <v>304</v>
      </c>
      <c r="O888" t="s">
        <v>861</v>
      </c>
      <c r="P888" t="s">
        <v>860</v>
      </c>
      <c r="Q888" t="s">
        <v>230</v>
      </c>
      <c r="R888">
        <v>65</v>
      </c>
      <c r="S888" s="3">
        <v>2.13</v>
      </c>
      <c r="T888" s="3">
        <v>2.5</v>
      </c>
      <c r="U888" s="3">
        <v>-20</v>
      </c>
    </row>
    <row r="889" spans="1:21" x14ac:dyDescent="0.35">
      <c r="A889" t="s">
        <v>862</v>
      </c>
      <c r="B889" t="s">
        <v>532</v>
      </c>
      <c r="C889" t="s">
        <v>370</v>
      </c>
      <c r="D889">
        <v>2013</v>
      </c>
      <c r="E889">
        <v>173</v>
      </c>
      <c r="F889" t="s">
        <v>863</v>
      </c>
      <c r="G889" t="s">
        <v>829</v>
      </c>
      <c r="H889" t="s">
        <v>832</v>
      </c>
      <c r="I889" t="s">
        <v>864</v>
      </c>
      <c r="K889" t="s">
        <v>394</v>
      </c>
      <c r="M889" t="s">
        <v>348</v>
      </c>
      <c r="N889" t="s">
        <v>304</v>
      </c>
      <c r="O889" t="s">
        <v>861</v>
      </c>
      <c r="P889" t="s">
        <v>860</v>
      </c>
      <c r="Q889" t="s">
        <v>230</v>
      </c>
      <c r="R889">
        <v>100</v>
      </c>
      <c r="S889" s="3">
        <v>2.31</v>
      </c>
      <c r="T889" s="3">
        <v>2.5</v>
      </c>
      <c r="U889" s="3">
        <v>-21</v>
      </c>
    </row>
    <row r="890" spans="1:21" x14ac:dyDescent="0.35">
      <c r="A890" t="s">
        <v>867</v>
      </c>
      <c r="B890" t="s">
        <v>468</v>
      </c>
      <c r="C890" t="s">
        <v>385</v>
      </c>
      <c r="D890">
        <v>2015</v>
      </c>
      <c r="E890">
        <v>174</v>
      </c>
      <c r="F890" t="s">
        <v>600</v>
      </c>
      <c r="G890" t="s">
        <v>829</v>
      </c>
      <c r="H890" t="s">
        <v>851</v>
      </c>
      <c r="I890" t="s">
        <v>829</v>
      </c>
      <c r="J890" t="s">
        <v>832</v>
      </c>
      <c r="K890" t="s">
        <v>378</v>
      </c>
      <c r="L890" t="s">
        <v>846</v>
      </c>
      <c r="M890" t="s">
        <v>348</v>
      </c>
      <c r="N890" t="s">
        <v>538</v>
      </c>
      <c r="O890" t="s">
        <v>866</v>
      </c>
      <c r="P890" t="s">
        <v>865</v>
      </c>
      <c r="Q890" t="s">
        <v>230</v>
      </c>
      <c r="R890">
        <v>0</v>
      </c>
      <c r="S890" s="3">
        <v>1.25</v>
      </c>
      <c r="T890" s="3">
        <v>0</v>
      </c>
      <c r="U890" s="3">
        <v>0</v>
      </c>
    </row>
    <row r="891" spans="1:21" x14ac:dyDescent="0.35">
      <c r="A891" t="s">
        <v>867</v>
      </c>
      <c r="B891" t="s">
        <v>468</v>
      </c>
      <c r="C891" t="s">
        <v>385</v>
      </c>
      <c r="D891">
        <v>2015</v>
      </c>
      <c r="E891">
        <v>174</v>
      </c>
      <c r="F891" t="s">
        <v>600</v>
      </c>
      <c r="G891" t="s">
        <v>829</v>
      </c>
      <c r="H891" t="s">
        <v>851</v>
      </c>
      <c r="I891" t="s">
        <v>829</v>
      </c>
      <c r="J891" t="s">
        <v>832</v>
      </c>
      <c r="K891" t="s">
        <v>378</v>
      </c>
      <c r="L891" t="s">
        <v>846</v>
      </c>
      <c r="M891" t="s">
        <v>348</v>
      </c>
      <c r="N891" t="s">
        <v>538</v>
      </c>
      <c r="O891" t="s">
        <v>866</v>
      </c>
      <c r="P891" t="s">
        <v>865</v>
      </c>
      <c r="Q891" t="s">
        <v>230</v>
      </c>
      <c r="R891">
        <v>62</v>
      </c>
      <c r="S891" s="3">
        <v>0.92</v>
      </c>
      <c r="T891" s="3">
        <v>2.42</v>
      </c>
      <c r="U891" s="3">
        <v>-12.57</v>
      </c>
    </row>
    <row r="892" spans="1:21" x14ac:dyDescent="0.35">
      <c r="A892" t="s">
        <v>867</v>
      </c>
      <c r="B892" t="s">
        <v>468</v>
      </c>
      <c r="C892" t="s">
        <v>385</v>
      </c>
      <c r="D892">
        <v>2015</v>
      </c>
      <c r="E892">
        <v>174</v>
      </c>
      <c r="F892" t="s">
        <v>600</v>
      </c>
      <c r="G892" t="s">
        <v>829</v>
      </c>
      <c r="H892" t="s">
        <v>851</v>
      </c>
      <c r="I892" t="s">
        <v>829</v>
      </c>
      <c r="J892" t="s">
        <v>832</v>
      </c>
      <c r="K892" t="s">
        <v>378</v>
      </c>
      <c r="L892" t="s">
        <v>846</v>
      </c>
      <c r="M892" t="s">
        <v>348</v>
      </c>
      <c r="N892" t="s">
        <v>538</v>
      </c>
      <c r="O892" t="s">
        <v>866</v>
      </c>
      <c r="P892" t="s">
        <v>865</v>
      </c>
      <c r="Q892" t="s">
        <v>230</v>
      </c>
      <c r="R892">
        <v>72</v>
      </c>
      <c r="S892" s="3">
        <v>0.91</v>
      </c>
      <c r="T892" s="3">
        <v>3.31</v>
      </c>
      <c r="U892" s="3">
        <v>-14.33</v>
      </c>
    </row>
    <row r="893" spans="1:21" x14ac:dyDescent="0.35">
      <c r="A893" t="s">
        <v>867</v>
      </c>
      <c r="B893" t="s">
        <v>468</v>
      </c>
      <c r="C893" t="s">
        <v>385</v>
      </c>
      <c r="D893">
        <v>2015</v>
      </c>
      <c r="E893">
        <v>174</v>
      </c>
      <c r="F893" t="s">
        <v>600</v>
      </c>
      <c r="G893" t="s">
        <v>829</v>
      </c>
      <c r="H893" t="s">
        <v>851</v>
      </c>
      <c r="I893" t="s">
        <v>829</v>
      </c>
      <c r="J893" t="s">
        <v>832</v>
      </c>
      <c r="K893" t="s">
        <v>378</v>
      </c>
      <c r="L893" t="s">
        <v>846</v>
      </c>
      <c r="M893" t="s">
        <v>348</v>
      </c>
      <c r="N893" t="s">
        <v>538</v>
      </c>
      <c r="O893" t="s">
        <v>866</v>
      </c>
      <c r="P893" t="s">
        <v>865</v>
      </c>
      <c r="Q893" t="s">
        <v>230</v>
      </c>
      <c r="R893">
        <v>100</v>
      </c>
      <c r="S893" s="3">
        <v>0.9</v>
      </c>
      <c r="T893" s="3">
        <v>3.92</v>
      </c>
      <c r="U893" s="3">
        <v>-16.72</v>
      </c>
    </row>
    <row r="894" spans="1:21" x14ac:dyDescent="0.35">
      <c r="A894" t="s">
        <v>872</v>
      </c>
      <c r="B894" t="s">
        <v>774</v>
      </c>
      <c r="C894" t="s">
        <v>770</v>
      </c>
      <c r="D894">
        <v>2011</v>
      </c>
      <c r="E894">
        <v>175</v>
      </c>
      <c r="F894" t="s">
        <v>863</v>
      </c>
      <c r="G894" t="s">
        <v>829</v>
      </c>
      <c r="H894" t="s">
        <v>868</v>
      </c>
      <c r="I894" t="s">
        <v>871</v>
      </c>
      <c r="J894" t="s">
        <v>869</v>
      </c>
      <c r="K894" t="s">
        <v>394</v>
      </c>
      <c r="M894" t="s">
        <v>348</v>
      </c>
      <c r="N894" t="s">
        <v>538</v>
      </c>
      <c r="O894" t="s">
        <v>768</v>
      </c>
      <c r="P894" t="s">
        <v>767</v>
      </c>
      <c r="Q894" t="s">
        <v>230</v>
      </c>
      <c r="R894">
        <v>0</v>
      </c>
      <c r="S894" s="3">
        <f>1/0.71</f>
        <v>1.4084507042253522</v>
      </c>
      <c r="T894" s="3">
        <v>0</v>
      </c>
      <c r="U894" s="3">
        <v>0</v>
      </c>
    </row>
    <row r="895" spans="1:21" x14ac:dyDescent="0.35">
      <c r="A895" t="s">
        <v>872</v>
      </c>
      <c r="B895" t="s">
        <v>774</v>
      </c>
      <c r="C895" t="s">
        <v>770</v>
      </c>
      <c r="D895">
        <v>2011</v>
      </c>
      <c r="E895">
        <v>175</v>
      </c>
      <c r="F895" t="s">
        <v>863</v>
      </c>
      <c r="G895" t="s">
        <v>829</v>
      </c>
      <c r="H895" t="s">
        <v>868</v>
      </c>
      <c r="I895" t="s">
        <v>871</v>
      </c>
      <c r="J895" t="s">
        <v>869</v>
      </c>
      <c r="K895" t="s">
        <v>394</v>
      </c>
      <c r="M895" t="s">
        <v>348</v>
      </c>
      <c r="N895" t="s">
        <v>538</v>
      </c>
      <c r="O895" t="s">
        <v>768</v>
      </c>
      <c r="P895" t="s">
        <v>767</v>
      </c>
      <c r="Q895" t="s">
        <v>230</v>
      </c>
      <c r="R895">
        <v>15</v>
      </c>
      <c r="S895" s="3">
        <f>1/0.69</f>
        <v>1.4492753623188408</v>
      </c>
      <c r="T895" s="3">
        <v>0</v>
      </c>
      <c r="U895" s="3">
        <v>-2</v>
      </c>
    </row>
    <row r="896" spans="1:21" x14ac:dyDescent="0.35">
      <c r="A896" t="s">
        <v>872</v>
      </c>
      <c r="B896" t="s">
        <v>774</v>
      </c>
      <c r="C896" t="s">
        <v>770</v>
      </c>
      <c r="D896">
        <v>2011</v>
      </c>
      <c r="E896">
        <v>175</v>
      </c>
      <c r="F896" t="s">
        <v>863</v>
      </c>
      <c r="G896" t="s">
        <v>829</v>
      </c>
      <c r="H896" t="s">
        <v>868</v>
      </c>
      <c r="I896" t="s">
        <v>871</v>
      </c>
      <c r="J896" t="s">
        <v>869</v>
      </c>
      <c r="K896" t="s">
        <v>394</v>
      </c>
      <c r="M896" t="s">
        <v>348</v>
      </c>
      <c r="N896" t="s">
        <v>538</v>
      </c>
      <c r="O896" t="s">
        <v>768</v>
      </c>
      <c r="P896" t="s">
        <v>767</v>
      </c>
      <c r="Q896" t="s">
        <v>230</v>
      </c>
      <c r="R896">
        <v>30</v>
      </c>
      <c r="S896" s="3">
        <f>1/0.68</f>
        <v>1.4705882352941175</v>
      </c>
      <c r="T896" s="3">
        <v>0</v>
      </c>
      <c r="U896" s="3">
        <v>-4</v>
      </c>
    </row>
    <row r="897" spans="1:21" x14ac:dyDescent="0.35">
      <c r="A897" t="s">
        <v>872</v>
      </c>
      <c r="B897" t="s">
        <v>774</v>
      </c>
      <c r="C897" t="s">
        <v>770</v>
      </c>
      <c r="D897">
        <v>2011</v>
      </c>
      <c r="E897">
        <v>175</v>
      </c>
      <c r="F897" t="s">
        <v>863</v>
      </c>
      <c r="G897" t="s">
        <v>829</v>
      </c>
      <c r="H897" t="s">
        <v>868</v>
      </c>
      <c r="I897" t="s">
        <v>871</v>
      </c>
      <c r="J897" t="s">
        <v>869</v>
      </c>
      <c r="K897" t="s">
        <v>394</v>
      </c>
      <c r="M897" t="s">
        <v>348</v>
      </c>
      <c r="N897" t="s">
        <v>538</v>
      </c>
      <c r="O897" t="s">
        <v>768</v>
      </c>
      <c r="P897" t="s">
        <v>767</v>
      </c>
      <c r="Q897" t="s">
        <v>230</v>
      </c>
      <c r="R897">
        <v>45</v>
      </c>
      <c r="S897" s="3">
        <f>1/0.64</f>
        <v>1.5625</v>
      </c>
      <c r="T897" s="3">
        <v>0</v>
      </c>
      <c r="U897" s="3">
        <v>-6</v>
      </c>
    </row>
    <row r="898" spans="1:21" x14ac:dyDescent="0.35">
      <c r="A898" t="s">
        <v>872</v>
      </c>
      <c r="B898" t="s">
        <v>774</v>
      </c>
      <c r="C898" t="s">
        <v>770</v>
      </c>
      <c r="D898">
        <v>2011</v>
      </c>
      <c r="E898">
        <v>175</v>
      </c>
      <c r="F898" t="s">
        <v>863</v>
      </c>
      <c r="G898" t="s">
        <v>829</v>
      </c>
      <c r="H898" t="s">
        <v>868</v>
      </c>
      <c r="I898" t="s">
        <v>871</v>
      </c>
      <c r="J898" t="s">
        <v>869</v>
      </c>
      <c r="K898" t="s">
        <v>394</v>
      </c>
      <c r="M898" t="s">
        <v>348</v>
      </c>
      <c r="N898" t="s">
        <v>538</v>
      </c>
      <c r="O898" t="s">
        <v>768</v>
      </c>
      <c r="P898" t="s">
        <v>767</v>
      </c>
      <c r="Q898" t="s">
        <v>230</v>
      </c>
      <c r="R898">
        <v>60</v>
      </c>
      <c r="S898" s="3">
        <f>1/0.58</f>
        <v>1.7241379310344829</v>
      </c>
      <c r="T898" s="3">
        <v>0</v>
      </c>
      <c r="U898" s="3">
        <v>-8</v>
      </c>
    </row>
    <row r="899" spans="1:21" x14ac:dyDescent="0.35">
      <c r="A899" t="s">
        <v>872</v>
      </c>
      <c r="B899" t="s">
        <v>398</v>
      </c>
      <c r="C899" t="s">
        <v>770</v>
      </c>
      <c r="D899">
        <v>2012</v>
      </c>
      <c r="E899">
        <v>176</v>
      </c>
      <c r="F899" t="s">
        <v>863</v>
      </c>
      <c r="G899" t="s">
        <v>829</v>
      </c>
      <c r="H899" t="s">
        <v>868</v>
      </c>
      <c r="I899" t="s">
        <v>871</v>
      </c>
      <c r="J899" t="s">
        <v>869</v>
      </c>
      <c r="K899" t="s">
        <v>394</v>
      </c>
      <c r="M899" t="s">
        <v>348</v>
      </c>
      <c r="N899" t="s">
        <v>538</v>
      </c>
      <c r="O899" t="s">
        <v>626</v>
      </c>
      <c r="P899" t="s">
        <v>124</v>
      </c>
      <c r="Q899" t="s">
        <v>230</v>
      </c>
      <c r="R899">
        <v>0</v>
      </c>
      <c r="S899" s="3">
        <f>1/1.18</f>
        <v>0.84745762711864414</v>
      </c>
      <c r="T899" s="3">
        <v>0</v>
      </c>
      <c r="U899" s="3">
        <v>0</v>
      </c>
    </row>
    <row r="900" spans="1:21" x14ac:dyDescent="0.35">
      <c r="A900" t="s">
        <v>872</v>
      </c>
      <c r="B900" t="s">
        <v>398</v>
      </c>
      <c r="C900" t="s">
        <v>770</v>
      </c>
      <c r="D900">
        <v>2012</v>
      </c>
      <c r="E900">
        <v>176</v>
      </c>
      <c r="F900" t="s">
        <v>863</v>
      </c>
      <c r="G900" t="s">
        <v>829</v>
      </c>
      <c r="H900" t="s">
        <v>868</v>
      </c>
      <c r="I900" t="s">
        <v>871</v>
      </c>
      <c r="J900" t="s">
        <v>869</v>
      </c>
      <c r="K900" t="s">
        <v>394</v>
      </c>
      <c r="M900" t="s">
        <v>348</v>
      </c>
      <c r="N900" t="s">
        <v>538</v>
      </c>
      <c r="O900" t="s">
        <v>626</v>
      </c>
      <c r="P900" t="s">
        <v>124</v>
      </c>
      <c r="Q900" t="s">
        <v>230</v>
      </c>
      <c r="R900">
        <v>12</v>
      </c>
      <c r="S900" s="3">
        <f>1/1.16</f>
        <v>0.86206896551724144</v>
      </c>
      <c r="T900" s="3">
        <v>-0.2</v>
      </c>
      <c r="U900" s="3">
        <v>-2</v>
      </c>
    </row>
    <row r="901" spans="1:21" x14ac:dyDescent="0.35">
      <c r="A901" t="s">
        <v>872</v>
      </c>
      <c r="B901" t="s">
        <v>398</v>
      </c>
      <c r="C901" t="s">
        <v>770</v>
      </c>
      <c r="D901">
        <v>2012</v>
      </c>
      <c r="E901">
        <v>176</v>
      </c>
      <c r="F901" t="s">
        <v>863</v>
      </c>
      <c r="G901" t="s">
        <v>829</v>
      </c>
      <c r="H901" t="s">
        <v>868</v>
      </c>
      <c r="I901" t="s">
        <v>871</v>
      </c>
      <c r="J901" t="s">
        <v>869</v>
      </c>
      <c r="K901" t="s">
        <v>394</v>
      </c>
      <c r="M901" t="s">
        <v>348</v>
      </c>
      <c r="N901" t="s">
        <v>538</v>
      </c>
      <c r="O901" t="s">
        <v>626</v>
      </c>
      <c r="P901" t="s">
        <v>124</v>
      </c>
      <c r="Q901" t="s">
        <v>230</v>
      </c>
      <c r="R901">
        <v>24</v>
      </c>
      <c r="S901" s="3">
        <f>1/1.06</f>
        <v>0.94339622641509424</v>
      </c>
      <c r="T901" s="3">
        <v>-0.5</v>
      </c>
      <c r="U901" s="3">
        <v>-4</v>
      </c>
    </row>
    <row r="902" spans="1:21" x14ac:dyDescent="0.35">
      <c r="A902" t="s">
        <v>872</v>
      </c>
      <c r="B902" t="s">
        <v>398</v>
      </c>
      <c r="C902" t="s">
        <v>770</v>
      </c>
      <c r="D902">
        <v>2012</v>
      </c>
      <c r="E902">
        <v>176</v>
      </c>
      <c r="F902" t="s">
        <v>863</v>
      </c>
      <c r="G902" t="s">
        <v>829</v>
      </c>
      <c r="H902" t="s">
        <v>868</v>
      </c>
      <c r="I902" t="s">
        <v>871</v>
      </c>
      <c r="J902" t="s">
        <v>869</v>
      </c>
      <c r="K902" t="s">
        <v>394</v>
      </c>
      <c r="M902" t="s">
        <v>348</v>
      </c>
      <c r="N902" t="s">
        <v>538</v>
      </c>
      <c r="O902" t="s">
        <v>626</v>
      </c>
      <c r="P902" t="s">
        <v>124</v>
      </c>
      <c r="Q902" t="s">
        <v>230</v>
      </c>
      <c r="R902">
        <v>36</v>
      </c>
      <c r="S902" s="3">
        <f>1/1.06</f>
        <v>0.94339622641509424</v>
      </c>
      <c r="T902" s="3">
        <v>-0.7</v>
      </c>
      <c r="U902" s="3">
        <v>-6</v>
      </c>
    </row>
    <row r="903" spans="1:21" x14ac:dyDescent="0.35">
      <c r="A903" t="s">
        <v>872</v>
      </c>
      <c r="B903" t="s">
        <v>398</v>
      </c>
      <c r="C903" t="s">
        <v>770</v>
      </c>
      <c r="D903">
        <v>2012</v>
      </c>
      <c r="E903">
        <v>176</v>
      </c>
      <c r="F903" t="s">
        <v>863</v>
      </c>
      <c r="G903" t="s">
        <v>829</v>
      </c>
      <c r="H903" t="s">
        <v>868</v>
      </c>
      <c r="I903" t="s">
        <v>871</v>
      </c>
      <c r="J903" t="s">
        <v>869</v>
      </c>
      <c r="K903" t="s">
        <v>394</v>
      </c>
      <c r="M903" t="s">
        <v>348</v>
      </c>
      <c r="N903" t="s">
        <v>538</v>
      </c>
      <c r="O903" t="s">
        <v>626</v>
      </c>
      <c r="P903" t="s">
        <v>124</v>
      </c>
      <c r="Q903" t="s">
        <v>230</v>
      </c>
      <c r="R903">
        <v>48</v>
      </c>
      <c r="S903" s="3">
        <f>1/0.98</f>
        <v>1.0204081632653061</v>
      </c>
      <c r="T903" s="3">
        <v>-1</v>
      </c>
      <c r="U903" s="3">
        <v>-8</v>
      </c>
    </row>
    <row r="904" spans="1:21" x14ac:dyDescent="0.35">
      <c r="A904" t="s">
        <v>872</v>
      </c>
      <c r="B904" t="s">
        <v>522</v>
      </c>
      <c r="C904" t="s">
        <v>770</v>
      </c>
      <c r="D904">
        <v>2012</v>
      </c>
      <c r="E904">
        <v>177</v>
      </c>
      <c r="F904" t="s">
        <v>600</v>
      </c>
      <c r="G904" t="s">
        <v>829</v>
      </c>
      <c r="H904" t="s">
        <v>873</v>
      </c>
      <c r="K904" t="s">
        <v>378</v>
      </c>
      <c r="L904" t="s">
        <v>874</v>
      </c>
      <c r="M904" t="s">
        <v>348</v>
      </c>
      <c r="N904" t="s">
        <v>538</v>
      </c>
      <c r="O904" t="s">
        <v>768</v>
      </c>
      <c r="P904" t="s">
        <v>767</v>
      </c>
      <c r="Q904" t="s">
        <v>230</v>
      </c>
      <c r="R904">
        <v>0</v>
      </c>
      <c r="S904" s="3">
        <f>1/0.84</f>
        <v>1.1904761904761905</v>
      </c>
      <c r="T904" s="3">
        <v>0</v>
      </c>
      <c r="U904" s="3">
        <v>0</v>
      </c>
    </row>
    <row r="905" spans="1:21" x14ac:dyDescent="0.35">
      <c r="A905" t="s">
        <v>872</v>
      </c>
      <c r="B905" t="s">
        <v>522</v>
      </c>
      <c r="C905" t="s">
        <v>770</v>
      </c>
      <c r="D905">
        <v>2012</v>
      </c>
      <c r="E905">
        <v>177</v>
      </c>
      <c r="F905" t="s">
        <v>600</v>
      </c>
      <c r="G905" t="s">
        <v>829</v>
      </c>
      <c r="H905" t="s">
        <v>873</v>
      </c>
      <c r="K905" t="s">
        <v>378</v>
      </c>
      <c r="L905" t="s">
        <v>874</v>
      </c>
      <c r="M905" t="s">
        <v>348</v>
      </c>
      <c r="N905" t="s">
        <v>538</v>
      </c>
      <c r="O905" t="s">
        <v>768</v>
      </c>
      <c r="P905" t="s">
        <v>767</v>
      </c>
      <c r="Q905" t="s">
        <v>230</v>
      </c>
      <c r="R905">
        <v>70</v>
      </c>
      <c r="S905" s="3">
        <f>1/0.93</f>
        <v>1.075268817204301</v>
      </c>
      <c r="T905" s="3">
        <v>3.5</v>
      </c>
      <c r="U905" s="3">
        <v>-6</v>
      </c>
    </row>
    <row r="906" spans="1:21" x14ac:dyDescent="0.35">
      <c r="A906" t="s">
        <v>872</v>
      </c>
      <c r="B906" t="s">
        <v>522</v>
      </c>
      <c r="C906" t="s">
        <v>770</v>
      </c>
      <c r="D906">
        <v>2012</v>
      </c>
      <c r="E906">
        <v>177</v>
      </c>
      <c r="F906" t="s">
        <v>600</v>
      </c>
      <c r="G906" t="s">
        <v>829</v>
      </c>
      <c r="H906" t="s">
        <v>873</v>
      </c>
      <c r="K906" t="s">
        <v>378</v>
      </c>
      <c r="L906" t="s">
        <v>874</v>
      </c>
      <c r="M906" t="s">
        <v>348</v>
      </c>
      <c r="N906" t="s">
        <v>538</v>
      </c>
      <c r="O906" t="s">
        <v>768</v>
      </c>
      <c r="P906" t="s">
        <v>767</v>
      </c>
      <c r="Q906" t="s">
        <v>230</v>
      </c>
      <c r="R906">
        <v>80</v>
      </c>
      <c r="S906" s="3">
        <f>1/0.89</f>
        <v>1.1235955056179776</v>
      </c>
      <c r="T906" s="3">
        <v>4</v>
      </c>
      <c r="U906" s="3">
        <v>-7</v>
      </c>
    </row>
    <row r="907" spans="1:21" x14ac:dyDescent="0.35">
      <c r="A907" t="s">
        <v>872</v>
      </c>
      <c r="B907" t="s">
        <v>522</v>
      </c>
      <c r="C907" t="s">
        <v>770</v>
      </c>
      <c r="D907">
        <v>2012</v>
      </c>
      <c r="E907">
        <v>177</v>
      </c>
      <c r="F907" t="s">
        <v>600</v>
      </c>
      <c r="G907" t="s">
        <v>829</v>
      </c>
      <c r="H907" t="s">
        <v>873</v>
      </c>
      <c r="K907" t="s">
        <v>378</v>
      </c>
      <c r="L907" t="s">
        <v>874</v>
      </c>
      <c r="M907" t="s">
        <v>348</v>
      </c>
      <c r="N907" t="s">
        <v>538</v>
      </c>
      <c r="O907" t="s">
        <v>768</v>
      </c>
      <c r="P907" t="s">
        <v>767</v>
      </c>
      <c r="Q907" t="s">
        <v>230</v>
      </c>
      <c r="R907">
        <v>90</v>
      </c>
      <c r="S907" s="3">
        <f>1/0.85</f>
        <v>1.1764705882352942</v>
      </c>
      <c r="T907" s="3">
        <v>4.5</v>
      </c>
      <c r="U907" s="3">
        <v>-8</v>
      </c>
    </row>
    <row r="908" spans="1:21" x14ac:dyDescent="0.35">
      <c r="A908" t="s">
        <v>872</v>
      </c>
      <c r="B908" t="s">
        <v>522</v>
      </c>
      <c r="C908" t="s">
        <v>770</v>
      </c>
      <c r="D908">
        <v>2012</v>
      </c>
      <c r="E908">
        <v>177</v>
      </c>
      <c r="F908" t="s">
        <v>600</v>
      </c>
      <c r="G908" t="s">
        <v>829</v>
      </c>
      <c r="H908" t="s">
        <v>873</v>
      </c>
      <c r="K908" t="s">
        <v>378</v>
      </c>
      <c r="L908" t="s">
        <v>874</v>
      </c>
      <c r="M908" t="s">
        <v>348</v>
      </c>
      <c r="N908" t="s">
        <v>538</v>
      </c>
      <c r="O908" t="s">
        <v>768</v>
      </c>
      <c r="P908" t="s">
        <v>767</v>
      </c>
      <c r="Q908" t="s">
        <v>230</v>
      </c>
      <c r="R908">
        <v>100</v>
      </c>
      <c r="S908" s="3">
        <f>1/0.8</f>
        <v>1.25</v>
      </c>
      <c r="T908" s="3">
        <v>5</v>
      </c>
      <c r="U908" s="3">
        <v>-9</v>
      </c>
    </row>
    <row r="909" spans="1:21" x14ac:dyDescent="0.35">
      <c r="A909" t="s">
        <v>876</v>
      </c>
      <c r="B909" t="s">
        <v>774</v>
      </c>
      <c r="C909" t="s">
        <v>770</v>
      </c>
      <c r="D909">
        <v>2009</v>
      </c>
      <c r="E909">
        <v>178</v>
      </c>
      <c r="F909" t="s">
        <v>600</v>
      </c>
      <c r="G909" t="s">
        <v>829</v>
      </c>
      <c r="H909" t="s">
        <v>877</v>
      </c>
      <c r="K909" t="s">
        <v>394</v>
      </c>
      <c r="M909" t="s">
        <v>348</v>
      </c>
      <c r="N909" t="s">
        <v>538</v>
      </c>
      <c r="O909" t="s">
        <v>879</v>
      </c>
      <c r="P909" t="s">
        <v>878</v>
      </c>
      <c r="Q909" t="s">
        <v>230</v>
      </c>
      <c r="R909">
        <v>0</v>
      </c>
      <c r="S909" s="3">
        <f>1/1.07</f>
        <v>0.93457943925233644</v>
      </c>
      <c r="T909" s="3">
        <v>0</v>
      </c>
      <c r="U909">
        <v>0</v>
      </c>
    </row>
    <row r="910" spans="1:21" x14ac:dyDescent="0.35">
      <c r="A910" t="s">
        <v>876</v>
      </c>
      <c r="B910" t="s">
        <v>774</v>
      </c>
      <c r="C910" t="s">
        <v>770</v>
      </c>
      <c r="D910">
        <v>2009</v>
      </c>
      <c r="E910">
        <v>178</v>
      </c>
      <c r="F910" t="s">
        <v>600</v>
      </c>
      <c r="G910" t="s">
        <v>829</v>
      </c>
      <c r="H910" t="s">
        <v>877</v>
      </c>
      <c r="K910" t="s">
        <v>394</v>
      </c>
      <c r="M910" t="s">
        <v>348</v>
      </c>
      <c r="N910" t="s">
        <v>538</v>
      </c>
      <c r="O910" t="s">
        <v>879</v>
      </c>
      <c r="P910" t="s">
        <v>878</v>
      </c>
      <c r="Q910" t="s">
        <v>230</v>
      </c>
      <c r="R910">
        <v>30</v>
      </c>
      <c r="S910" s="3">
        <f>1/0.93</f>
        <v>1.075268817204301</v>
      </c>
      <c r="T910" s="3">
        <v>1</v>
      </c>
      <c r="U910" s="3">
        <v>-7</v>
      </c>
    </row>
    <row r="911" spans="1:21" x14ac:dyDescent="0.35">
      <c r="A911" t="s">
        <v>876</v>
      </c>
      <c r="B911" t="s">
        <v>774</v>
      </c>
      <c r="C911" t="s">
        <v>770</v>
      </c>
      <c r="D911">
        <v>2009</v>
      </c>
      <c r="E911">
        <v>178</v>
      </c>
      <c r="F911" t="s">
        <v>600</v>
      </c>
      <c r="G911" t="s">
        <v>829</v>
      </c>
      <c r="H911" t="s">
        <v>877</v>
      </c>
      <c r="K911" t="s">
        <v>378</v>
      </c>
      <c r="L911" t="s">
        <v>875</v>
      </c>
      <c r="M911" t="s">
        <v>348</v>
      </c>
      <c r="N911" t="s">
        <v>538</v>
      </c>
      <c r="O911" t="s">
        <v>879</v>
      </c>
      <c r="P911" t="s">
        <v>878</v>
      </c>
      <c r="Q911" t="s">
        <v>230</v>
      </c>
      <c r="R911">
        <v>30</v>
      </c>
      <c r="S911" s="3">
        <f>1/0.96</f>
        <v>1.0416666666666667</v>
      </c>
      <c r="T911" s="3">
        <v>1</v>
      </c>
      <c r="U911" s="3">
        <v>-7</v>
      </c>
    </row>
    <row r="912" spans="1:21" x14ac:dyDescent="0.35">
      <c r="A912" t="s">
        <v>876</v>
      </c>
      <c r="B912" t="s">
        <v>774</v>
      </c>
      <c r="C912" t="s">
        <v>770</v>
      </c>
      <c r="D912">
        <v>2009</v>
      </c>
      <c r="E912">
        <v>178</v>
      </c>
      <c r="F912" t="s">
        <v>600</v>
      </c>
      <c r="G912" t="s">
        <v>829</v>
      </c>
      <c r="H912" t="s">
        <v>877</v>
      </c>
      <c r="K912" t="s">
        <v>378</v>
      </c>
      <c r="L912" t="s">
        <v>875</v>
      </c>
      <c r="M912" t="s">
        <v>348</v>
      </c>
      <c r="N912" t="s">
        <v>538</v>
      </c>
      <c r="O912" t="s">
        <v>879</v>
      </c>
      <c r="P912" t="s">
        <v>878</v>
      </c>
      <c r="Q912" t="s">
        <v>230</v>
      </c>
      <c r="R912">
        <v>30</v>
      </c>
      <c r="S912" s="3">
        <f>1/1.03</f>
        <v>0.970873786407767</v>
      </c>
      <c r="T912" s="3">
        <v>1</v>
      </c>
      <c r="U912" s="3">
        <v>-7</v>
      </c>
    </row>
    <row r="913" spans="1:21" x14ac:dyDescent="0.35">
      <c r="A913" t="s">
        <v>876</v>
      </c>
      <c r="B913" t="s">
        <v>774</v>
      </c>
      <c r="C913" t="s">
        <v>770</v>
      </c>
      <c r="D913">
        <v>2009</v>
      </c>
      <c r="E913">
        <v>178</v>
      </c>
      <c r="F913" t="s">
        <v>600</v>
      </c>
      <c r="G913" t="s">
        <v>829</v>
      </c>
      <c r="H913" t="s">
        <v>877</v>
      </c>
      <c r="K913" t="s">
        <v>378</v>
      </c>
      <c r="L913" t="s">
        <v>875</v>
      </c>
      <c r="M913" t="s">
        <v>348</v>
      </c>
      <c r="N913" t="s">
        <v>538</v>
      </c>
      <c r="O913" t="s">
        <v>879</v>
      </c>
      <c r="P913" t="s">
        <v>878</v>
      </c>
      <c r="Q913" t="s">
        <v>230</v>
      </c>
      <c r="R913">
        <v>40</v>
      </c>
      <c r="S913" s="3">
        <f>1/0.93</f>
        <v>1.075268817204301</v>
      </c>
      <c r="T913" s="3">
        <v>1.5</v>
      </c>
      <c r="U913" s="3">
        <v>-9.5</v>
      </c>
    </row>
    <row r="914" spans="1:21" x14ac:dyDescent="0.35">
      <c r="A914" t="s">
        <v>876</v>
      </c>
      <c r="B914" t="s">
        <v>774</v>
      </c>
      <c r="C914" t="s">
        <v>770</v>
      </c>
      <c r="D914">
        <v>2009</v>
      </c>
      <c r="E914">
        <v>178</v>
      </c>
      <c r="F914" t="s">
        <v>600</v>
      </c>
      <c r="G914" t="s">
        <v>829</v>
      </c>
      <c r="H914" t="s">
        <v>877</v>
      </c>
      <c r="K914" t="s">
        <v>378</v>
      </c>
      <c r="L914" t="s">
        <v>875</v>
      </c>
      <c r="M914" t="s">
        <v>348</v>
      </c>
      <c r="N914" t="s">
        <v>538</v>
      </c>
      <c r="O914" t="s">
        <v>879</v>
      </c>
      <c r="P914" t="s">
        <v>878</v>
      </c>
      <c r="Q914" t="s">
        <v>230</v>
      </c>
      <c r="R914">
        <v>40</v>
      </c>
      <c r="S914" s="3">
        <f>1/0.98</f>
        <v>1.0204081632653061</v>
      </c>
      <c r="T914" s="3">
        <v>1.5</v>
      </c>
      <c r="U914" s="3">
        <v>-9.5</v>
      </c>
    </row>
    <row r="915" spans="1:21" x14ac:dyDescent="0.35">
      <c r="A915" t="s">
        <v>876</v>
      </c>
      <c r="B915" t="s">
        <v>774</v>
      </c>
      <c r="C915" t="s">
        <v>770</v>
      </c>
      <c r="D915">
        <v>2009</v>
      </c>
      <c r="E915">
        <v>178</v>
      </c>
      <c r="F915" t="s">
        <v>600</v>
      </c>
      <c r="G915" t="s">
        <v>829</v>
      </c>
      <c r="H915" t="s">
        <v>877</v>
      </c>
      <c r="K915" t="s">
        <v>378</v>
      </c>
      <c r="L915" t="s">
        <v>875</v>
      </c>
      <c r="M915" t="s">
        <v>348</v>
      </c>
      <c r="N915" t="s">
        <v>538</v>
      </c>
      <c r="O915" t="s">
        <v>879</v>
      </c>
      <c r="P915" t="s">
        <v>878</v>
      </c>
      <c r="Q915" t="s">
        <v>230</v>
      </c>
      <c r="R915">
        <v>40</v>
      </c>
      <c r="S915" s="3">
        <f>1/0.98</f>
        <v>1.0204081632653061</v>
      </c>
      <c r="T915" s="3">
        <v>1.5</v>
      </c>
      <c r="U915" s="3">
        <v>-9.5</v>
      </c>
    </row>
    <row r="916" spans="1:21" x14ac:dyDescent="0.35">
      <c r="A916" t="s">
        <v>876</v>
      </c>
      <c r="B916" t="s">
        <v>473</v>
      </c>
      <c r="C916" t="s">
        <v>770</v>
      </c>
      <c r="D916">
        <v>2009</v>
      </c>
      <c r="E916">
        <v>179</v>
      </c>
      <c r="F916" t="s">
        <v>600</v>
      </c>
      <c r="G916" t="s">
        <v>829</v>
      </c>
      <c r="H916" t="s">
        <v>877</v>
      </c>
      <c r="K916" t="s">
        <v>394</v>
      </c>
      <c r="M916" t="s">
        <v>348</v>
      </c>
      <c r="N916" t="s">
        <v>538</v>
      </c>
      <c r="O916" t="s">
        <v>879</v>
      </c>
      <c r="P916" t="s">
        <v>878</v>
      </c>
      <c r="Q916" t="s">
        <v>230</v>
      </c>
      <c r="R916">
        <v>0</v>
      </c>
      <c r="S916" s="3">
        <f>1/1.08</f>
        <v>0.92592592592592582</v>
      </c>
      <c r="T916" s="3">
        <v>0</v>
      </c>
      <c r="U916" s="3">
        <v>0</v>
      </c>
    </row>
    <row r="917" spans="1:21" x14ac:dyDescent="0.35">
      <c r="A917" t="s">
        <v>876</v>
      </c>
      <c r="B917" t="s">
        <v>473</v>
      </c>
      <c r="C917" t="s">
        <v>770</v>
      </c>
      <c r="D917">
        <v>2009</v>
      </c>
      <c r="E917">
        <v>179</v>
      </c>
      <c r="F917" t="s">
        <v>600</v>
      </c>
      <c r="G917" t="s">
        <v>829</v>
      </c>
      <c r="H917" t="s">
        <v>877</v>
      </c>
      <c r="K917" t="s">
        <v>394</v>
      </c>
      <c r="M917" t="s">
        <v>348</v>
      </c>
      <c r="N917" t="s">
        <v>538</v>
      </c>
      <c r="O917" t="s">
        <v>879</v>
      </c>
      <c r="P917" t="s">
        <v>878</v>
      </c>
      <c r="Q917" t="s">
        <v>230</v>
      </c>
      <c r="R917">
        <v>20</v>
      </c>
      <c r="S917" s="3">
        <f>1/1.007</f>
        <v>0.99304865938430997</v>
      </c>
      <c r="T917" s="3">
        <v>0.5</v>
      </c>
      <c r="U917" s="3">
        <v>-6</v>
      </c>
    </row>
    <row r="918" spans="1:21" x14ac:dyDescent="0.35">
      <c r="A918" t="s">
        <v>876</v>
      </c>
      <c r="B918" t="s">
        <v>473</v>
      </c>
      <c r="C918" t="s">
        <v>770</v>
      </c>
      <c r="D918">
        <v>2009</v>
      </c>
      <c r="E918">
        <v>179</v>
      </c>
      <c r="F918" t="s">
        <v>600</v>
      </c>
      <c r="G918" t="s">
        <v>829</v>
      </c>
      <c r="H918" t="s">
        <v>877</v>
      </c>
      <c r="K918" t="s">
        <v>394</v>
      </c>
      <c r="M918" t="s">
        <v>348</v>
      </c>
      <c r="N918" t="s">
        <v>538</v>
      </c>
      <c r="O918" t="s">
        <v>879</v>
      </c>
      <c r="P918" t="s">
        <v>878</v>
      </c>
      <c r="Q918" t="s">
        <v>230</v>
      </c>
      <c r="R918">
        <v>40</v>
      </c>
      <c r="S918" s="3">
        <f>1/0.9</f>
        <v>1.1111111111111112</v>
      </c>
      <c r="T918" s="3">
        <v>1</v>
      </c>
      <c r="U918" s="3">
        <v>-10</v>
      </c>
    </row>
    <row r="919" spans="1:21" x14ac:dyDescent="0.35">
      <c r="A919" t="s">
        <v>876</v>
      </c>
      <c r="B919" t="s">
        <v>473</v>
      </c>
      <c r="C919" t="s">
        <v>770</v>
      </c>
      <c r="D919">
        <v>2009</v>
      </c>
      <c r="E919">
        <v>179</v>
      </c>
      <c r="F919" t="s">
        <v>600</v>
      </c>
      <c r="G919" t="s">
        <v>829</v>
      </c>
      <c r="H919" t="s">
        <v>877</v>
      </c>
      <c r="K919" t="s">
        <v>378</v>
      </c>
      <c r="L919" t="s">
        <v>875</v>
      </c>
      <c r="M919" t="s">
        <v>348</v>
      </c>
      <c r="N919" t="s">
        <v>538</v>
      </c>
      <c r="O919" t="s">
        <v>879</v>
      </c>
      <c r="P919" t="s">
        <v>878</v>
      </c>
      <c r="Q919" t="s">
        <v>230</v>
      </c>
      <c r="R919">
        <v>40</v>
      </c>
      <c r="S919" s="3">
        <f>1/1.014</f>
        <v>0.98619329388560162</v>
      </c>
      <c r="T919" s="3">
        <v>1.5</v>
      </c>
      <c r="U919" s="3">
        <v>-10.5</v>
      </c>
    </row>
    <row r="920" spans="1:21" x14ac:dyDescent="0.35">
      <c r="A920" t="s">
        <v>876</v>
      </c>
      <c r="B920" t="s">
        <v>473</v>
      </c>
      <c r="C920" t="s">
        <v>770</v>
      </c>
      <c r="D920">
        <v>2009</v>
      </c>
      <c r="E920">
        <v>179</v>
      </c>
      <c r="F920" t="s">
        <v>600</v>
      </c>
      <c r="G920" t="s">
        <v>829</v>
      </c>
      <c r="H920" t="s">
        <v>877</v>
      </c>
      <c r="K920" t="s">
        <v>378</v>
      </c>
      <c r="L920" t="s">
        <v>875</v>
      </c>
      <c r="M920" t="s">
        <v>348</v>
      </c>
      <c r="N920" t="s">
        <v>538</v>
      </c>
      <c r="O920" t="s">
        <v>879</v>
      </c>
      <c r="P920" t="s">
        <v>878</v>
      </c>
      <c r="Q920" t="s">
        <v>230</v>
      </c>
      <c r="R920">
        <v>40</v>
      </c>
      <c r="S920" s="3">
        <f>1/1.051</f>
        <v>0.95147478591817325</v>
      </c>
      <c r="T920" s="3">
        <v>1.5</v>
      </c>
      <c r="U920" s="3">
        <v>-11.5</v>
      </c>
    </row>
    <row r="921" spans="1:21" x14ac:dyDescent="0.35">
      <c r="A921" t="s">
        <v>876</v>
      </c>
      <c r="B921" t="s">
        <v>473</v>
      </c>
      <c r="C921" t="s">
        <v>770</v>
      </c>
      <c r="D921">
        <v>2009</v>
      </c>
      <c r="E921">
        <v>179</v>
      </c>
      <c r="F921" t="s">
        <v>600</v>
      </c>
      <c r="G921" t="s">
        <v>829</v>
      </c>
      <c r="H921" t="s">
        <v>877</v>
      </c>
      <c r="K921" t="s">
        <v>394</v>
      </c>
      <c r="M921" t="s">
        <v>348</v>
      </c>
      <c r="N921" t="s">
        <v>538</v>
      </c>
      <c r="O921" t="s">
        <v>879</v>
      </c>
      <c r="P921" t="s">
        <v>878</v>
      </c>
      <c r="Q921" t="s">
        <v>230</v>
      </c>
      <c r="R921">
        <v>60</v>
      </c>
      <c r="S921" s="3">
        <f>1/0.813</f>
        <v>1.2300123001230012</v>
      </c>
      <c r="T921" s="3">
        <v>2</v>
      </c>
      <c r="U921" s="3">
        <v>-14</v>
      </c>
    </row>
    <row r="922" spans="1:21" x14ac:dyDescent="0.35">
      <c r="A922" t="s">
        <v>876</v>
      </c>
      <c r="B922" t="s">
        <v>473</v>
      </c>
      <c r="C922" t="s">
        <v>770</v>
      </c>
      <c r="D922">
        <v>2009</v>
      </c>
      <c r="E922">
        <v>179</v>
      </c>
      <c r="F922" t="s">
        <v>600</v>
      </c>
      <c r="G922" t="s">
        <v>829</v>
      </c>
      <c r="H922" t="s">
        <v>877</v>
      </c>
      <c r="K922" t="s">
        <v>378</v>
      </c>
      <c r="L922" t="s">
        <v>875</v>
      </c>
      <c r="M922" t="s">
        <v>348</v>
      </c>
      <c r="N922" t="s">
        <v>538</v>
      </c>
      <c r="O922" t="s">
        <v>879</v>
      </c>
      <c r="P922" t="s">
        <v>878</v>
      </c>
      <c r="Q922" t="s">
        <v>230</v>
      </c>
      <c r="R922">
        <v>60</v>
      </c>
      <c r="S922" s="3">
        <f>1/0.959</f>
        <v>1.0427528675703859</v>
      </c>
      <c r="T922" s="3">
        <v>1.5</v>
      </c>
      <c r="U922" s="3">
        <v>-15</v>
      </c>
    </row>
    <row r="923" spans="1:21" x14ac:dyDescent="0.35">
      <c r="A923" t="s">
        <v>876</v>
      </c>
      <c r="B923" t="s">
        <v>473</v>
      </c>
      <c r="C923" t="s">
        <v>770</v>
      </c>
      <c r="D923">
        <v>2009</v>
      </c>
      <c r="E923">
        <v>179</v>
      </c>
      <c r="F923" t="s">
        <v>600</v>
      </c>
      <c r="G923" t="s">
        <v>829</v>
      </c>
      <c r="H923" t="s">
        <v>877</v>
      </c>
      <c r="K923" t="s">
        <v>378</v>
      </c>
      <c r="L923" t="s">
        <v>875</v>
      </c>
      <c r="M923" t="s">
        <v>348</v>
      </c>
      <c r="N923" t="s">
        <v>538</v>
      </c>
      <c r="O923" t="s">
        <v>879</v>
      </c>
      <c r="P923" t="s">
        <v>878</v>
      </c>
      <c r="Q923" t="s">
        <v>230</v>
      </c>
      <c r="R923">
        <v>60</v>
      </c>
      <c r="S923" s="3">
        <f>1/1.009</f>
        <v>0.99108027750247785</v>
      </c>
      <c r="T923" s="3">
        <v>0.5</v>
      </c>
      <c r="U923" s="3">
        <v>-15</v>
      </c>
    </row>
    <row r="924" spans="1:21" x14ac:dyDescent="0.35">
      <c r="A924" t="s">
        <v>880</v>
      </c>
      <c r="B924" t="s">
        <v>522</v>
      </c>
      <c r="C924" t="s">
        <v>797</v>
      </c>
      <c r="D924">
        <v>2012</v>
      </c>
      <c r="E924">
        <v>180</v>
      </c>
      <c r="F924" t="s">
        <v>600</v>
      </c>
      <c r="G924" t="s">
        <v>829</v>
      </c>
      <c r="H924" t="s">
        <v>881</v>
      </c>
      <c r="K924" t="s">
        <v>394</v>
      </c>
      <c r="M924" t="s">
        <v>348</v>
      </c>
      <c r="N924" t="s">
        <v>538</v>
      </c>
      <c r="O924" t="s">
        <v>95</v>
      </c>
      <c r="P924" t="s">
        <v>401</v>
      </c>
      <c r="Q924" t="s">
        <v>230</v>
      </c>
      <c r="R924">
        <v>0</v>
      </c>
      <c r="S924" s="3">
        <f>1/1.052</f>
        <v>0.9505703422053231</v>
      </c>
      <c r="T924" s="3">
        <v>0</v>
      </c>
      <c r="U924" s="3">
        <v>0</v>
      </c>
    </row>
    <row r="925" spans="1:21" x14ac:dyDescent="0.35">
      <c r="A925" t="s">
        <v>880</v>
      </c>
      <c r="B925" t="s">
        <v>522</v>
      </c>
      <c r="C925" t="s">
        <v>797</v>
      </c>
      <c r="D925">
        <v>2012</v>
      </c>
      <c r="E925">
        <v>180</v>
      </c>
      <c r="F925" t="s">
        <v>600</v>
      </c>
      <c r="G925" t="s">
        <v>829</v>
      </c>
      <c r="H925" t="s">
        <v>881</v>
      </c>
      <c r="K925" t="s">
        <v>394</v>
      </c>
      <c r="M925" t="s">
        <v>348</v>
      </c>
      <c r="N925" t="s">
        <v>538</v>
      </c>
      <c r="O925" t="s">
        <v>95</v>
      </c>
      <c r="P925" t="s">
        <v>401</v>
      </c>
      <c r="Q925" t="s">
        <v>230</v>
      </c>
      <c r="R925">
        <v>20</v>
      </c>
      <c r="S925" s="3">
        <f>1/1.034</f>
        <v>0.96711798839458407</v>
      </c>
      <c r="T925" s="3">
        <v>1</v>
      </c>
      <c r="U925" s="3">
        <v>-6.8</v>
      </c>
    </row>
    <row r="926" spans="1:21" x14ac:dyDescent="0.35">
      <c r="A926" t="s">
        <v>880</v>
      </c>
      <c r="B926" t="s">
        <v>522</v>
      </c>
      <c r="C926" t="s">
        <v>797</v>
      </c>
      <c r="D926">
        <v>2012</v>
      </c>
      <c r="E926">
        <v>180</v>
      </c>
      <c r="F926" t="s">
        <v>600</v>
      </c>
      <c r="G926" t="s">
        <v>829</v>
      </c>
      <c r="H926" t="s">
        <v>881</v>
      </c>
      <c r="K926" t="s">
        <v>394</v>
      </c>
      <c r="M926" t="s">
        <v>348</v>
      </c>
      <c r="N926" t="s">
        <v>538</v>
      </c>
      <c r="O926" t="s">
        <v>95</v>
      </c>
      <c r="P926" t="s">
        <v>401</v>
      </c>
      <c r="Q926" t="s">
        <v>230</v>
      </c>
      <c r="R926">
        <v>40</v>
      </c>
      <c r="S926" s="3">
        <f>1/0.971</f>
        <v>1.0298661174047374</v>
      </c>
      <c r="T926" s="3">
        <v>2.1</v>
      </c>
      <c r="U926" s="3">
        <v>-13.6</v>
      </c>
    </row>
    <row r="927" spans="1:21" x14ac:dyDescent="0.35">
      <c r="A927" t="s">
        <v>880</v>
      </c>
      <c r="B927" t="s">
        <v>522</v>
      </c>
      <c r="C927" t="s">
        <v>797</v>
      </c>
      <c r="D927">
        <v>2012</v>
      </c>
      <c r="E927">
        <v>180</v>
      </c>
      <c r="F927" t="s">
        <v>600</v>
      </c>
      <c r="G927" t="s">
        <v>829</v>
      </c>
      <c r="H927" t="s">
        <v>881</v>
      </c>
      <c r="K927" t="s">
        <v>394</v>
      </c>
      <c r="M927" t="s">
        <v>348</v>
      </c>
      <c r="N927" t="s">
        <v>538</v>
      </c>
      <c r="O927" t="s">
        <v>95</v>
      </c>
      <c r="P927" t="s">
        <v>401</v>
      </c>
      <c r="Q927" t="s">
        <v>230</v>
      </c>
      <c r="R927">
        <v>60</v>
      </c>
      <c r="S927" s="3">
        <f>1/0.821</f>
        <v>1.2180267965895251</v>
      </c>
      <c r="T927" s="3">
        <v>2.9</v>
      </c>
      <c r="U927" s="3">
        <v>-20</v>
      </c>
    </row>
    <row r="928" spans="1:21" x14ac:dyDescent="0.35">
      <c r="A928" t="s">
        <v>883</v>
      </c>
      <c r="B928" t="s">
        <v>522</v>
      </c>
      <c r="C928" t="s">
        <v>370</v>
      </c>
      <c r="D928">
        <v>2015</v>
      </c>
      <c r="E928">
        <v>181</v>
      </c>
      <c r="F928" t="s">
        <v>600</v>
      </c>
      <c r="G928" t="s">
        <v>829</v>
      </c>
      <c r="H928" t="s">
        <v>851</v>
      </c>
      <c r="K928" t="s">
        <v>378</v>
      </c>
      <c r="L928" t="s">
        <v>574</v>
      </c>
      <c r="M928" t="s">
        <v>348</v>
      </c>
      <c r="N928" t="s">
        <v>538</v>
      </c>
      <c r="O928" t="s">
        <v>884</v>
      </c>
      <c r="P928" t="s">
        <v>882</v>
      </c>
      <c r="Q928" t="s">
        <v>230</v>
      </c>
      <c r="R928">
        <v>0</v>
      </c>
      <c r="S928" s="3">
        <f>1/1.28</f>
        <v>0.78125</v>
      </c>
      <c r="T928" s="3">
        <v>0</v>
      </c>
      <c r="U928" s="3">
        <v>0</v>
      </c>
    </row>
    <row r="929" spans="1:21" x14ac:dyDescent="0.35">
      <c r="A929" t="s">
        <v>883</v>
      </c>
      <c r="B929" t="s">
        <v>522</v>
      </c>
      <c r="C929" t="s">
        <v>370</v>
      </c>
      <c r="D929">
        <v>2015</v>
      </c>
      <c r="E929">
        <v>181</v>
      </c>
      <c r="F929" t="s">
        <v>600</v>
      </c>
      <c r="G929" t="s">
        <v>829</v>
      </c>
      <c r="H929" t="s">
        <v>851</v>
      </c>
      <c r="K929" t="s">
        <v>378</v>
      </c>
      <c r="L929" t="s">
        <v>574</v>
      </c>
      <c r="M929" t="s">
        <v>348</v>
      </c>
      <c r="N929" t="s">
        <v>538</v>
      </c>
      <c r="O929" t="s">
        <v>884</v>
      </c>
      <c r="P929" t="s">
        <v>882</v>
      </c>
      <c r="Q929" t="s">
        <v>230</v>
      </c>
      <c r="R929">
        <v>20</v>
      </c>
      <c r="S929" s="3">
        <f>1/1.32</f>
        <v>0.75757575757575757</v>
      </c>
      <c r="T929" s="3">
        <v>1.1499999999999999</v>
      </c>
      <c r="U929" s="3">
        <v>0</v>
      </c>
    </row>
    <row r="930" spans="1:21" x14ac:dyDescent="0.35">
      <c r="A930" t="s">
        <v>883</v>
      </c>
      <c r="B930" t="s">
        <v>522</v>
      </c>
      <c r="C930" t="s">
        <v>370</v>
      </c>
      <c r="D930">
        <v>2015</v>
      </c>
      <c r="E930">
        <v>181</v>
      </c>
      <c r="F930" t="s">
        <v>600</v>
      </c>
      <c r="G930" t="s">
        <v>829</v>
      </c>
      <c r="H930" t="s">
        <v>851</v>
      </c>
      <c r="K930" t="s">
        <v>378</v>
      </c>
      <c r="L930" t="s">
        <v>574</v>
      </c>
      <c r="M930" t="s">
        <v>348</v>
      </c>
      <c r="N930" t="s">
        <v>538</v>
      </c>
      <c r="O930" t="s">
        <v>884</v>
      </c>
      <c r="P930" t="s">
        <v>882</v>
      </c>
      <c r="Q930" t="s">
        <v>230</v>
      </c>
      <c r="R930">
        <v>40</v>
      </c>
      <c r="S930" s="3">
        <f>1/1.32</f>
        <v>0.75757575757575757</v>
      </c>
      <c r="T930" s="3">
        <v>2.31</v>
      </c>
      <c r="U930" s="3">
        <v>0</v>
      </c>
    </row>
    <row r="931" spans="1:21" x14ac:dyDescent="0.35">
      <c r="A931" t="s">
        <v>883</v>
      </c>
      <c r="B931" t="s">
        <v>522</v>
      </c>
      <c r="C931" t="s">
        <v>370</v>
      </c>
      <c r="D931">
        <v>2015</v>
      </c>
      <c r="E931">
        <v>181</v>
      </c>
      <c r="F931" t="s">
        <v>600</v>
      </c>
      <c r="G931" t="s">
        <v>829</v>
      </c>
      <c r="H931" t="s">
        <v>851</v>
      </c>
      <c r="K931" t="s">
        <v>378</v>
      </c>
      <c r="L931" t="s">
        <v>574</v>
      </c>
      <c r="M931" t="s">
        <v>348</v>
      </c>
      <c r="N931" t="s">
        <v>538</v>
      </c>
      <c r="O931" t="s">
        <v>884</v>
      </c>
      <c r="P931" t="s">
        <v>882</v>
      </c>
      <c r="Q931" t="s">
        <v>230</v>
      </c>
      <c r="R931">
        <v>60</v>
      </c>
      <c r="S931" s="3">
        <f>1/1.25</f>
        <v>0.8</v>
      </c>
      <c r="T931" s="3">
        <v>3.47</v>
      </c>
      <c r="U931" s="3">
        <v>0</v>
      </c>
    </row>
    <row r="932" spans="1:21" x14ac:dyDescent="0.35">
      <c r="A932" t="s">
        <v>883</v>
      </c>
      <c r="B932" t="s">
        <v>522</v>
      </c>
      <c r="C932" t="s">
        <v>370</v>
      </c>
      <c r="D932">
        <v>2015</v>
      </c>
      <c r="E932">
        <v>181</v>
      </c>
      <c r="F932" t="s">
        <v>600</v>
      </c>
      <c r="G932" t="s">
        <v>829</v>
      </c>
      <c r="H932" t="s">
        <v>851</v>
      </c>
      <c r="K932" t="s">
        <v>378</v>
      </c>
      <c r="L932" t="s">
        <v>574</v>
      </c>
      <c r="M932" t="s">
        <v>348</v>
      </c>
      <c r="N932" t="s">
        <v>538</v>
      </c>
      <c r="O932" t="s">
        <v>884</v>
      </c>
      <c r="P932" t="s">
        <v>882</v>
      </c>
      <c r="Q932" t="s">
        <v>230</v>
      </c>
      <c r="R932">
        <v>80</v>
      </c>
      <c r="S932" s="3">
        <f>1/1.08</f>
        <v>0.92592592592592582</v>
      </c>
      <c r="T932" s="3">
        <v>4.62</v>
      </c>
      <c r="U932" s="3">
        <v>0</v>
      </c>
    </row>
    <row r="933" spans="1:21" x14ac:dyDescent="0.35">
      <c r="A933" t="s">
        <v>883</v>
      </c>
      <c r="B933" t="s">
        <v>522</v>
      </c>
      <c r="C933" t="s">
        <v>370</v>
      </c>
      <c r="D933">
        <v>2015</v>
      </c>
      <c r="E933">
        <v>181</v>
      </c>
      <c r="F933" t="s">
        <v>600</v>
      </c>
      <c r="G933" t="s">
        <v>829</v>
      </c>
      <c r="H933" t="s">
        <v>851</v>
      </c>
      <c r="K933" t="s">
        <v>378</v>
      </c>
      <c r="L933" t="s">
        <v>574</v>
      </c>
      <c r="M933" t="s">
        <v>348</v>
      </c>
      <c r="N933" t="s">
        <v>538</v>
      </c>
      <c r="O933" t="s">
        <v>884</v>
      </c>
      <c r="P933" t="s">
        <v>882</v>
      </c>
      <c r="Q933" t="s">
        <v>230</v>
      </c>
      <c r="R933">
        <v>100</v>
      </c>
      <c r="S933" s="3">
        <f>1/0.89</f>
        <v>1.1235955056179776</v>
      </c>
      <c r="T933" s="3">
        <v>5.78</v>
      </c>
      <c r="U933" s="3">
        <v>0</v>
      </c>
    </row>
    <row r="934" spans="1:21" x14ac:dyDescent="0.35">
      <c r="A934" t="s">
        <v>885</v>
      </c>
      <c r="B934" t="s">
        <v>398</v>
      </c>
      <c r="C934" t="s">
        <v>370</v>
      </c>
      <c r="D934">
        <v>2012</v>
      </c>
      <c r="E934">
        <v>182</v>
      </c>
      <c r="F934" t="s">
        <v>600</v>
      </c>
      <c r="G934" t="s">
        <v>829</v>
      </c>
      <c r="H934" t="s">
        <v>832</v>
      </c>
      <c r="K934" t="s">
        <v>378</v>
      </c>
      <c r="L934" t="s">
        <v>479</v>
      </c>
      <c r="M934" t="s">
        <v>348</v>
      </c>
      <c r="N934" t="s">
        <v>538</v>
      </c>
      <c r="O934" t="s">
        <v>887</v>
      </c>
      <c r="P934" t="s">
        <v>888</v>
      </c>
      <c r="Q934" t="s">
        <v>230</v>
      </c>
      <c r="R934">
        <v>0</v>
      </c>
      <c r="S934" s="3">
        <f>1/0.96</f>
        <v>1.0416666666666667</v>
      </c>
      <c r="T934" s="3">
        <v>0</v>
      </c>
      <c r="U934" s="3">
        <v>0</v>
      </c>
    </row>
    <row r="935" spans="1:21" x14ac:dyDescent="0.35">
      <c r="A935" t="s">
        <v>885</v>
      </c>
      <c r="B935" t="s">
        <v>398</v>
      </c>
      <c r="C935" t="s">
        <v>370</v>
      </c>
      <c r="D935">
        <v>2012</v>
      </c>
      <c r="E935">
        <v>182</v>
      </c>
      <c r="F935" t="s">
        <v>600</v>
      </c>
      <c r="G935" t="s">
        <v>829</v>
      </c>
      <c r="H935" t="s">
        <v>832</v>
      </c>
      <c r="K935" t="s">
        <v>378</v>
      </c>
      <c r="L935" t="s">
        <v>479</v>
      </c>
      <c r="M935" t="s">
        <v>348</v>
      </c>
      <c r="N935" t="s">
        <v>538</v>
      </c>
      <c r="O935" t="s">
        <v>887</v>
      </c>
      <c r="P935" t="s">
        <v>888</v>
      </c>
      <c r="Q935" t="s">
        <v>230</v>
      </c>
      <c r="R935">
        <v>15</v>
      </c>
      <c r="S935" s="3">
        <f>1/0.93</f>
        <v>1.075268817204301</v>
      </c>
      <c r="T935" s="3">
        <v>1.2</v>
      </c>
      <c r="U935" s="3">
        <v>-2.1</v>
      </c>
    </row>
    <row r="936" spans="1:21" x14ac:dyDescent="0.35">
      <c r="A936" t="s">
        <v>885</v>
      </c>
      <c r="B936" t="s">
        <v>398</v>
      </c>
      <c r="C936" t="s">
        <v>370</v>
      </c>
      <c r="D936">
        <v>2012</v>
      </c>
      <c r="E936">
        <v>182</v>
      </c>
      <c r="F936" t="s">
        <v>600</v>
      </c>
      <c r="G936" t="s">
        <v>829</v>
      </c>
      <c r="H936" t="s">
        <v>832</v>
      </c>
      <c r="K936" t="s">
        <v>378</v>
      </c>
      <c r="L936" t="s">
        <v>479</v>
      </c>
      <c r="M936" t="s">
        <v>348</v>
      </c>
      <c r="N936" t="s">
        <v>538</v>
      </c>
      <c r="O936" t="s">
        <v>887</v>
      </c>
      <c r="P936" t="s">
        <v>888</v>
      </c>
      <c r="Q936" t="s">
        <v>230</v>
      </c>
      <c r="R936">
        <v>30</v>
      </c>
      <c r="S936" s="3">
        <f>1/0.9</f>
        <v>1.1111111111111112</v>
      </c>
      <c r="T936" s="3">
        <v>2.5</v>
      </c>
      <c r="U936" s="3">
        <v>-3.2</v>
      </c>
    </row>
    <row r="937" spans="1:21" x14ac:dyDescent="0.35">
      <c r="A937" t="s">
        <v>885</v>
      </c>
      <c r="B937" t="s">
        <v>398</v>
      </c>
      <c r="C937" t="s">
        <v>370</v>
      </c>
      <c r="D937">
        <v>2012</v>
      </c>
      <c r="E937">
        <v>182</v>
      </c>
      <c r="F937" t="s">
        <v>600</v>
      </c>
      <c r="G937" t="s">
        <v>829</v>
      </c>
      <c r="H937" t="s">
        <v>832</v>
      </c>
      <c r="K937" t="s">
        <v>378</v>
      </c>
      <c r="L937" t="s">
        <v>479</v>
      </c>
      <c r="M937" t="s">
        <v>348</v>
      </c>
      <c r="N937" t="s">
        <v>538</v>
      </c>
      <c r="O937" t="s">
        <v>887</v>
      </c>
      <c r="P937" t="s">
        <v>888</v>
      </c>
      <c r="Q937" t="s">
        <v>230</v>
      </c>
      <c r="R937">
        <v>45</v>
      </c>
      <c r="S937" s="3">
        <f>1/0.76</f>
        <v>1.3157894736842106</v>
      </c>
      <c r="T937" s="3">
        <v>3.7</v>
      </c>
      <c r="U937" s="3">
        <v>-5.3</v>
      </c>
    </row>
    <row r="938" spans="1:21" x14ac:dyDescent="0.35">
      <c r="A938" t="s">
        <v>885</v>
      </c>
      <c r="B938" t="s">
        <v>398</v>
      </c>
      <c r="C938" t="s">
        <v>370</v>
      </c>
      <c r="D938">
        <v>2012</v>
      </c>
      <c r="E938">
        <v>182</v>
      </c>
      <c r="F938" t="s">
        <v>600</v>
      </c>
      <c r="G938" t="s">
        <v>829</v>
      </c>
      <c r="H938" t="s">
        <v>832</v>
      </c>
      <c r="K938" t="s">
        <v>378</v>
      </c>
      <c r="L938" t="s">
        <v>479</v>
      </c>
      <c r="M938" t="s">
        <v>348</v>
      </c>
      <c r="N938" t="s">
        <v>538</v>
      </c>
      <c r="O938" t="s">
        <v>887</v>
      </c>
      <c r="P938" t="s">
        <v>888</v>
      </c>
      <c r="Q938" t="s">
        <v>230</v>
      </c>
      <c r="R938">
        <v>60</v>
      </c>
      <c r="S938" s="3">
        <f>1/0.6</f>
        <v>1.6666666666666667</v>
      </c>
      <c r="T938" s="3">
        <v>5</v>
      </c>
      <c r="U938" s="3">
        <v>-8.4</v>
      </c>
    </row>
    <row r="939" spans="1:21" x14ac:dyDescent="0.35">
      <c r="A939" t="s">
        <v>885</v>
      </c>
      <c r="B939" t="s">
        <v>398</v>
      </c>
      <c r="C939" t="s">
        <v>370</v>
      </c>
      <c r="D939">
        <v>2012</v>
      </c>
      <c r="E939">
        <v>182</v>
      </c>
      <c r="F939" t="s">
        <v>600</v>
      </c>
      <c r="G939" t="s">
        <v>829</v>
      </c>
      <c r="H939" t="s">
        <v>886</v>
      </c>
      <c r="K939" t="s">
        <v>378</v>
      </c>
      <c r="L939" t="s">
        <v>479</v>
      </c>
      <c r="M939" t="s">
        <v>348</v>
      </c>
      <c r="N939" t="s">
        <v>538</v>
      </c>
      <c r="O939" t="s">
        <v>887</v>
      </c>
      <c r="P939" t="s">
        <v>888</v>
      </c>
      <c r="Q939" t="s">
        <v>230</v>
      </c>
      <c r="R939">
        <v>15</v>
      </c>
      <c r="S939" s="3">
        <f>1/0.94</f>
        <v>1.0638297872340425</v>
      </c>
      <c r="T939" s="3">
        <v>1.2</v>
      </c>
      <c r="U939" s="3">
        <v>-2.6</v>
      </c>
    </row>
    <row r="940" spans="1:21" x14ac:dyDescent="0.35">
      <c r="A940" t="s">
        <v>885</v>
      </c>
      <c r="B940" t="s">
        <v>398</v>
      </c>
      <c r="C940" t="s">
        <v>370</v>
      </c>
      <c r="D940">
        <v>2012</v>
      </c>
      <c r="E940">
        <v>182</v>
      </c>
      <c r="F940" t="s">
        <v>600</v>
      </c>
      <c r="G940" t="s">
        <v>829</v>
      </c>
      <c r="H940" t="s">
        <v>886</v>
      </c>
      <c r="K940" t="s">
        <v>378</v>
      </c>
      <c r="L940" t="s">
        <v>479</v>
      </c>
      <c r="M940" t="s">
        <v>348</v>
      </c>
      <c r="N940" t="s">
        <v>538</v>
      </c>
      <c r="O940" t="s">
        <v>887</v>
      </c>
      <c r="P940" t="s">
        <v>888</v>
      </c>
      <c r="Q940" t="s">
        <v>230</v>
      </c>
      <c r="R940">
        <v>30</v>
      </c>
      <c r="S940" s="3">
        <f>1/0.88</f>
        <v>1.1363636363636365</v>
      </c>
      <c r="T940" s="3">
        <v>2.5</v>
      </c>
      <c r="U940" s="3">
        <v>-5.2</v>
      </c>
    </row>
    <row r="941" spans="1:21" x14ac:dyDescent="0.35">
      <c r="A941" t="s">
        <v>885</v>
      </c>
      <c r="B941" t="s">
        <v>398</v>
      </c>
      <c r="C941" t="s">
        <v>370</v>
      </c>
      <c r="D941">
        <v>2012</v>
      </c>
      <c r="E941">
        <v>182</v>
      </c>
      <c r="F941" t="s">
        <v>600</v>
      </c>
      <c r="G941" t="s">
        <v>829</v>
      </c>
      <c r="H941" t="s">
        <v>886</v>
      </c>
      <c r="K941" t="s">
        <v>378</v>
      </c>
      <c r="L941" t="s">
        <v>479</v>
      </c>
      <c r="M941" t="s">
        <v>348</v>
      </c>
      <c r="N941" t="s">
        <v>538</v>
      </c>
      <c r="O941" t="s">
        <v>887</v>
      </c>
      <c r="P941" t="s">
        <v>888</v>
      </c>
      <c r="Q941" t="s">
        <v>230</v>
      </c>
      <c r="R941">
        <v>45</v>
      </c>
      <c r="S941" s="3">
        <f>1/0.81</f>
        <v>1.2345679012345678</v>
      </c>
      <c r="T941" s="3">
        <v>3.7</v>
      </c>
      <c r="U941" s="3">
        <v>-7.3</v>
      </c>
    </row>
    <row r="942" spans="1:21" x14ac:dyDescent="0.35">
      <c r="A942" t="s">
        <v>885</v>
      </c>
      <c r="B942" t="s">
        <v>398</v>
      </c>
      <c r="C942" t="s">
        <v>370</v>
      </c>
      <c r="D942">
        <v>2012</v>
      </c>
      <c r="E942">
        <v>182</v>
      </c>
      <c r="F942" t="s">
        <v>600</v>
      </c>
      <c r="G942" t="s">
        <v>829</v>
      </c>
      <c r="H942" t="s">
        <v>886</v>
      </c>
      <c r="K942" t="s">
        <v>378</v>
      </c>
      <c r="L942" t="s">
        <v>479</v>
      </c>
      <c r="M942" t="s">
        <v>348</v>
      </c>
      <c r="N942" t="s">
        <v>538</v>
      </c>
      <c r="O942" t="s">
        <v>887</v>
      </c>
      <c r="P942" t="s">
        <v>888</v>
      </c>
      <c r="Q942" t="s">
        <v>230</v>
      </c>
      <c r="R942">
        <v>60</v>
      </c>
      <c r="S942" s="3">
        <f>1/0.67</f>
        <v>1.4925373134328357</v>
      </c>
      <c r="T942" s="3">
        <v>5</v>
      </c>
      <c r="U942" s="3">
        <v>9</v>
      </c>
    </row>
    <row r="943" spans="1:21" x14ac:dyDescent="0.35">
      <c r="A943" t="s">
        <v>890</v>
      </c>
      <c r="B943" t="s">
        <v>522</v>
      </c>
      <c r="C943" t="s">
        <v>545</v>
      </c>
      <c r="D943">
        <v>2009</v>
      </c>
      <c r="E943">
        <v>183</v>
      </c>
      <c r="F943" t="s">
        <v>863</v>
      </c>
      <c r="G943" t="s">
        <v>829</v>
      </c>
      <c r="H943" t="s">
        <v>832</v>
      </c>
      <c r="I943" t="s">
        <v>864</v>
      </c>
      <c r="K943" t="s">
        <v>378</v>
      </c>
      <c r="L943" t="s">
        <v>574</v>
      </c>
      <c r="M943" t="s">
        <v>348</v>
      </c>
      <c r="N943" t="s">
        <v>538</v>
      </c>
      <c r="O943" t="s">
        <v>543</v>
      </c>
      <c r="P943" t="s">
        <v>196</v>
      </c>
      <c r="Q943" t="s">
        <v>230</v>
      </c>
      <c r="R943">
        <v>0</v>
      </c>
      <c r="S943" s="3">
        <v>1.1100000000000001</v>
      </c>
      <c r="U943" s="3">
        <v>0</v>
      </c>
    </row>
    <row r="944" spans="1:21" x14ac:dyDescent="0.35">
      <c r="A944" t="s">
        <v>890</v>
      </c>
      <c r="B944" t="s">
        <v>522</v>
      </c>
      <c r="C944" t="s">
        <v>545</v>
      </c>
      <c r="D944">
        <v>2009</v>
      </c>
      <c r="E944">
        <v>183</v>
      </c>
      <c r="F944" t="s">
        <v>863</v>
      </c>
      <c r="G944" t="s">
        <v>829</v>
      </c>
      <c r="H944" t="s">
        <v>832</v>
      </c>
      <c r="I944" t="s">
        <v>864</v>
      </c>
      <c r="K944" t="s">
        <v>378</v>
      </c>
      <c r="L944" t="s">
        <v>574</v>
      </c>
      <c r="M944" t="s">
        <v>348</v>
      </c>
      <c r="N944" t="s">
        <v>538</v>
      </c>
      <c r="O944" t="s">
        <v>543</v>
      </c>
      <c r="P944" t="s">
        <v>196</v>
      </c>
      <c r="Q944" t="s">
        <v>230</v>
      </c>
      <c r="R944">
        <v>10</v>
      </c>
      <c r="S944" s="3">
        <v>1.1499999999999999</v>
      </c>
      <c r="U944" s="3">
        <v>-0.3</v>
      </c>
    </row>
    <row r="945" spans="1:21" x14ac:dyDescent="0.35">
      <c r="A945" t="s">
        <v>890</v>
      </c>
      <c r="B945" t="s">
        <v>522</v>
      </c>
      <c r="C945" t="s">
        <v>545</v>
      </c>
      <c r="D945">
        <v>2009</v>
      </c>
      <c r="E945">
        <v>183</v>
      </c>
      <c r="F945" t="s">
        <v>863</v>
      </c>
      <c r="G945" t="s">
        <v>829</v>
      </c>
      <c r="H945" t="s">
        <v>832</v>
      </c>
      <c r="I945" t="s">
        <v>864</v>
      </c>
      <c r="K945" t="s">
        <v>378</v>
      </c>
      <c r="L945" t="s">
        <v>574</v>
      </c>
      <c r="M945" t="s">
        <v>348</v>
      </c>
      <c r="N945" t="s">
        <v>538</v>
      </c>
      <c r="O945" t="s">
        <v>543</v>
      </c>
      <c r="P945" t="s">
        <v>196</v>
      </c>
      <c r="Q945" t="s">
        <v>230</v>
      </c>
      <c r="R945">
        <v>20</v>
      </c>
      <c r="S945" s="3">
        <v>1.1499999999999999</v>
      </c>
      <c r="U945" s="3">
        <v>-0.4</v>
      </c>
    </row>
    <row r="946" spans="1:21" x14ac:dyDescent="0.35">
      <c r="A946" t="s">
        <v>890</v>
      </c>
      <c r="B946" t="s">
        <v>522</v>
      </c>
      <c r="C946" t="s">
        <v>545</v>
      </c>
      <c r="D946">
        <v>2009</v>
      </c>
      <c r="E946">
        <v>183</v>
      </c>
      <c r="F946" t="s">
        <v>863</v>
      </c>
      <c r="G946" t="s">
        <v>829</v>
      </c>
      <c r="H946" t="s">
        <v>832</v>
      </c>
      <c r="I946" t="s">
        <v>864</v>
      </c>
      <c r="K946" t="s">
        <v>378</v>
      </c>
      <c r="L946" t="s">
        <v>574</v>
      </c>
      <c r="M946" t="s">
        <v>348</v>
      </c>
      <c r="N946" t="s">
        <v>538</v>
      </c>
      <c r="O946" t="s">
        <v>543</v>
      </c>
      <c r="P946" t="s">
        <v>196</v>
      </c>
      <c r="Q946" t="s">
        <v>230</v>
      </c>
      <c r="R946">
        <v>30</v>
      </c>
      <c r="S946" s="3">
        <v>1.25</v>
      </c>
      <c r="U946" s="3">
        <v>-0.9</v>
      </c>
    </row>
    <row r="947" spans="1:21" x14ac:dyDescent="0.35">
      <c r="A947" t="s">
        <v>890</v>
      </c>
      <c r="B947" t="s">
        <v>522</v>
      </c>
      <c r="C947" t="s">
        <v>545</v>
      </c>
      <c r="D947">
        <v>2009</v>
      </c>
      <c r="E947">
        <v>183</v>
      </c>
      <c r="F947" t="s">
        <v>863</v>
      </c>
      <c r="G947" t="s">
        <v>829</v>
      </c>
      <c r="H947" t="s">
        <v>832</v>
      </c>
      <c r="I947" t="s">
        <v>864</v>
      </c>
      <c r="K947" t="s">
        <v>378</v>
      </c>
      <c r="L947" t="s">
        <v>574</v>
      </c>
      <c r="M947" t="s">
        <v>348</v>
      </c>
      <c r="N947" t="s">
        <v>538</v>
      </c>
      <c r="O947" t="s">
        <v>543</v>
      </c>
      <c r="P947" t="s">
        <v>196</v>
      </c>
      <c r="Q947" t="s">
        <v>230</v>
      </c>
      <c r="R947">
        <v>40</v>
      </c>
      <c r="S947" s="3">
        <v>1.28</v>
      </c>
      <c r="U947" s="3">
        <v>-1.2</v>
      </c>
    </row>
    <row r="948" spans="1:21" x14ac:dyDescent="0.35">
      <c r="A948" t="s">
        <v>890</v>
      </c>
      <c r="B948" t="s">
        <v>522</v>
      </c>
      <c r="C948" t="s">
        <v>545</v>
      </c>
      <c r="D948">
        <v>2009</v>
      </c>
      <c r="E948">
        <v>183</v>
      </c>
      <c r="F948" t="s">
        <v>863</v>
      </c>
      <c r="G948" t="s">
        <v>829</v>
      </c>
      <c r="H948" t="s">
        <v>832</v>
      </c>
      <c r="I948" t="s">
        <v>864</v>
      </c>
      <c r="K948" t="s">
        <v>378</v>
      </c>
      <c r="L948" t="s">
        <v>574</v>
      </c>
      <c r="M948" t="s">
        <v>348</v>
      </c>
      <c r="N948" t="s">
        <v>538</v>
      </c>
      <c r="O948" t="s">
        <v>543</v>
      </c>
      <c r="P948" t="s">
        <v>196</v>
      </c>
      <c r="Q948" t="s">
        <v>230</v>
      </c>
      <c r="R948">
        <v>50</v>
      </c>
      <c r="S948" s="3">
        <v>1.44</v>
      </c>
      <c r="U948" s="3">
        <v>-1.5</v>
      </c>
    </row>
    <row r="949" spans="1:21" x14ac:dyDescent="0.35">
      <c r="A949" t="s">
        <v>890</v>
      </c>
      <c r="B949" t="s">
        <v>522</v>
      </c>
      <c r="C949" t="s">
        <v>545</v>
      </c>
      <c r="D949">
        <v>2009</v>
      </c>
      <c r="E949">
        <v>183</v>
      </c>
      <c r="F949" t="s">
        <v>863</v>
      </c>
      <c r="G949" t="s">
        <v>829</v>
      </c>
      <c r="H949" t="s">
        <v>889</v>
      </c>
      <c r="I949" t="s">
        <v>864</v>
      </c>
      <c r="K949" t="s">
        <v>378</v>
      </c>
      <c r="L949" t="s">
        <v>574</v>
      </c>
      <c r="M949" t="s">
        <v>348</v>
      </c>
      <c r="N949" t="s">
        <v>538</v>
      </c>
      <c r="O949" t="s">
        <v>543</v>
      </c>
      <c r="P949" t="s">
        <v>196</v>
      </c>
      <c r="Q949" t="s">
        <v>891</v>
      </c>
      <c r="R949">
        <v>0</v>
      </c>
      <c r="S949" s="3">
        <v>1.72</v>
      </c>
      <c r="U949" s="3">
        <v>0</v>
      </c>
    </row>
    <row r="950" spans="1:21" x14ac:dyDescent="0.35">
      <c r="A950" t="s">
        <v>890</v>
      </c>
      <c r="B950" t="s">
        <v>522</v>
      </c>
      <c r="C950" t="s">
        <v>545</v>
      </c>
      <c r="D950">
        <v>2009</v>
      </c>
      <c r="E950">
        <v>183</v>
      </c>
      <c r="F950" t="s">
        <v>863</v>
      </c>
      <c r="G950" t="s">
        <v>829</v>
      </c>
      <c r="H950" t="s">
        <v>832</v>
      </c>
      <c r="I950" t="s">
        <v>864</v>
      </c>
      <c r="K950" t="s">
        <v>378</v>
      </c>
      <c r="L950" t="s">
        <v>574</v>
      </c>
      <c r="M950" t="s">
        <v>348</v>
      </c>
      <c r="N950" t="s">
        <v>538</v>
      </c>
      <c r="O950" t="s">
        <v>543</v>
      </c>
      <c r="P950" t="s">
        <v>196</v>
      </c>
      <c r="Q950" t="s">
        <v>891</v>
      </c>
      <c r="R950">
        <v>20</v>
      </c>
      <c r="S950" s="3">
        <v>1.81</v>
      </c>
      <c r="U950" s="3">
        <v>-0.6</v>
      </c>
    </row>
    <row r="951" spans="1:21" x14ac:dyDescent="0.35">
      <c r="A951" t="s">
        <v>890</v>
      </c>
      <c r="B951" t="s">
        <v>522</v>
      </c>
      <c r="C951" t="s">
        <v>545</v>
      </c>
      <c r="D951">
        <v>2009</v>
      </c>
      <c r="E951">
        <v>183</v>
      </c>
      <c r="F951" t="s">
        <v>863</v>
      </c>
      <c r="G951" t="s">
        <v>829</v>
      </c>
      <c r="H951" t="s">
        <v>832</v>
      </c>
      <c r="I951" t="s">
        <v>864</v>
      </c>
      <c r="K951" t="s">
        <v>378</v>
      </c>
      <c r="L951" t="s">
        <v>574</v>
      </c>
      <c r="M951" t="s">
        <v>348</v>
      </c>
      <c r="N951" t="s">
        <v>538</v>
      </c>
      <c r="O951" t="s">
        <v>543</v>
      </c>
      <c r="P951" t="s">
        <v>196</v>
      </c>
      <c r="Q951" t="s">
        <v>891</v>
      </c>
      <c r="R951">
        <v>30</v>
      </c>
      <c r="S951" s="3">
        <v>1.72</v>
      </c>
      <c r="U951" s="3">
        <v>-0.9</v>
      </c>
    </row>
    <row r="952" spans="1:21" x14ac:dyDescent="0.35">
      <c r="A952" t="s">
        <v>890</v>
      </c>
      <c r="B952" t="s">
        <v>522</v>
      </c>
      <c r="C952" t="s">
        <v>545</v>
      </c>
      <c r="D952">
        <v>2009</v>
      </c>
      <c r="E952">
        <v>183</v>
      </c>
      <c r="F952" t="s">
        <v>863</v>
      </c>
      <c r="G952" t="s">
        <v>829</v>
      </c>
      <c r="H952" t="s">
        <v>889</v>
      </c>
      <c r="I952" t="s">
        <v>864</v>
      </c>
      <c r="K952" t="s">
        <v>378</v>
      </c>
      <c r="L952" t="s">
        <v>574</v>
      </c>
      <c r="M952" t="s">
        <v>348</v>
      </c>
      <c r="N952" t="s">
        <v>538</v>
      </c>
      <c r="O952" t="s">
        <v>543</v>
      </c>
      <c r="P952" t="s">
        <v>196</v>
      </c>
      <c r="Q952" t="s">
        <v>891</v>
      </c>
      <c r="R952">
        <v>20</v>
      </c>
      <c r="S952" s="3">
        <v>1.61</v>
      </c>
      <c r="U952" s="3">
        <v>-0.6</v>
      </c>
    </row>
    <row r="953" spans="1:21" x14ac:dyDescent="0.35">
      <c r="A953" t="s">
        <v>890</v>
      </c>
      <c r="B953" t="s">
        <v>522</v>
      </c>
      <c r="C953" t="s">
        <v>545</v>
      </c>
      <c r="D953">
        <v>2009</v>
      </c>
      <c r="E953">
        <v>183</v>
      </c>
      <c r="F953" t="s">
        <v>863</v>
      </c>
      <c r="G953" t="s">
        <v>829</v>
      </c>
      <c r="H953" t="s">
        <v>889</v>
      </c>
      <c r="I953" t="s">
        <v>864</v>
      </c>
      <c r="K953" t="s">
        <v>378</v>
      </c>
      <c r="L953" t="s">
        <v>574</v>
      </c>
      <c r="M953" t="s">
        <v>348</v>
      </c>
      <c r="N953" t="s">
        <v>538</v>
      </c>
      <c r="O953" t="s">
        <v>543</v>
      </c>
      <c r="P953" t="s">
        <v>196</v>
      </c>
      <c r="Q953" t="s">
        <v>891</v>
      </c>
      <c r="R953">
        <v>30</v>
      </c>
      <c r="S953" s="3">
        <v>1.69</v>
      </c>
      <c r="U953" s="3">
        <v>-0.9</v>
      </c>
    </row>
    <row r="954" spans="1:21" x14ac:dyDescent="0.35">
      <c r="A954" t="s">
        <v>890</v>
      </c>
      <c r="B954" t="s">
        <v>522</v>
      </c>
      <c r="C954" t="s">
        <v>545</v>
      </c>
      <c r="D954">
        <v>2011</v>
      </c>
      <c r="E954">
        <v>184</v>
      </c>
      <c r="F954" t="s">
        <v>600</v>
      </c>
      <c r="G954" t="s">
        <v>829</v>
      </c>
      <c r="H954" t="s">
        <v>832</v>
      </c>
      <c r="K954" t="s">
        <v>378</v>
      </c>
      <c r="L954" t="s">
        <v>574</v>
      </c>
      <c r="M954" t="s">
        <v>348</v>
      </c>
      <c r="N954" t="s">
        <v>538</v>
      </c>
      <c r="O954" t="s">
        <v>879</v>
      </c>
      <c r="P954" t="s">
        <v>878</v>
      </c>
      <c r="Q954" t="s">
        <v>230</v>
      </c>
      <c r="R954">
        <v>0</v>
      </c>
      <c r="S954" s="3">
        <v>1.34</v>
      </c>
      <c r="U954" s="3">
        <v>0</v>
      </c>
    </row>
    <row r="955" spans="1:21" x14ac:dyDescent="0.35">
      <c r="A955" t="s">
        <v>890</v>
      </c>
      <c r="B955" t="s">
        <v>522</v>
      </c>
      <c r="C955" t="s">
        <v>545</v>
      </c>
      <c r="D955">
        <v>2011</v>
      </c>
      <c r="E955">
        <v>184</v>
      </c>
      <c r="F955" t="s">
        <v>600</v>
      </c>
      <c r="G955" t="s">
        <v>829</v>
      </c>
      <c r="H955" t="s">
        <v>832</v>
      </c>
      <c r="K955" t="s">
        <v>378</v>
      </c>
      <c r="L955" t="s">
        <v>574</v>
      </c>
      <c r="M955" t="s">
        <v>348</v>
      </c>
      <c r="N955" t="s">
        <v>538</v>
      </c>
      <c r="O955" t="s">
        <v>879</v>
      </c>
      <c r="P955" t="s">
        <v>878</v>
      </c>
      <c r="Q955" t="s">
        <v>230</v>
      </c>
      <c r="R955">
        <v>15</v>
      </c>
      <c r="S955" s="3">
        <v>1.4</v>
      </c>
      <c r="U955" s="3">
        <v>-4.4000000000000004</v>
      </c>
    </row>
    <row r="956" spans="1:21" x14ac:dyDescent="0.35">
      <c r="A956" t="s">
        <v>890</v>
      </c>
      <c r="B956" t="s">
        <v>522</v>
      </c>
      <c r="C956" t="s">
        <v>545</v>
      </c>
      <c r="D956">
        <v>2011</v>
      </c>
      <c r="E956">
        <v>184</v>
      </c>
      <c r="F956" t="s">
        <v>600</v>
      </c>
      <c r="G956" t="s">
        <v>829</v>
      </c>
      <c r="H956" t="s">
        <v>832</v>
      </c>
      <c r="K956" t="s">
        <v>378</v>
      </c>
      <c r="L956" t="s">
        <v>574</v>
      </c>
      <c r="M956" t="s">
        <v>348</v>
      </c>
      <c r="N956" t="s">
        <v>538</v>
      </c>
      <c r="O956" t="s">
        <v>879</v>
      </c>
      <c r="P956" t="s">
        <v>878</v>
      </c>
      <c r="Q956" t="s">
        <v>230</v>
      </c>
      <c r="R956">
        <v>30</v>
      </c>
      <c r="S956" s="3">
        <v>1.2</v>
      </c>
      <c r="U956" s="3">
        <v>-9.1999999999999993</v>
      </c>
    </row>
    <row r="957" spans="1:21" x14ac:dyDescent="0.35">
      <c r="A957" t="s">
        <v>890</v>
      </c>
      <c r="B957" t="s">
        <v>522</v>
      </c>
      <c r="C957" t="s">
        <v>545</v>
      </c>
      <c r="D957">
        <v>2011</v>
      </c>
      <c r="E957">
        <v>184</v>
      </c>
      <c r="F957" t="s">
        <v>600</v>
      </c>
      <c r="G957" t="s">
        <v>829</v>
      </c>
      <c r="H957" t="s">
        <v>832</v>
      </c>
      <c r="K957" t="s">
        <v>378</v>
      </c>
      <c r="L957" t="s">
        <v>574</v>
      </c>
      <c r="M957" t="s">
        <v>348</v>
      </c>
      <c r="N957" t="s">
        <v>538</v>
      </c>
      <c r="O957" t="s">
        <v>879</v>
      </c>
      <c r="P957" t="s">
        <v>878</v>
      </c>
      <c r="Q957" t="s">
        <v>230</v>
      </c>
      <c r="R957">
        <v>45</v>
      </c>
      <c r="S957" s="3">
        <v>1.73</v>
      </c>
      <c r="U957" s="3">
        <v>-13.7</v>
      </c>
    </row>
    <row r="958" spans="1:21" x14ac:dyDescent="0.35">
      <c r="A958" t="s">
        <v>890</v>
      </c>
      <c r="B958" t="s">
        <v>522</v>
      </c>
      <c r="C958" t="s">
        <v>545</v>
      </c>
      <c r="D958">
        <v>2011</v>
      </c>
      <c r="E958">
        <v>184</v>
      </c>
      <c r="F958" t="s">
        <v>600</v>
      </c>
      <c r="G958" t="s">
        <v>829</v>
      </c>
      <c r="H958" t="s">
        <v>832</v>
      </c>
      <c r="K958" t="s">
        <v>378</v>
      </c>
      <c r="L958" t="s">
        <v>574</v>
      </c>
      <c r="M958" t="s">
        <v>348</v>
      </c>
      <c r="N958" t="s">
        <v>538</v>
      </c>
      <c r="O958" t="s">
        <v>879</v>
      </c>
      <c r="P958" t="s">
        <v>878</v>
      </c>
      <c r="Q958" t="s">
        <v>230</v>
      </c>
      <c r="R958">
        <v>60</v>
      </c>
      <c r="S958" s="3">
        <v>2.17</v>
      </c>
      <c r="U958" s="3">
        <v>-18.2</v>
      </c>
    </row>
    <row r="959" spans="1:21" x14ac:dyDescent="0.35">
      <c r="A959" t="s">
        <v>890</v>
      </c>
      <c r="B959" t="s">
        <v>468</v>
      </c>
      <c r="C959" t="s">
        <v>545</v>
      </c>
      <c r="D959">
        <v>2008</v>
      </c>
      <c r="E959">
        <v>185</v>
      </c>
      <c r="F959" t="s">
        <v>863</v>
      </c>
      <c r="G959" t="s">
        <v>829</v>
      </c>
      <c r="H959" t="s">
        <v>892</v>
      </c>
      <c r="I959" t="s">
        <v>864</v>
      </c>
      <c r="K959" t="s">
        <v>378</v>
      </c>
      <c r="L959" t="s">
        <v>574</v>
      </c>
      <c r="M959" t="s">
        <v>348</v>
      </c>
      <c r="N959" t="s">
        <v>538</v>
      </c>
      <c r="O959" t="s">
        <v>879</v>
      </c>
      <c r="P959" t="s">
        <v>878</v>
      </c>
      <c r="Q959" t="s">
        <v>230</v>
      </c>
      <c r="R959">
        <v>0</v>
      </c>
      <c r="S959" s="3">
        <v>1.1399999999999999</v>
      </c>
      <c r="U959" s="3">
        <v>0</v>
      </c>
    </row>
    <row r="960" spans="1:21" x14ac:dyDescent="0.35">
      <c r="A960" t="s">
        <v>890</v>
      </c>
      <c r="B960" t="s">
        <v>468</v>
      </c>
      <c r="C960" t="s">
        <v>545</v>
      </c>
      <c r="D960">
        <v>2008</v>
      </c>
      <c r="E960">
        <v>185</v>
      </c>
      <c r="F960" t="s">
        <v>863</v>
      </c>
      <c r="G960" t="s">
        <v>829</v>
      </c>
      <c r="H960" t="s">
        <v>832</v>
      </c>
      <c r="I960" t="s">
        <v>864</v>
      </c>
      <c r="K960" t="s">
        <v>378</v>
      </c>
      <c r="L960" t="s">
        <v>574</v>
      </c>
      <c r="M960" t="s">
        <v>348</v>
      </c>
      <c r="N960" t="s">
        <v>538</v>
      </c>
      <c r="O960" t="s">
        <v>879</v>
      </c>
      <c r="P960" t="s">
        <v>878</v>
      </c>
      <c r="Q960" t="s">
        <v>230</v>
      </c>
      <c r="R960">
        <v>20</v>
      </c>
      <c r="S960" s="3">
        <v>1.23</v>
      </c>
      <c r="U960" s="3">
        <v>-6.7</v>
      </c>
    </row>
    <row r="961" spans="1:21" x14ac:dyDescent="0.35">
      <c r="A961" t="s">
        <v>890</v>
      </c>
      <c r="B961" t="s">
        <v>468</v>
      </c>
      <c r="C961" t="s">
        <v>545</v>
      </c>
      <c r="D961">
        <v>2008</v>
      </c>
      <c r="E961">
        <v>185</v>
      </c>
      <c r="F961" t="s">
        <v>863</v>
      </c>
      <c r="G961" t="s">
        <v>829</v>
      </c>
      <c r="H961" t="s">
        <v>832</v>
      </c>
      <c r="I961" t="s">
        <v>864</v>
      </c>
      <c r="K961" t="s">
        <v>378</v>
      </c>
      <c r="L961" t="s">
        <v>574</v>
      </c>
      <c r="M961" t="s">
        <v>348</v>
      </c>
      <c r="N961" t="s">
        <v>538</v>
      </c>
      <c r="O961" t="s">
        <v>879</v>
      </c>
      <c r="P961" t="s">
        <v>878</v>
      </c>
      <c r="Q961" t="s">
        <v>230</v>
      </c>
      <c r="R961">
        <v>30</v>
      </c>
      <c r="S961" s="3">
        <v>1.25</v>
      </c>
      <c r="U961" s="3">
        <v>-10.1</v>
      </c>
    </row>
    <row r="962" spans="1:21" x14ac:dyDescent="0.35">
      <c r="A962" t="s">
        <v>890</v>
      </c>
      <c r="B962" t="s">
        <v>468</v>
      </c>
      <c r="C962" t="s">
        <v>545</v>
      </c>
      <c r="D962">
        <v>2008</v>
      </c>
      <c r="E962">
        <v>185</v>
      </c>
      <c r="F962" t="s">
        <v>863</v>
      </c>
      <c r="G962" t="s">
        <v>829</v>
      </c>
      <c r="H962" t="s">
        <v>892</v>
      </c>
      <c r="I962" t="s">
        <v>864</v>
      </c>
      <c r="K962" t="s">
        <v>378</v>
      </c>
      <c r="L962" t="s">
        <v>574</v>
      </c>
      <c r="M962" t="s">
        <v>348</v>
      </c>
      <c r="N962" t="s">
        <v>538</v>
      </c>
      <c r="O962" t="s">
        <v>879</v>
      </c>
      <c r="P962" t="s">
        <v>878</v>
      </c>
      <c r="Q962" t="s">
        <v>230</v>
      </c>
      <c r="R962">
        <v>30</v>
      </c>
      <c r="S962" s="3">
        <v>1.2</v>
      </c>
      <c r="U962" s="3">
        <v>-10.1</v>
      </c>
    </row>
    <row r="963" spans="1:21" x14ac:dyDescent="0.35">
      <c r="A963" t="s">
        <v>890</v>
      </c>
      <c r="B963" t="s">
        <v>468</v>
      </c>
      <c r="C963" t="s">
        <v>545</v>
      </c>
      <c r="D963">
        <v>2008</v>
      </c>
      <c r="E963">
        <v>185</v>
      </c>
      <c r="F963" t="s">
        <v>863</v>
      </c>
      <c r="G963" t="s">
        <v>829</v>
      </c>
      <c r="H963" t="s">
        <v>892</v>
      </c>
      <c r="I963" t="s">
        <v>864</v>
      </c>
      <c r="K963" t="s">
        <v>378</v>
      </c>
      <c r="L963" t="s">
        <v>574</v>
      </c>
      <c r="M963" t="s">
        <v>348</v>
      </c>
      <c r="N963" t="s">
        <v>538</v>
      </c>
      <c r="O963" t="s">
        <v>879</v>
      </c>
      <c r="P963" t="s">
        <v>878</v>
      </c>
      <c r="Q963" t="s">
        <v>230</v>
      </c>
      <c r="R963">
        <v>40</v>
      </c>
      <c r="S963" s="3">
        <v>1.27</v>
      </c>
      <c r="U963" s="3">
        <v>-13.5</v>
      </c>
    </row>
    <row r="964" spans="1:21" x14ac:dyDescent="0.35">
      <c r="A964" t="s">
        <v>895</v>
      </c>
      <c r="B964" t="s">
        <v>398</v>
      </c>
      <c r="C964" t="s">
        <v>647</v>
      </c>
      <c r="D964">
        <v>2011</v>
      </c>
      <c r="E964">
        <v>186</v>
      </c>
      <c r="F964" t="s">
        <v>600</v>
      </c>
      <c r="G964" t="s">
        <v>829</v>
      </c>
      <c r="H964" t="s">
        <v>851</v>
      </c>
      <c r="K964" t="s">
        <v>378</v>
      </c>
      <c r="L964" t="s">
        <v>896</v>
      </c>
      <c r="M964" t="s">
        <v>348</v>
      </c>
      <c r="N964" t="s">
        <v>538</v>
      </c>
      <c r="O964" t="s">
        <v>894</v>
      </c>
      <c r="P964" t="s">
        <v>893</v>
      </c>
      <c r="Q964" t="s">
        <v>230</v>
      </c>
      <c r="R964">
        <v>0</v>
      </c>
      <c r="S964" s="3">
        <v>0</v>
      </c>
      <c r="U964" s="3">
        <v>0</v>
      </c>
    </row>
    <row r="965" spans="1:21" x14ac:dyDescent="0.35">
      <c r="A965" t="s">
        <v>895</v>
      </c>
      <c r="B965" t="s">
        <v>398</v>
      </c>
      <c r="C965" t="s">
        <v>647</v>
      </c>
      <c r="D965">
        <v>2011</v>
      </c>
      <c r="E965">
        <v>186</v>
      </c>
      <c r="F965" t="s">
        <v>600</v>
      </c>
      <c r="G965" t="s">
        <v>829</v>
      </c>
      <c r="H965" t="s">
        <v>851</v>
      </c>
      <c r="K965" t="s">
        <v>378</v>
      </c>
      <c r="L965" t="s">
        <v>896</v>
      </c>
      <c r="M965" t="s">
        <v>348</v>
      </c>
      <c r="N965" t="s">
        <v>538</v>
      </c>
      <c r="O965" t="s">
        <v>894</v>
      </c>
      <c r="P965" t="s">
        <v>893</v>
      </c>
      <c r="Q965" t="s">
        <v>230</v>
      </c>
      <c r="R965">
        <v>25</v>
      </c>
      <c r="S965" s="3">
        <v>1.2</v>
      </c>
      <c r="U965" s="3">
        <v>-3</v>
      </c>
    </row>
    <row r="966" spans="1:21" x14ac:dyDescent="0.35">
      <c r="A966" t="s">
        <v>895</v>
      </c>
      <c r="B966" t="s">
        <v>398</v>
      </c>
      <c r="C966" t="s">
        <v>647</v>
      </c>
      <c r="D966">
        <v>2011</v>
      </c>
      <c r="E966">
        <v>186</v>
      </c>
      <c r="F966" t="s">
        <v>600</v>
      </c>
      <c r="G966" t="s">
        <v>829</v>
      </c>
      <c r="H966" t="s">
        <v>851</v>
      </c>
      <c r="K966" t="s">
        <v>378</v>
      </c>
      <c r="L966" t="s">
        <v>896</v>
      </c>
      <c r="M966" t="s">
        <v>348</v>
      </c>
      <c r="N966" t="s">
        <v>538</v>
      </c>
      <c r="O966" t="s">
        <v>894</v>
      </c>
      <c r="P966" t="s">
        <v>893</v>
      </c>
      <c r="Q966" t="s">
        <v>230</v>
      </c>
      <c r="R966">
        <v>55</v>
      </c>
      <c r="S966" s="3">
        <v>2</v>
      </c>
      <c r="U966" s="3">
        <v>-4.5999999999999996</v>
      </c>
    </row>
    <row r="967" spans="1:21" x14ac:dyDescent="0.35">
      <c r="A967" t="s">
        <v>895</v>
      </c>
      <c r="B967" t="s">
        <v>398</v>
      </c>
      <c r="C967" t="s">
        <v>647</v>
      </c>
      <c r="D967">
        <v>2011</v>
      </c>
      <c r="E967">
        <v>186</v>
      </c>
      <c r="F967" t="s">
        <v>600</v>
      </c>
      <c r="G967" t="s">
        <v>829</v>
      </c>
      <c r="H967" t="s">
        <v>851</v>
      </c>
      <c r="K967" t="s">
        <v>378</v>
      </c>
      <c r="L967" t="s">
        <v>896</v>
      </c>
      <c r="M967" t="s">
        <v>348</v>
      </c>
      <c r="N967" t="s">
        <v>538</v>
      </c>
      <c r="O967" t="s">
        <v>894</v>
      </c>
      <c r="P967" t="s">
        <v>893</v>
      </c>
      <c r="Q967" t="s">
        <v>230</v>
      </c>
      <c r="R967">
        <v>75</v>
      </c>
      <c r="S967" s="3">
        <v>2.06</v>
      </c>
      <c r="U967" s="3">
        <v>-6.2</v>
      </c>
    </row>
    <row r="968" spans="1:21" x14ac:dyDescent="0.35">
      <c r="A968" t="s">
        <v>897</v>
      </c>
      <c r="B968" t="s">
        <v>609</v>
      </c>
      <c r="C968" t="s">
        <v>370</v>
      </c>
      <c r="D968">
        <v>2011</v>
      </c>
      <c r="E968">
        <v>187</v>
      </c>
      <c r="F968" t="s">
        <v>600</v>
      </c>
      <c r="G968" t="s">
        <v>829</v>
      </c>
      <c r="H968" t="s">
        <v>832</v>
      </c>
      <c r="K968" t="s">
        <v>378</v>
      </c>
      <c r="L968" t="s">
        <v>447</v>
      </c>
      <c r="M968" t="s">
        <v>348</v>
      </c>
      <c r="N968" t="s">
        <v>417</v>
      </c>
      <c r="O968" t="s">
        <v>898</v>
      </c>
      <c r="P968" t="s">
        <v>899</v>
      </c>
      <c r="Q968" t="s">
        <v>230</v>
      </c>
      <c r="R968">
        <v>0</v>
      </c>
      <c r="S968" s="3">
        <v>1.69</v>
      </c>
      <c r="T968" s="3">
        <v>0</v>
      </c>
      <c r="U968" s="3">
        <v>0</v>
      </c>
    </row>
    <row r="969" spans="1:21" x14ac:dyDescent="0.35">
      <c r="A969" t="s">
        <v>897</v>
      </c>
      <c r="B969" t="s">
        <v>609</v>
      </c>
      <c r="C969" t="s">
        <v>370</v>
      </c>
      <c r="D969">
        <v>2011</v>
      </c>
      <c r="E969">
        <v>187</v>
      </c>
      <c r="F969" t="s">
        <v>600</v>
      </c>
      <c r="G969" t="s">
        <v>829</v>
      </c>
      <c r="H969" t="s">
        <v>832</v>
      </c>
      <c r="K969" t="s">
        <v>378</v>
      </c>
      <c r="L969" t="s">
        <v>447</v>
      </c>
      <c r="M969" t="s">
        <v>348</v>
      </c>
      <c r="N969" t="s">
        <v>417</v>
      </c>
      <c r="O969" t="s">
        <v>898</v>
      </c>
      <c r="P969" t="s">
        <v>899</v>
      </c>
      <c r="Q969" t="s">
        <v>230</v>
      </c>
      <c r="R969">
        <v>25</v>
      </c>
      <c r="S969" s="3">
        <v>1.74</v>
      </c>
      <c r="T969" s="3">
        <v>0.5</v>
      </c>
      <c r="U969" s="3">
        <v>-3.2</v>
      </c>
    </row>
    <row r="970" spans="1:21" x14ac:dyDescent="0.35">
      <c r="A970" t="s">
        <v>897</v>
      </c>
      <c r="B970" t="s">
        <v>609</v>
      </c>
      <c r="C970" t="s">
        <v>370</v>
      </c>
      <c r="D970">
        <v>2011</v>
      </c>
      <c r="E970">
        <v>187</v>
      </c>
      <c r="F970" t="s">
        <v>600</v>
      </c>
      <c r="G970" t="s">
        <v>829</v>
      </c>
      <c r="H970" t="s">
        <v>832</v>
      </c>
      <c r="K970" t="s">
        <v>378</v>
      </c>
      <c r="L970" t="s">
        <v>447</v>
      </c>
      <c r="M970" t="s">
        <v>348</v>
      </c>
      <c r="N970" t="s">
        <v>417</v>
      </c>
      <c r="O970" t="s">
        <v>898</v>
      </c>
      <c r="P970" t="s">
        <v>899</v>
      </c>
      <c r="Q970" t="s">
        <v>230</v>
      </c>
      <c r="R970">
        <v>50</v>
      </c>
      <c r="S970" s="3">
        <v>1.78</v>
      </c>
      <c r="T970" s="3">
        <v>1</v>
      </c>
      <c r="U970" s="3">
        <v>-6.3</v>
      </c>
    </row>
    <row r="971" spans="1:21" x14ac:dyDescent="0.35">
      <c r="A971" t="s">
        <v>897</v>
      </c>
      <c r="B971" t="s">
        <v>609</v>
      </c>
      <c r="C971" t="s">
        <v>370</v>
      </c>
      <c r="D971">
        <v>2011</v>
      </c>
      <c r="E971">
        <v>187</v>
      </c>
      <c r="F971" t="s">
        <v>600</v>
      </c>
      <c r="G971" t="s">
        <v>829</v>
      </c>
      <c r="H971" t="s">
        <v>832</v>
      </c>
      <c r="K971" t="s">
        <v>378</v>
      </c>
      <c r="L971" t="s">
        <v>447</v>
      </c>
      <c r="M971" t="s">
        <v>348</v>
      </c>
      <c r="N971" t="s">
        <v>417</v>
      </c>
      <c r="O971" t="s">
        <v>898</v>
      </c>
      <c r="P971" t="s">
        <v>899</v>
      </c>
      <c r="Q971" t="s">
        <v>230</v>
      </c>
      <c r="R971">
        <v>75</v>
      </c>
      <c r="S971" s="3">
        <v>1.89</v>
      </c>
      <c r="T971" s="3">
        <v>1.5</v>
      </c>
      <c r="U971" s="3">
        <v>-9.5</v>
      </c>
    </row>
    <row r="972" spans="1:21" x14ac:dyDescent="0.35">
      <c r="A972" t="s">
        <v>897</v>
      </c>
      <c r="B972" t="s">
        <v>609</v>
      </c>
      <c r="C972" t="s">
        <v>370</v>
      </c>
      <c r="D972">
        <v>2011</v>
      </c>
      <c r="E972">
        <v>187</v>
      </c>
      <c r="F972" t="s">
        <v>600</v>
      </c>
      <c r="G972" t="s">
        <v>829</v>
      </c>
      <c r="H972" t="s">
        <v>832</v>
      </c>
      <c r="K972" t="s">
        <v>378</v>
      </c>
      <c r="L972" t="s">
        <v>447</v>
      </c>
      <c r="M972" t="s">
        <v>348</v>
      </c>
      <c r="N972" t="s">
        <v>417</v>
      </c>
      <c r="O972" t="s">
        <v>898</v>
      </c>
      <c r="P972" t="s">
        <v>899</v>
      </c>
      <c r="Q972" t="s">
        <v>230</v>
      </c>
      <c r="R972">
        <v>100</v>
      </c>
      <c r="S972" s="3">
        <v>2.1800000000000002</v>
      </c>
      <c r="T972" s="3">
        <v>2</v>
      </c>
      <c r="U972" s="3">
        <v>-12.6</v>
      </c>
    </row>
    <row r="973" spans="1:21" x14ac:dyDescent="0.35">
      <c r="A973" t="s">
        <v>628</v>
      </c>
      <c r="B973" t="s">
        <v>522</v>
      </c>
      <c r="C973" t="s">
        <v>370</v>
      </c>
      <c r="D973">
        <v>2017</v>
      </c>
      <c r="E973">
        <v>188</v>
      </c>
      <c r="F973" t="s">
        <v>600</v>
      </c>
      <c r="G973" t="s">
        <v>829</v>
      </c>
      <c r="H973" t="s">
        <v>900</v>
      </c>
      <c r="K973" t="s">
        <v>394</v>
      </c>
      <c r="M973" t="s">
        <v>348</v>
      </c>
      <c r="N973" t="s">
        <v>538</v>
      </c>
      <c r="O973" t="s">
        <v>168</v>
      </c>
      <c r="P973" t="s">
        <v>169</v>
      </c>
      <c r="Q973" t="s">
        <v>230</v>
      </c>
      <c r="R973">
        <v>0</v>
      </c>
      <c r="S973" s="3">
        <f>1/1.15</f>
        <v>0.86956521739130443</v>
      </c>
      <c r="T973" s="3">
        <v>0</v>
      </c>
      <c r="U973" s="3">
        <v>0</v>
      </c>
    </row>
    <row r="974" spans="1:21" x14ac:dyDescent="0.35">
      <c r="A974" t="s">
        <v>628</v>
      </c>
      <c r="B974" t="s">
        <v>522</v>
      </c>
      <c r="C974" t="s">
        <v>370</v>
      </c>
      <c r="D974">
        <v>2017</v>
      </c>
      <c r="E974">
        <v>188</v>
      </c>
      <c r="F974" t="s">
        <v>600</v>
      </c>
      <c r="G974" t="s">
        <v>829</v>
      </c>
      <c r="H974" t="s">
        <v>832</v>
      </c>
      <c r="K974" t="s">
        <v>394</v>
      </c>
      <c r="M974" t="s">
        <v>348</v>
      </c>
      <c r="N974" t="s">
        <v>538</v>
      </c>
      <c r="O974" t="s">
        <v>168</v>
      </c>
      <c r="P974" t="s">
        <v>169</v>
      </c>
      <c r="Q974" t="s">
        <v>230</v>
      </c>
      <c r="R974">
        <v>40</v>
      </c>
      <c r="S974" s="3">
        <f>1/1.05</f>
        <v>0.95238095238095233</v>
      </c>
      <c r="T974" s="3">
        <v>2.2400000000000002</v>
      </c>
      <c r="U974" s="3">
        <v>-2.1</v>
      </c>
    </row>
    <row r="975" spans="1:21" x14ac:dyDescent="0.35">
      <c r="A975" t="s">
        <v>628</v>
      </c>
      <c r="B975" t="s">
        <v>522</v>
      </c>
      <c r="C975" t="s">
        <v>370</v>
      </c>
      <c r="D975">
        <v>2017</v>
      </c>
      <c r="E975">
        <v>188</v>
      </c>
      <c r="F975" t="s">
        <v>600</v>
      </c>
      <c r="G975" t="s">
        <v>829</v>
      </c>
      <c r="H975" t="s">
        <v>900</v>
      </c>
      <c r="K975" t="s">
        <v>394</v>
      </c>
      <c r="M975" t="s">
        <v>348</v>
      </c>
      <c r="N975" t="s">
        <v>538</v>
      </c>
      <c r="O975" t="s">
        <v>168</v>
      </c>
      <c r="P975" t="s">
        <v>169</v>
      </c>
      <c r="Q975" t="s">
        <v>230</v>
      </c>
      <c r="R975">
        <v>40</v>
      </c>
      <c r="S975" s="3">
        <f>1/1.06</f>
        <v>0.94339622641509424</v>
      </c>
      <c r="T975" s="3">
        <v>2.2400000000000002</v>
      </c>
      <c r="U975" s="3">
        <v>-2.1</v>
      </c>
    </row>
    <row r="976" spans="1:21" x14ac:dyDescent="0.35">
      <c r="A976" t="s">
        <v>628</v>
      </c>
      <c r="B976" t="s">
        <v>522</v>
      </c>
      <c r="C976" t="s">
        <v>370</v>
      </c>
      <c r="D976">
        <v>2017</v>
      </c>
      <c r="E976">
        <v>188</v>
      </c>
      <c r="F976" t="s">
        <v>600</v>
      </c>
      <c r="G976" t="s">
        <v>829</v>
      </c>
      <c r="H976" t="s">
        <v>900</v>
      </c>
      <c r="K976" t="s">
        <v>394</v>
      </c>
      <c r="M976" t="s">
        <v>348</v>
      </c>
      <c r="N976" t="s">
        <v>538</v>
      </c>
      <c r="O976" t="s">
        <v>168</v>
      </c>
      <c r="P976" t="s">
        <v>169</v>
      </c>
      <c r="Q976" t="s">
        <v>230</v>
      </c>
      <c r="R976">
        <v>40</v>
      </c>
      <c r="S976" s="3">
        <f>1/1.01</f>
        <v>0.99009900990099009</v>
      </c>
      <c r="T976" s="3">
        <v>2.2400000000000002</v>
      </c>
      <c r="U976" s="3">
        <v>-2.1</v>
      </c>
    </row>
    <row r="977" spans="1:21" x14ac:dyDescent="0.35">
      <c r="A977" t="s">
        <v>901</v>
      </c>
      <c r="B977" t="s">
        <v>398</v>
      </c>
      <c r="C977" t="s">
        <v>370</v>
      </c>
      <c r="D977">
        <v>2013</v>
      </c>
      <c r="E977">
        <v>189</v>
      </c>
      <c r="F977" t="s">
        <v>600</v>
      </c>
      <c r="G977" t="s">
        <v>829</v>
      </c>
      <c r="H977" t="s">
        <v>868</v>
      </c>
      <c r="K977" t="s">
        <v>378</v>
      </c>
      <c r="L977" t="s">
        <v>904</v>
      </c>
      <c r="M977" t="s">
        <v>348</v>
      </c>
      <c r="N977" t="s">
        <v>538</v>
      </c>
      <c r="O977" t="s">
        <v>903</v>
      </c>
      <c r="P977" t="s">
        <v>902</v>
      </c>
      <c r="Q977" t="s">
        <v>520</v>
      </c>
      <c r="R977">
        <v>0</v>
      </c>
      <c r="S977" s="3">
        <v>1.33</v>
      </c>
      <c r="T977">
        <v>0</v>
      </c>
      <c r="U977" s="3">
        <v>0</v>
      </c>
    </row>
    <row r="978" spans="1:21" x14ac:dyDescent="0.35">
      <c r="A978" t="s">
        <v>901</v>
      </c>
      <c r="B978" t="s">
        <v>398</v>
      </c>
      <c r="C978" t="s">
        <v>370</v>
      </c>
      <c r="D978">
        <v>2013</v>
      </c>
      <c r="E978">
        <v>189</v>
      </c>
      <c r="F978" t="s">
        <v>600</v>
      </c>
      <c r="G978" t="s">
        <v>829</v>
      </c>
      <c r="H978" t="s">
        <v>868</v>
      </c>
      <c r="K978" t="s">
        <v>378</v>
      </c>
      <c r="L978" t="s">
        <v>904</v>
      </c>
      <c r="M978" t="s">
        <v>348</v>
      </c>
      <c r="N978" t="s">
        <v>538</v>
      </c>
      <c r="O978" t="s">
        <v>903</v>
      </c>
      <c r="P978" t="s">
        <v>902</v>
      </c>
      <c r="Q978" t="s">
        <v>520</v>
      </c>
      <c r="R978">
        <v>12</v>
      </c>
      <c r="S978" s="3">
        <v>1.35</v>
      </c>
      <c r="T978">
        <v>0.2</v>
      </c>
      <c r="U978" s="3">
        <v>0</v>
      </c>
    </row>
    <row r="979" spans="1:21" x14ac:dyDescent="0.35">
      <c r="A979" t="s">
        <v>901</v>
      </c>
      <c r="B979" t="s">
        <v>398</v>
      </c>
      <c r="C979" t="s">
        <v>370</v>
      </c>
      <c r="D979">
        <v>2013</v>
      </c>
      <c r="E979">
        <v>189</v>
      </c>
      <c r="F979" t="s">
        <v>600</v>
      </c>
      <c r="G979" t="s">
        <v>829</v>
      </c>
      <c r="H979" t="s">
        <v>868</v>
      </c>
      <c r="K979" t="s">
        <v>378</v>
      </c>
      <c r="L979" t="s">
        <v>904</v>
      </c>
      <c r="M979" t="s">
        <v>348</v>
      </c>
      <c r="N979" t="s">
        <v>538</v>
      </c>
      <c r="O979" t="s">
        <v>903</v>
      </c>
      <c r="P979" t="s">
        <v>902</v>
      </c>
      <c r="Q979" t="s">
        <v>520</v>
      </c>
      <c r="R979">
        <v>24</v>
      </c>
      <c r="S979" s="3">
        <v>1.44</v>
      </c>
      <c r="T979">
        <v>0.4</v>
      </c>
      <c r="U979" s="3">
        <v>0</v>
      </c>
    </row>
    <row r="980" spans="1:21" x14ac:dyDescent="0.35">
      <c r="A980" t="s">
        <v>901</v>
      </c>
      <c r="B980" t="s">
        <v>398</v>
      </c>
      <c r="C980" t="s">
        <v>370</v>
      </c>
      <c r="D980">
        <v>2013</v>
      </c>
      <c r="E980">
        <v>189</v>
      </c>
      <c r="F980" t="s">
        <v>600</v>
      </c>
      <c r="G980" t="s">
        <v>829</v>
      </c>
      <c r="H980" t="s">
        <v>868</v>
      </c>
      <c r="K980" t="s">
        <v>378</v>
      </c>
      <c r="L980" t="s">
        <v>904</v>
      </c>
      <c r="M980" t="s">
        <v>348</v>
      </c>
      <c r="N980" t="s">
        <v>538</v>
      </c>
      <c r="O980" t="s">
        <v>903</v>
      </c>
      <c r="P980" t="s">
        <v>902</v>
      </c>
      <c r="Q980" t="s">
        <v>520</v>
      </c>
      <c r="R980">
        <v>36</v>
      </c>
      <c r="S980" s="3">
        <v>1.46</v>
      </c>
      <c r="T980">
        <v>0.6</v>
      </c>
      <c r="U980" s="3">
        <v>0</v>
      </c>
    </row>
    <row r="981" spans="1:21" x14ac:dyDescent="0.35">
      <c r="A981" t="s">
        <v>901</v>
      </c>
      <c r="B981" t="s">
        <v>398</v>
      </c>
      <c r="C981" t="s">
        <v>370</v>
      </c>
      <c r="D981">
        <v>2013</v>
      </c>
      <c r="E981">
        <v>189</v>
      </c>
      <c r="F981" t="s">
        <v>600</v>
      </c>
      <c r="G981" t="s">
        <v>829</v>
      </c>
      <c r="H981" t="s">
        <v>868</v>
      </c>
      <c r="K981" t="s">
        <v>378</v>
      </c>
      <c r="L981" t="s">
        <v>904</v>
      </c>
      <c r="M981" t="s">
        <v>348</v>
      </c>
      <c r="N981" t="s">
        <v>538</v>
      </c>
      <c r="O981" t="s">
        <v>903</v>
      </c>
      <c r="P981" t="s">
        <v>902</v>
      </c>
      <c r="Q981" t="s">
        <v>520</v>
      </c>
      <c r="R981">
        <v>48</v>
      </c>
      <c r="S981" s="3">
        <v>1.52</v>
      </c>
      <c r="T981">
        <v>0.8</v>
      </c>
      <c r="U981" s="3">
        <v>0</v>
      </c>
    </row>
    <row r="982" spans="1:21" x14ac:dyDescent="0.35">
      <c r="A982" t="s">
        <v>905</v>
      </c>
      <c r="B982" t="s">
        <v>625</v>
      </c>
      <c r="C982" t="s">
        <v>456</v>
      </c>
      <c r="D982">
        <v>2015</v>
      </c>
      <c r="E982">
        <v>190</v>
      </c>
      <c r="F982" t="s">
        <v>600</v>
      </c>
      <c r="G982" t="s">
        <v>829</v>
      </c>
      <c r="H982" t="s">
        <v>851</v>
      </c>
      <c r="K982" t="s">
        <v>394</v>
      </c>
      <c r="L982" t="s">
        <v>841</v>
      </c>
      <c r="M982" t="s">
        <v>348</v>
      </c>
      <c r="N982" t="s">
        <v>538</v>
      </c>
      <c r="O982" t="s">
        <v>907</v>
      </c>
      <c r="P982" t="s">
        <v>906</v>
      </c>
      <c r="Q982" t="s">
        <v>230</v>
      </c>
      <c r="R982">
        <v>0</v>
      </c>
      <c r="S982" s="3">
        <f>1/1.33</f>
        <v>0.75187969924812026</v>
      </c>
      <c r="T982" s="3">
        <v>0</v>
      </c>
    </row>
    <row r="983" spans="1:21" x14ac:dyDescent="0.35">
      <c r="A983" t="s">
        <v>905</v>
      </c>
      <c r="B983" t="s">
        <v>625</v>
      </c>
      <c r="C983" t="s">
        <v>456</v>
      </c>
      <c r="D983">
        <v>2015</v>
      </c>
      <c r="E983">
        <v>190</v>
      </c>
      <c r="F983" t="s">
        <v>600</v>
      </c>
      <c r="G983" t="s">
        <v>829</v>
      </c>
      <c r="H983" t="s">
        <v>851</v>
      </c>
      <c r="K983" t="s">
        <v>394</v>
      </c>
      <c r="M983" t="s">
        <v>348</v>
      </c>
      <c r="N983" t="s">
        <v>538</v>
      </c>
      <c r="O983" t="s">
        <v>907</v>
      </c>
      <c r="P983" t="s">
        <v>906</v>
      </c>
      <c r="Q983" t="s">
        <v>230</v>
      </c>
      <c r="R983">
        <v>20</v>
      </c>
      <c r="S983" s="3">
        <f>1/1.49</f>
        <v>0.67114093959731547</v>
      </c>
      <c r="T983" s="3">
        <v>1.8</v>
      </c>
    </row>
    <row r="984" spans="1:21" x14ac:dyDescent="0.35">
      <c r="A984" t="s">
        <v>905</v>
      </c>
      <c r="B984" t="s">
        <v>625</v>
      </c>
      <c r="C984" t="s">
        <v>456</v>
      </c>
      <c r="D984">
        <v>2015</v>
      </c>
      <c r="E984">
        <v>190</v>
      </c>
      <c r="F984" t="s">
        <v>600</v>
      </c>
      <c r="G984" t="s">
        <v>829</v>
      </c>
      <c r="H984" t="s">
        <v>851</v>
      </c>
      <c r="K984" t="s">
        <v>378</v>
      </c>
      <c r="L984" t="s">
        <v>841</v>
      </c>
      <c r="M984" t="s">
        <v>348</v>
      </c>
      <c r="N984" t="s">
        <v>538</v>
      </c>
      <c r="O984" t="s">
        <v>907</v>
      </c>
      <c r="P984" t="s">
        <v>906</v>
      </c>
      <c r="Q984" t="s">
        <v>230</v>
      </c>
      <c r="R984">
        <v>20</v>
      </c>
      <c r="S984" s="3">
        <f>1/1.52</f>
        <v>0.65789473684210531</v>
      </c>
      <c r="T984" s="3">
        <v>1.8</v>
      </c>
    </row>
    <row r="985" spans="1:21" x14ac:dyDescent="0.35">
      <c r="A985" t="s">
        <v>905</v>
      </c>
      <c r="B985" t="s">
        <v>625</v>
      </c>
      <c r="C985" t="s">
        <v>456</v>
      </c>
      <c r="D985">
        <v>2015</v>
      </c>
      <c r="E985">
        <v>190</v>
      </c>
      <c r="F985" t="s">
        <v>600</v>
      </c>
      <c r="G985" t="s">
        <v>829</v>
      </c>
      <c r="H985" t="s">
        <v>851</v>
      </c>
      <c r="K985" t="s">
        <v>394</v>
      </c>
      <c r="M985" t="s">
        <v>348</v>
      </c>
      <c r="N985" t="s">
        <v>538</v>
      </c>
      <c r="O985" t="s">
        <v>907</v>
      </c>
      <c r="P985" t="s">
        <v>906</v>
      </c>
      <c r="Q985" t="s">
        <v>230</v>
      </c>
      <c r="R985">
        <v>30</v>
      </c>
      <c r="S985" s="3">
        <f>1/1.35</f>
        <v>0.7407407407407407</v>
      </c>
      <c r="T985" s="3">
        <v>3.5</v>
      </c>
    </row>
    <row r="986" spans="1:21" x14ac:dyDescent="0.35">
      <c r="A986" t="s">
        <v>905</v>
      </c>
      <c r="B986" t="s">
        <v>625</v>
      </c>
      <c r="C986" t="s">
        <v>456</v>
      </c>
      <c r="D986">
        <v>2015</v>
      </c>
      <c r="E986">
        <v>190</v>
      </c>
      <c r="F986" t="s">
        <v>600</v>
      </c>
      <c r="G986" t="s">
        <v>829</v>
      </c>
      <c r="H986" t="s">
        <v>851</v>
      </c>
      <c r="K986" t="s">
        <v>378</v>
      </c>
      <c r="L986" t="s">
        <v>841</v>
      </c>
      <c r="M986" t="s">
        <v>348</v>
      </c>
      <c r="N986" t="s">
        <v>538</v>
      </c>
      <c r="O986" t="s">
        <v>907</v>
      </c>
      <c r="P986" t="s">
        <v>906</v>
      </c>
      <c r="Q986" t="s">
        <v>230</v>
      </c>
      <c r="R986">
        <v>30</v>
      </c>
      <c r="S986" s="3">
        <f>1/1.49</f>
        <v>0.67114093959731547</v>
      </c>
      <c r="T986" s="3">
        <v>3.5</v>
      </c>
    </row>
    <row r="987" spans="1:21" x14ac:dyDescent="0.35">
      <c r="A987" t="s">
        <v>908</v>
      </c>
      <c r="B987" t="s">
        <v>398</v>
      </c>
      <c r="C987" t="s">
        <v>370</v>
      </c>
      <c r="D987">
        <v>2011</v>
      </c>
      <c r="E987">
        <v>191</v>
      </c>
      <c r="F987" t="s">
        <v>863</v>
      </c>
      <c r="G987" t="s">
        <v>829</v>
      </c>
      <c r="H987" t="s">
        <v>832</v>
      </c>
      <c r="I987" t="s">
        <v>909</v>
      </c>
      <c r="J987" t="s">
        <v>911</v>
      </c>
      <c r="K987" t="s">
        <v>394</v>
      </c>
      <c r="M987" t="s">
        <v>348</v>
      </c>
      <c r="N987" t="s">
        <v>304</v>
      </c>
      <c r="O987" t="s">
        <v>861</v>
      </c>
      <c r="P987" t="s">
        <v>860</v>
      </c>
      <c r="Q987" t="s">
        <v>230</v>
      </c>
      <c r="R987">
        <v>0</v>
      </c>
      <c r="S987" s="3">
        <v>3</v>
      </c>
      <c r="U987">
        <v>0</v>
      </c>
    </row>
    <row r="988" spans="1:21" x14ac:dyDescent="0.35">
      <c r="A988" t="s">
        <v>908</v>
      </c>
      <c r="B988" t="s">
        <v>398</v>
      </c>
      <c r="C988" t="s">
        <v>370</v>
      </c>
      <c r="D988">
        <v>2011</v>
      </c>
      <c r="E988">
        <v>191</v>
      </c>
      <c r="F988" t="s">
        <v>863</v>
      </c>
      <c r="G988" t="s">
        <v>829</v>
      </c>
      <c r="H988" t="s">
        <v>832</v>
      </c>
      <c r="I988" t="s">
        <v>909</v>
      </c>
      <c r="J988" t="s">
        <v>911</v>
      </c>
      <c r="K988" t="s">
        <v>394</v>
      </c>
      <c r="M988" t="s">
        <v>348</v>
      </c>
      <c r="N988" t="s">
        <v>304</v>
      </c>
      <c r="O988" t="s">
        <v>861</v>
      </c>
      <c r="P988" t="s">
        <v>860</v>
      </c>
      <c r="Q988" t="s">
        <v>230</v>
      </c>
      <c r="R988">
        <v>20</v>
      </c>
      <c r="S988" s="3">
        <v>2.71</v>
      </c>
      <c r="U988">
        <v>0</v>
      </c>
    </row>
    <row r="989" spans="1:21" x14ac:dyDescent="0.35">
      <c r="A989" t="s">
        <v>908</v>
      </c>
      <c r="B989" t="s">
        <v>398</v>
      </c>
      <c r="C989" t="s">
        <v>370</v>
      </c>
      <c r="D989">
        <v>2011</v>
      </c>
      <c r="E989">
        <v>191</v>
      </c>
      <c r="F989" t="s">
        <v>863</v>
      </c>
      <c r="G989" t="s">
        <v>829</v>
      </c>
      <c r="H989" t="s">
        <v>832</v>
      </c>
      <c r="I989" t="s">
        <v>909</v>
      </c>
      <c r="J989" t="s">
        <v>911</v>
      </c>
      <c r="K989" t="s">
        <v>394</v>
      </c>
      <c r="M989" t="s">
        <v>348</v>
      </c>
      <c r="N989" t="s">
        <v>304</v>
      </c>
      <c r="O989" t="s">
        <v>861</v>
      </c>
      <c r="P989" t="s">
        <v>860</v>
      </c>
      <c r="Q989" t="s">
        <v>230</v>
      </c>
      <c r="R989">
        <v>40</v>
      </c>
      <c r="S989" s="3">
        <v>2.82</v>
      </c>
      <c r="U989">
        <v>0</v>
      </c>
    </row>
    <row r="990" spans="1:21" x14ac:dyDescent="0.35">
      <c r="A990" t="s">
        <v>908</v>
      </c>
      <c r="B990" t="s">
        <v>398</v>
      </c>
      <c r="C990" t="s">
        <v>370</v>
      </c>
      <c r="D990">
        <v>2011</v>
      </c>
      <c r="E990">
        <v>191</v>
      </c>
      <c r="F990" t="s">
        <v>863</v>
      </c>
      <c r="G990" t="s">
        <v>829</v>
      </c>
      <c r="H990" t="s">
        <v>832</v>
      </c>
      <c r="I990" t="s">
        <v>909</v>
      </c>
      <c r="J990" t="s">
        <v>911</v>
      </c>
      <c r="K990" t="s">
        <v>394</v>
      </c>
      <c r="M990" t="s">
        <v>348</v>
      </c>
      <c r="N990" t="s">
        <v>304</v>
      </c>
      <c r="O990" t="s">
        <v>861</v>
      </c>
      <c r="P990" t="s">
        <v>860</v>
      </c>
      <c r="Q990" t="s">
        <v>230</v>
      </c>
      <c r="R990">
        <v>60</v>
      </c>
      <c r="S990" s="3">
        <v>3.06</v>
      </c>
      <c r="U990">
        <v>0</v>
      </c>
    </row>
    <row r="991" spans="1:21" x14ac:dyDescent="0.35">
      <c r="A991" t="s">
        <v>908</v>
      </c>
      <c r="B991" t="s">
        <v>398</v>
      </c>
      <c r="C991" t="s">
        <v>370</v>
      </c>
      <c r="D991">
        <v>2011</v>
      </c>
      <c r="E991">
        <v>191</v>
      </c>
      <c r="F991" t="s">
        <v>863</v>
      </c>
      <c r="G991" t="s">
        <v>829</v>
      </c>
      <c r="H991" t="s">
        <v>832</v>
      </c>
      <c r="I991" t="s">
        <v>909</v>
      </c>
      <c r="J991" t="s">
        <v>911</v>
      </c>
      <c r="K991" t="s">
        <v>394</v>
      </c>
      <c r="M991" t="s">
        <v>348</v>
      </c>
      <c r="N991" t="s">
        <v>304</v>
      </c>
      <c r="O991" t="s">
        <v>861</v>
      </c>
      <c r="P991" t="s">
        <v>860</v>
      </c>
      <c r="Q991" t="s">
        <v>230</v>
      </c>
      <c r="R991">
        <v>80</v>
      </c>
      <c r="S991" s="3">
        <v>3.37</v>
      </c>
      <c r="U991">
        <v>0</v>
      </c>
    </row>
    <row r="992" spans="1:21" x14ac:dyDescent="0.35">
      <c r="A992" t="s">
        <v>913</v>
      </c>
      <c r="B992" t="s">
        <v>473</v>
      </c>
      <c r="C992" t="s">
        <v>370</v>
      </c>
      <c r="D992">
        <v>2014</v>
      </c>
      <c r="E992">
        <v>192</v>
      </c>
      <c r="F992" t="s">
        <v>600</v>
      </c>
      <c r="G992" t="s">
        <v>829</v>
      </c>
      <c r="H992" t="s">
        <v>832</v>
      </c>
      <c r="K992" t="s">
        <v>378</v>
      </c>
      <c r="L992" t="s">
        <v>574</v>
      </c>
      <c r="M992" t="s">
        <v>348</v>
      </c>
      <c r="N992" t="s">
        <v>538</v>
      </c>
      <c r="O992" t="s">
        <v>912</v>
      </c>
      <c r="P992" t="s">
        <v>902</v>
      </c>
      <c r="Q992" t="s">
        <v>230</v>
      </c>
      <c r="R992">
        <v>0</v>
      </c>
      <c r="S992" s="3">
        <v>1.5</v>
      </c>
      <c r="U992">
        <v>0</v>
      </c>
    </row>
    <row r="993" spans="1:21" x14ac:dyDescent="0.35">
      <c r="A993" t="s">
        <v>913</v>
      </c>
      <c r="B993" t="s">
        <v>473</v>
      </c>
      <c r="C993" t="s">
        <v>370</v>
      </c>
      <c r="D993">
        <v>2014</v>
      </c>
      <c r="E993">
        <v>192</v>
      </c>
      <c r="F993" t="s">
        <v>600</v>
      </c>
      <c r="G993" t="s">
        <v>829</v>
      </c>
      <c r="H993" t="s">
        <v>832</v>
      </c>
      <c r="K993" t="s">
        <v>378</v>
      </c>
      <c r="L993" t="s">
        <v>574</v>
      </c>
      <c r="M993" t="s">
        <v>348</v>
      </c>
      <c r="N993" t="s">
        <v>538</v>
      </c>
      <c r="O993" t="s">
        <v>912</v>
      </c>
      <c r="P993" t="s">
        <v>902</v>
      </c>
      <c r="Q993" t="s">
        <v>230</v>
      </c>
      <c r="R993">
        <v>20</v>
      </c>
      <c r="S993" s="3">
        <v>1.86</v>
      </c>
      <c r="U993">
        <v>-8.4</v>
      </c>
    </row>
    <row r="994" spans="1:21" x14ac:dyDescent="0.35">
      <c r="A994" t="s">
        <v>913</v>
      </c>
      <c r="B994" t="s">
        <v>473</v>
      </c>
      <c r="C994" t="s">
        <v>370</v>
      </c>
      <c r="D994">
        <v>2014</v>
      </c>
      <c r="E994">
        <v>192</v>
      </c>
      <c r="F994" t="s">
        <v>600</v>
      </c>
      <c r="G994" t="s">
        <v>829</v>
      </c>
      <c r="H994" t="s">
        <v>832</v>
      </c>
      <c r="K994" t="s">
        <v>378</v>
      </c>
      <c r="L994" t="s">
        <v>574</v>
      </c>
      <c r="M994" t="s">
        <v>348</v>
      </c>
      <c r="N994" t="s">
        <v>538</v>
      </c>
      <c r="O994" t="s">
        <v>912</v>
      </c>
      <c r="P994" t="s">
        <v>902</v>
      </c>
      <c r="Q994" t="s">
        <v>230</v>
      </c>
      <c r="R994">
        <v>40</v>
      </c>
      <c r="S994" s="3">
        <v>1.87</v>
      </c>
      <c r="U994">
        <v>-12.1</v>
      </c>
    </row>
    <row r="995" spans="1:21" x14ac:dyDescent="0.35">
      <c r="A995" t="s">
        <v>914</v>
      </c>
      <c r="B995" t="s">
        <v>398</v>
      </c>
      <c r="C995" t="s">
        <v>549</v>
      </c>
      <c r="D995">
        <v>2018</v>
      </c>
      <c r="E995">
        <v>193</v>
      </c>
      <c r="F995" t="s">
        <v>600</v>
      </c>
      <c r="G995" t="s">
        <v>829</v>
      </c>
      <c r="H995" t="s">
        <v>832</v>
      </c>
      <c r="K995" t="s">
        <v>394</v>
      </c>
      <c r="M995" t="s">
        <v>348</v>
      </c>
      <c r="N995" t="s">
        <v>481</v>
      </c>
      <c r="O995" t="s">
        <v>288</v>
      </c>
      <c r="P995" t="s">
        <v>482</v>
      </c>
      <c r="Q995" t="s">
        <v>230</v>
      </c>
      <c r="R995">
        <v>0</v>
      </c>
      <c r="S995" s="3">
        <v>1.27</v>
      </c>
      <c r="T995" s="3">
        <v>0</v>
      </c>
      <c r="U995" s="3">
        <v>0</v>
      </c>
    </row>
    <row r="996" spans="1:21" x14ac:dyDescent="0.35">
      <c r="A996" t="s">
        <v>914</v>
      </c>
      <c r="B996" t="s">
        <v>398</v>
      </c>
      <c r="C996" t="s">
        <v>549</v>
      </c>
      <c r="D996">
        <v>2018</v>
      </c>
      <c r="E996">
        <v>193</v>
      </c>
      <c r="F996" t="s">
        <v>600</v>
      </c>
      <c r="G996" t="s">
        <v>829</v>
      </c>
      <c r="H996" t="s">
        <v>832</v>
      </c>
      <c r="K996" t="s">
        <v>394</v>
      </c>
      <c r="M996" t="s">
        <v>348</v>
      </c>
      <c r="N996" t="s">
        <v>481</v>
      </c>
      <c r="O996" t="s">
        <v>288</v>
      </c>
      <c r="P996" t="s">
        <v>482</v>
      </c>
      <c r="Q996" t="s">
        <v>230</v>
      </c>
      <c r="R996">
        <v>50</v>
      </c>
      <c r="S996" s="3">
        <v>2.12</v>
      </c>
      <c r="T996" s="3">
        <v>0.8</v>
      </c>
      <c r="U996" s="3">
        <v>-10</v>
      </c>
    </row>
    <row r="997" spans="1:21" x14ac:dyDescent="0.35">
      <c r="A997" t="s">
        <v>914</v>
      </c>
      <c r="B997" t="s">
        <v>398</v>
      </c>
      <c r="C997" t="s">
        <v>549</v>
      </c>
      <c r="D997">
        <v>2018</v>
      </c>
      <c r="E997">
        <v>193</v>
      </c>
      <c r="F997" t="s">
        <v>600</v>
      </c>
      <c r="G997" t="s">
        <v>829</v>
      </c>
      <c r="H997" t="s">
        <v>915</v>
      </c>
      <c r="K997" t="s">
        <v>394</v>
      </c>
      <c r="M997" t="s">
        <v>348</v>
      </c>
      <c r="N997" t="s">
        <v>481</v>
      </c>
      <c r="O997" t="s">
        <v>288</v>
      </c>
      <c r="P997" t="s">
        <v>482</v>
      </c>
      <c r="Q997" t="s">
        <v>230</v>
      </c>
      <c r="R997">
        <v>50</v>
      </c>
      <c r="S997" s="3">
        <v>1.8</v>
      </c>
      <c r="T997" s="3">
        <v>0.8</v>
      </c>
      <c r="U997" s="3">
        <v>-8</v>
      </c>
    </row>
    <row r="998" spans="1:21" x14ac:dyDescent="0.35">
      <c r="A998" t="s">
        <v>914</v>
      </c>
      <c r="B998" t="s">
        <v>398</v>
      </c>
      <c r="C998" t="s">
        <v>549</v>
      </c>
      <c r="D998">
        <v>2018</v>
      </c>
      <c r="E998">
        <v>193</v>
      </c>
      <c r="F998" t="s">
        <v>600</v>
      </c>
      <c r="G998" t="s">
        <v>829</v>
      </c>
      <c r="H998" t="s">
        <v>832</v>
      </c>
      <c r="K998" t="s">
        <v>394</v>
      </c>
      <c r="M998" t="s">
        <v>348</v>
      </c>
      <c r="N998" t="s">
        <v>481</v>
      </c>
      <c r="O998" t="s">
        <v>288</v>
      </c>
      <c r="P998" t="s">
        <v>482</v>
      </c>
      <c r="Q998" t="s">
        <v>230</v>
      </c>
      <c r="R998">
        <v>100</v>
      </c>
      <c r="S998" s="3">
        <v>4</v>
      </c>
      <c r="T998" s="3">
        <v>2.8</v>
      </c>
      <c r="U998" s="3">
        <v>-28</v>
      </c>
    </row>
    <row r="999" spans="1:21" x14ac:dyDescent="0.35">
      <c r="A999" t="s">
        <v>914</v>
      </c>
      <c r="B999" t="s">
        <v>398</v>
      </c>
      <c r="C999" t="s">
        <v>549</v>
      </c>
      <c r="D999">
        <v>2018</v>
      </c>
      <c r="E999">
        <v>193</v>
      </c>
      <c r="F999" t="s">
        <v>600</v>
      </c>
      <c r="G999" t="s">
        <v>829</v>
      </c>
      <c r="H999" t="s">
        <v>915</v>
      </c>
      <c r="K999" t="s">
        <v>394</v>
      </c>
      <c r="M999" t="s">
        <v>348</v>
      </c>
      <c r="N999" t="s">
        <v>481</v>
      </c>
      <c r="O999" t="s">
        <v>288</v>
      </c>
      <c r="P999" t="s">
        <v>482</v>
      </c>
      <c r="Q999" t="s">
        <v>230</v>
      </c>
      <c r="R999">
        <v>100</v>
      </c>
      <c r="S999" s="3">
        <v>8.8000000000000007</v>
      </c>
      <c r="T999" s="3">
        <v>2.8</v>
      </c>
      <c r="U999" s="3">
        <v>-18</v>
      </c>
    </row>
    <row r="1000" spans="1:21" x14ac:dyDescent="0.35">
      <c r="A1000" t="s">
        <v>916</v>
      </c>
      <c r="B1000" t="s">
        <v>917</v>
      </c>
      <c r="C1000" t="s">
        <v>692</v>
      </c>
      <c r="D1000">
        <v>2014</v>
      </c>
      <c r="E1000">
        <v>194</v>
      </c>
      <c r="F1000" t="s">
        <v>600</v>
      </c>
      <c r="G1000" t="s">
        <v>829</v>
      </c>
      <c r="H1000" t="s">
        <v>833</v>
      </c>
      <c r="K1000" t="s">
        <v>378</v>
      </c>
      <c r="L1000" t="s">
        <v>377</v>
      </c>
      <c r="M1000" t="s">
        <v>348</v>
      </c>
      <c r="N1000" t="s">
        <v>417</v>
      </c>
      <c r="O1000" t="s">
        <v>103</v>
      </c>
      <c r="P1000" t="s">
        <v>102</v>
      </c>
      <c r="Q1000" t="s">
        <v>520</v>
      </c>
      <c r="R1000">
        <v>0</v>
      </c>
      <c r="S1000" s="3">
        <f>1/0.68</f>
        <v>1.4705882352941175</v>
      </c>
      <c r="U1000" s="3">
        <v>0</v>
      </c>
    </row>
    <row r="1001" spans="1:21" x14ac:dyDescent="0.35">
      <c r="A1001" t="s">
        <v>916</v>
      </c>
      <c r="B1001" t="s">
        <v>917</v>
      </c>
      <c r="C1001" t="s">
        <v>692</v>
      </c>
      <c r="D1001">
        <v>2014</v>
      </c>
      <c r="E1001">
        <v>194</v>
      </c>
      <c r="F1001" t="s">
        <v>600</v>
      </c>
      <c r="G1001" t="s">
        <v>829</v>
      </c>
      <c r="H1001" t="s">
        <v>833</v>
      </c>
      <c r="K1001" t="s">
        <v>378</v>
      </c>
      <c r="L1001" t="s">
        <v>377</v>
      </c>
      <c r="M1001" t="s">
        <v>348</v>
      </c>
      <c r="N1001" t="s">
        <v>417</v>
      </c>
      <c r="O1001" t="s">
        <v>103</v>
      </c>
      <c r="P1001" t="s">
        <v>102</v>
      </c>
      <c r="Q1001" t="s">
        <v>520</v>
      </c>
      <c r="R1001">
        <v>100</v>
      </c>
      <c r="S1001" s="3">
        <f>1/0.42</f>
        <v>2.3809523809523809</v>
      </c>
      <c r="U1001" s="3">
        <v>15.72</v>
      </c>
    </row>
    <row r="1002" spans="1:21" x14ac:dyDescent="0.35">
      <c r="A1002" t="s">
        <v>916</v>
      </c>
      <c r="B1002" t="s">
        <v>917</v>
      </c>
      <c r="C1002" t="s">
        <v>692</v>
      </c>
      <c r="D1002">
        <v>2014</v>
      </c>
      <c r="E1002">
        <v>194</v>
      </c>
      <c r="F1002" t="s">
        <v>600</v>
      </c>
      <c r="G1002" t="s">
        <v>829</v>
      </c>
      <c r="H1002" t="s">
        <v>833</v>
      </c>
      <c r="K1002" t="s">
        <v>378</v>
      </c>
      <c r="L1002" t="s">
        <v>377</v>
      </c>
      <c r="M1002" t="s">
        <v>348</v>
      </c>
      <c r="N1002" t="s">
        <v>417</v>
      </c>
      <c r="O1002" t="s">
        <v>103</v>
      </c>
      <c r="P1002" t="s">
        <v>102</v>
      </c>
      <c r="Q1002" t="s">
        <v>520</v>
      </c>
      <c r="R1002">
        <v>100</v>
      </c>
      <c r="S1002" s="3">
        <f>1/0.38</f>
        <v>2.6315789473684212</v>
      </c>
      <c r="U1002" s="3">
        <v>7.24</v>
      </c>
    </row>
    <row r="1003" spans="1:21" x14ac:dyDescent="0.35">
      <c r="A1003" t="s">
        <v>918</v>
      </c>
      <c r="B1003" t="s">
        <v>453</v>
      </c>
      <c r="C1003" t="s">
        <v>692</v>
      </c>
      <c r="D1003">
        <v>2012</v>
      </c>
      <c r="E1003">
        <v>195</v>
      </c>
      <c r="F1003" t="s">
        <v>600</v>
      </c>
      <c r="G1003" t="s">
        <v>829</v>
      </c>
      <c r="H1003" t="s">
        <v>877</v>
      </c>
      <c r="K1003" t="s">
        <v>378</v>
      </c>
      <c r="L1003" t="s">
        <v>574</v>
      </c>
      <c r="M1003" t="s">
        <v>348</v>
      </c>
      <c r="N1003" t="s">
        <v>106</v>
      </c>
      <c r="O1003" t="s">
        <v>465</v>
      </c>
      <c r="P1003" t="s">
        <v>115</v>
      </c>
      <c r="Q1003" t="s">
        <v>520</v>
      </c>
      <c r="R1003">
        <v>0</v>
      </c>
      <c r="S1003" s="3">
        <v>1.49</v>
      </c>
      <c r="U1003" s="3">
        <v>0</v>
      </c>
    </row>
    <row r="1004" spans="1:21" x14ac:dyDescent="0.35">
      <c r="A1004" t="s">
        <v>918</v>
      </c>
      <c r="B1004" t="s">
        <v>453</v>
      </c>
      <c r="C1004" t="s">
        <v>692</v>
      </c>
      <c r="D1004">
        <v>2012</v>
      </c>
      <c r="E1004">
        <v>195</v>
      </c>
      <c r="F1004" t="s">
        <v>600</v>
      </c>
      <c r="G1004" t="s">
        <v>829</v>
      </c>
      <c r="H1004" t="s">
        <v>877</v>
      </c>
      <c r="K1004" t="s">
        <v>378</v>
      </c>
      <c r="L1004" t="s">
        <v>574</v>
      </c>
      <c r="M1004" t="s">
        <v>348</v>
      </c>
      <c r="N1004" t="s">
        <v>106</v>
      </c>
      <c r="O1004" t="s">
        <v>465</v>
      </c>
      <c r="P1004" t="s">
        <v>115</v>
      </c>
      <c r="Q1004" t="s">
        <v>520</v>
      </c>
      <c r="R1004">
        <v>50</v>
      </c>
      <c r="S1004" s="3">
        <v>1.89</v>
      </c>
      <c r="U1004" s="3">
        <v>-1.8</v>
      </c>
    </row>
    <row r="1005" spans="1:21" x14ac:dyDescent="0.35">
      <c r="A1005" t="s">
        <v>918</v>
      </c>
      <c r="B1005" t="s">
        <v>453</v>
      </c>
      <c r="C1005" t="s">
        <v>692</v>
      </c>
      <c r="D1005">
        <v>2012</v>
      </c>
      <c r="E1005">
        <v>195</v>
      </c>
      <c r="F1005" t="s">
        <v>600</v>
      </c>
      <c r="G1005" t="s">
        <v>829</v>
      </c>
      <c r="H1005" t="s">
        <v>877</v>
      </c>
      <c r="K1005" t="s">
        <v>378</v>
      </c>
      <c r="L1005" t="s">
        <v>574</v>
      </c>
      <c r="M1005" t="s">
        <v>348</v>
      </c>
      <c r="N1005" t="s">
        <v>106</v>
      </c>
      <c r="O1005" t="s">
        <v>465</v>
      </c>
      <c r="P1005" t="s">
        <v>115</v>
      </c>
      <c r="Q1005" t="s">
        <v>520</v>
      </c>
      <c r="R1005">
        <v>50</v>
      </c>
      <c r="S1005" s="3">
        <v>1.81</v>
      </c>
      <c r="U1005" s="3">
        <v>0.3</v>
      </c>
    </row>
    <row r="1006" spans="1:21" x14ac:dyDescent="0.35">
      <c r="A1006" t="s">
        <v>918</v>
      </c>
      <c r="B1006" t="s">
        <v>453</v>
      </c>
      <c r="C1006" t="s">
        <v>692</v>
      </c>
      <c r="D1006">
        <v>2012</v>
      </c>
      <c r="E1006">
        <v>195</v>
      </c>
      <c r="F1006" t="s">
        <v>600</v>
      </c>
      <c r="G1006" t="s">
        <v>829</v>
      </c>
      <c r="H1006" t="s">
        <v>877</v>
      </c>
      <c r="K1006" t="s">
        <v>378</v>
      </c>
      <c r="L1006" t="s">
        <v>574</v>
      </c>
      <c r="M1006" t="s">
        <v>348</v>
      </c>
      <c r="N1006" t="s">
        <v>106</v>
      </c>
      <c r="O1006" t="s">
        <v>465</v>
      </c>
      <c r="P1006" t="s">
        <v>115</v>
      </c>
      <c r="Q1006" t="s">
        <v>520</v>
      </c>
      <c r="R1006">
        <v>100</v>
      </c>
      <c r="S1006" s="3">
        <v>2.82</v>
      </c>
      <c r="U1006" s="3">
        <v>4</v>
      </c>
    </row>
    <row r="1007" spans="1:21" x14ac:dyDescent="0.35">
      <c r="A1007" t="s">
        <v>921</v>
      </c>
      <c r="B1007" t="s">
        <v>398</v>
      </c>
      <c r="C1007" t="s">
        <v>922</v>
      </c>
      <c r="D1007">
        <v>2010</v>
      </c>
      <c r="E1007">
        <v>196</v>
      </c>
      <c r="F1007" t="s">
        <v>863</v>
      </c>
      <c r="G1007" t="s">
        <v>829</v>
      </c>
      <c r="H1007" t="s">
        <v>832</v>
      </c>
      <c r="I1007" t="s">
        <v>864</v>
      </c>
      <c r="K1007" t="s">
        <v>394</v>
      </c>
      <c r="M1007" t="s">
        <v>348</v>
      </c>
      <c r="N1007" t="s">
        <v>537</v>
      </c>
      <c r="O1007" t="s">
        <v>920</v>
      </c>
      <c r="P1007" t="s">
        <v>919</v>
      </c>
      <c r="Q1007" t="s">
        <v>230</v>
      </c>
      <c r="R1007">
        <v>0</v>
      </c>
      <c r="S1007" s="3">
        <f>1/1.03</f>
        <v>0.970873786407767</v>
      </c>
      <c r="T1007" s="3">
        <v>0</v>
      </c>
      <c r="U1007" s="3">
        <v>0</v>
      </c>
    </row>
    <row r="1008" spans="1:21" x14ac:dyDescent="0.35">
      <c r="A1008" t="s">
        <v>921</v>
      </c>
      <c r="B1008" t="s">
        <v>398</v>
      </c>
      <c r="C1008" t="s">
        <v>922</v>
      </c>
      <c r="D1008">
        <v>2010</v>
      </c>
      <c r="E1008">
        <v>196</v>
      </c>
      <c r="F1008" t="s">
        <v>863</v>
      </c>
      <c r="G1008" t="s">
        <v>829</v>
      </c>
      <c r="H1008" t="s">
        <v>832</v>
      </c>
      <c r="I1008" t="s">
        <v>864</v>
      </c>
      <c r="K1008" t="s">
        <v>394</v>
      </c>
      <c r="M1008" t="s">
        <v>348</v>
      </c>
      <c r="N1008" t="s">
        <v>537</v>
      </c>
      <c r="O1008" t="s">
        <v>920</v>
      </c>
      <c r="P1008" t="s">
        <v>919</v>
      </c>
      <c r="Q1008" t="s">
        <v>230</v>
      </c>
      <c r="R1008">
        <v>25</v>
      </c>
      <c r="S1008" s="3">
        <f>1/1.02</f>
        <v>0.98039215686274506</v>
      </c>
      <c r="T1008" s="3">
        <v>0</v>
      </c>
      <c r="U1008" s="3">
        <v>-7.5</v>
      </c>
    </row>
    <row r="1009" spans="1:21" x14ac:dyDescent="0.35">
      <c r="A1009" t="s">
        <v>921</v>
      </c>
      <c r="B1009" t="s">
        <v>398</v>
      </c>
      <c r="C1009" t="s">
        <v>922</v>
      </c>
      <c r="D1009">
        <v>2010</v>
      </c>
      <c r="E1009">
        <v>196</v>
      </c>
      <c r="F1009" t="s">
        <v>863</v>
      </c>
      <c r="G1009" t="s">
        <v>829</v>
      </c>
      <c r="H1009" t="s">
        <v>832</v>
      </c>
      <c r="I1009" t="s">
        <v>864</v>
      </c>
      <c r="K1009" t="s">
        <v>394</v>
      </c>
      <c r="M1009" t="s">
        <v>348</v>
      </c>
      <c r="N1009" t="s">
        <v>537</v>
      </c>
      <c r="O1009" t="s">
        <v>920</v>
      </c>
      <c r="P1009" t="s">
        <v>919</v>
      </c>
      <c r="Q1009" t="s">
        <v>230</v>
      </c>
      <c r="R1009">
        <v>50</v>
      </c>
      <c r="S1009" s="3">
        <f>1/0.95</f>
        <v>1.0526315789473684</v>
      </c>
      <c r="T1009" s="3">
        <v>0</v>
      </c>
      <c r="U1009" s="3">
        <v>-17</v>
      </c>
    </row>
    <row r="1010" spans="1:21" x14ac:dyDescent="0.35">
      <c r="A1010" t="s">
        <v>921</v>
      </c>
      <c r="B1010" t="s">
        <v>398</v>
      </c>
      <c r="C1010" t="s">
        <v>922</v>
      </c>
      <c r="D1010">
        <v>2010</v>
      </c>
      <c r="E1010">
        <v>196</v>
      </c>
      <c r="F1010" t="s">
        <v>863</v>
      </c>
      <c r="G1010" t="s">
        <v>829</v>
      </c>
      <c r="H1010" t="s">
        <v>832</v>
      </c>
      <c r="I1010" t="s">
        <v>864</v>
      </c>
      <c r="K1010" t="s">
        <v>394</v>
      </c>
      <c r="M1010" t="s">
        <v>348</v>
      </c>
      <c r="N1010" t="s">
        <v>537</v>
      </c>
      <c r="O1010" t="s">
        <v>920</v>
      </c>
      <c r="P1010" t="s">
        <v>919</v>
      </c>
      <c r="Q1010" t="s">
        <v>230</v>
      </c>
      <c r="R1010">
        <v>75</v>
      </c>
      <c r="S1010" s="3">
        <f>1/0.71</f>
        <v>1.4084507042253522</v>
      </c>
      <c r="T1010" s="3">
        <v>0</v>
      </c>
      <c r="U1010" s="3">
        <v>-27.5</v>
      </c>
    </row>
    <row r="1011" spans="1:21" x14ac:dyDescent="0.35">
      <c r="A1011" t="s">
        <v>925</v>
      </c>
      <c r="B1011" t="s">
        <v>473</v>
      </c>
      <c r="C1011" t="s">
        <v>385</v>
      </c>
      <c r="D1011">
        <v>2014</v>
      </c>
      <c r="E1011">
        <v>197</v>
      </c>
      <c r="F1011" t="s">
        <v>600</v>
      </c>
      <c r="G1011" t="s">
        <v>829</v>
      </c>
      <c r="H1011" t="s">
        <v>851</v>
      </c>
      <c r="K1011" t="s">
        <v>378</v>
      </c>
      <c r="L1011" t="s">
        <v>926</v>
      </c>
      <c r="M1011" t="s">
        <v>348</v>
      </c>
      <c r="N1011" t="s">
        <v>538</v>
      </c>
      <c r="O1011" t="s">
        <v>924</v>
      </c>
      <c r="P1011" t="s">
        <v>923</v>
      </c>
      <c r="Q1011" t="s">
        <v>230</v>
      </c>
      <c r="R1011">
        <v>0</v>
      </c>
      <c r="S1011" s="3">
        <f>1/0.78</f>
        <v>1.2820512820512819</v>
      </c>
      <c r="T1011" s="3">
        <v>0</v>
      </c>
    </row>
    <row r="1012" spans="1:21" x14ac:dyDescent="0.35">
      <c r="A1012" t="s">
        <v>925</v>
      </c>
      <c r="B1012" t="s">
        <v>473</v>
      </c>
      <c r="C1012" t="s">
        <v>385</v>
      </c>
      <c r="D1012">
        <v>2014</v>
      </c>
      <c r="E1012">
        <v>197</v>
      </c>
      <c r="F1012" t="s">
        <v>600</v>
      </c>
      <c r="G1012" t="s">
        <v>829</v>
      </c>
      <c r="H1012" t="s">
        <v>851</v>
      </c>
      <c r="K1012" t="s">
        <v>378</v>
      </c>
      <c r="L1012" t="s">
        <v>926</v>
      </c>
      <c r="M1012" t="s">
        <v>348</v>
      </c>
      <c r="N1012" t="s">
        <v>538</v>
      </c>
      <c r="O1012" t="s">
        <v>924</v>
      </c>
      <c r="P1012" t="s">
        <v>923</v>
      </c>
      <c r="Q1012" t="s">
        <v>230</v>
      </c>
      <c r="R1012">
        <v>50</v>
      </c>
      <c r="S1012" s="3">
        <f>1/0.77</f>
        <v>1.2987012987012987</v>
      </c>
      <c r="T1012" s="3">
        <v>3.2</v>
      </c>
    </row>
    <row r="1013" spans="1:21" x14ac:dyDescent="0.35">
      <c r="A1013" t="s">
        <v>925</v>
      </c>
      <c r="B1013" t="s">
        <v>473</v>
      </c>
      <c r="C1013" t="s">
        <v>385</v>
      </c>
      <c r="D1013">
        <v>2014</v>
      </c>
      <c r="E1013">
        <v>197</v>
      </c>
      <c r="F1013" t="s">
        <v>600</v>
      </c>
      <c r="G1013" t="s">
        <v>829</v>
      </c>
      <c r="H1013" t="s">
        <v>851</v>
      </c>
      <c r="K1013" t="s">
        <v>378</v>
      </c>
      <c r="L1013" t="s">
        <v>926</v>
      </c>
      <c r="M1013" t="s">
        <v>348</v>
      </c>
      <c r="N1013" t="s">
        <v>538</v>
      </c>
      <c r="O1013" t="s">
        <v>924</v>
      </c>
      <c r="P1013" t="s">
        <v>923</v>
      </c>
      <c r="Q1013" t="s">
        <v>230</v>
      </c>
      <c r="R1013">
        <v>75</v>
      </c>
      <c r="S1013" s="3">
        <f>1/0.55</f>
        <v>1.8181818181818181</v>
      </c>
      <c r="T1013" s="3">
        <v>4.8</v>
      </c>
    </row>
    <row r="1014" spans="1:21" x14ac:dyDescent="0.35">
      <c r="A1014" t="s">
        <v>927</v>
      </c>
      <c r="B1014" t="s">
        <v>468</v>
      </c>
      <c r="C1014" t="s">
        <v>370</v>
      </c>
      <c r="D1014">
        <v>2011</v>
      </c>
      <c r="E1014">
        <v>198</v>
      </c>
      <c r="F1014" t="s">
        <v>600</v>
      </c>
      <c r="G1014" t="s">
        <v>829</v>
      </c>
      <c r="H1014" t="s">
        <v>928</v>
      </c>
      <c r="M1014" t="s">
        <v>348</v>
      </c>
      <c r="N1014" t="s">
        <v>538</v>
      </c>
      <c r="O1014" t="s">
        <v>762</v>
      </c>
      <c r="P1014" t="s">
        <v>761</v>
      </c>
      <c r="Q1014" t="s">
        <v>230</v>
      </c>
      <c r="R1014">
        <v>0</v>
      </c>
      <c r="S1014" s="3">
        <v>1.19</v>
      </c>
      <c r="T1014" s="3">
        <v>0</v>
      </c>
      <c r="U1014" s="3">
        <v>0</v>
      </c>
    </row>
    <row r="1015" spans="1:21" x14ac:dyDescent="0.35">
      <c r="A1015" t="s">
        <v>927</v>
      </c>
      <c r="B1015" t="s">
        <v>468</v>
      </c>
      <c r="C1015" t="s">
        <v>370</v>
      </c>
      <c r="D1015">
        <v>2011</v>
      </c>
      <c r="E1015">
        <v>198</v>
      </c>
      <c r="F1015" t="s">
        <v>600</v>
      </c>
      <c r="G1015" t="s">
        <v>829</v>
      </c>
      <c r="H1015" t="s">
        <v>928</v>
      </c>
      <c r="M1015" t="s">
        <v>348</v>
      </c>
      <c r="N1015" t="s">
        <v>538</v>
      </c>
      <c r="O1015" t="s">
        <v>762</v>
      </c>
      <c r="P1015" t="s">
        <v>761</v>
      </c>
      <c r="Q1015" t="s">
        <v>230</v>
      </c>
      <c r="R1015">
        <v>8</v>
      </c>
      <c r="S1015" s="3">
        <v>1.1200000000000001</v>
      </c>
      <c r="T1015" s="3">
        <v>0</v>
      </c>
      <c r="U1015" s="3">
        <v>0.47</v>
      </c>
    </row>
    <row r="1016" spans="1:21" x14ac:dyDescent="0.35">
      <c r="A1016" t="s">
        <v>927</v>
      </c>
      <c r="B1016" t="s">
        <v>468</v>
      </c>
      <c r="C1016" t="s">
        <v>370</v>
      </c>
      <c r="D1016">
        <v>2011</v>
      </c>
      <c r="E1016">
        <v>198</v>
      </c>
      <c r="F1016" t="s">
        <v>600</v>
      </c>
      <c r="G1016" t="s">
        <v>829</v>
      </c>
      <c r="H1016" t="s">
        <v>928</v>
      </c>
      <c r="M1016" t="s">
        <v>348</v>
      </c>
      <c r="N1016" t="s">
        <v>538</v>
      </c>
      <c r="O1016" t="s">
        <v>762</v>
      </c>
      <c r="P1016" t="s">
        <v>761</v>
      </c>
      <c r="Q1016" t="s">
        <v>230</v>
      </c>
      <c r="R1016">
        <v>16</v>
      </c>
      <c r="S1016" s="3">
        <v>1.33</v>
      </c>
      <c r="T1016" s="3">
        <v>0</v>
      </c>
      <c r="U1016" s="3">
        <v>0.93</v>
      </c>
    </row>
    <row r="1017" spans="1:21" x14ac:dyDescent="0.35">
      <c r="A1017" t="s">
        <v>927</v>
      </c>
      <c r="B1017" t="s">
        <v>468</v>
      </c>
      <c r="C1017" t="s">
        <v>370</v>
      </c>
      <c r="D1017">
        <v>2011</v>
      </c>
      <c r="E1017">
        <v>198</v>
      </c>
      <c r="F1017" t="s">
        <v>600</v>
      </c>
      <c r="G1017" t="s">
        <v>829</v>
      </c>
      <c r="H1017" t="s">
        <v>928</v>
      </c>
      <c r="M1017" t="s">
        <v>348</v>
      </c>
      <c r="N1017" t="s">
        <v>538</v>
      </c>
      <c r="O1017" t="s">
        <v>762</v>
      </c>
      <c r="P1017" t="s">
        <v>761</v>
      </c>
      <c r="Q1017" t="s">
        <v>230</v>
      </c>
      <c r="R1017">
        <v>24</v>
      </c>
      <c r="S1017" s="3">
        <v>1.24</v>
      </c>
      <c r="T1017" s="3">
        <v>0</v>
      </c>
      <c r="U1017" s="3">
        <v>1.4</v>
      </c>
    </row>
    <row r="1018" spans="1:21" x14ac:dyDescent="0.35">
      <c r="A1018" t="s">
        <v>927</v>
      </c>
      <c r="B1018" t="s">
        <v>468</v>
      </c>
      <c r="C1018" t="s">
        <v>370</v>
      </c>
      <c r="D1018">
        <v>2011</v>
      </c>
      <c r="E1018">
        <v>198</v>
      </c>
      <c r="F1018" t="s">
        <v>600</v>
      </c>
      <c r="G1018" t="s">
        <v>829</v>
      </c>
      <c r="H1018" t="s">
        <v>928</v>
      </c>
      <c r="M1018" t="s">
        <v>348</v>
      </c>
      <c r="N1018" t="s">
        <v>538</v>
      </c>
      <c r="O1018" t="s">
        <v>762</v>
      </c>
      <c r="P1018" t="s">
        <v>761</v>
      </c>
      <c r="Q1018" t="s">
        <v>230</v>
      </c>
      <c r="R1018">
        <v>32</v>
      </c>
      <c r="S1018" s="3">
        <v>1.17</v>
      </c>
      <c r="T1018" s="3">
        <v>0</v>
      </c>
      <c r="U1018" s="3">
        <v>1.87</v>
      </c>
    </row>
    <row r="1019" spans="1:21" x14ac:dyDescent="0.35">
      <c r="A1019" t="s">
        <v>927</v>
      </c>
      <c r="B1019" t="s">
        <v>468</v>
      </c>
      <c r="C1019" t="s">
        <v>370</v>
      </c>
      <c r="D1019">
        <v>2011</v>
      </c>
      <c r="E1019">
        <v>198</v>
      </c>
      <c r="F1019" t="s">
        <v>600</v>
      </c>
      <c r="G1019" t="s">
        <v>829</v>
      </c>
      <c r="H1019" t="s">
        <v>928</v>
      </c>
      <c r="M1019" t="s">
        <v>348</v>
      </c>
      <c r="N1019" t="s">
        <v>538</v>
      </c>
      <c r="O1019" t="s">
        <v>762</v>
      </c>
      <c r="P1019" t="s">
        <v>761</v>
      </c>
      <c r="Q1019" t="s">
        <v>230</v>
      </c>
      <c r="R1019">
        <v>40</v>
      </c>
      <c r="S1019" s="3">
        <v>1.23</v>
      </c>
      <c r="T1019" s="3">
        <v>0</v>
      </c>
      <c r="U1019" s="3">
        <v>2.34</v>
      </c>
    </row>
    <row r="1020" spans="1:21" x14ac:dyDescent="0.35">
      <c r="A1020" t="s">
        <v>929</v>
      </c>
      <c r="B1020" t="s">
        <v>473</v>
      </c>
      <c r="C1020" t="s">
        <v>385</v>
      </c>
      <c r="D1020">
        <v>2009</v>
      </c>
      <c r="E1020">
        <v>199</v>
      </c>
      <c r="F1020" t="s">
        <v>600</v>
      </c>
      <c r="G1020" t="s">
        <v>829</v>
      </c>
      <c r="H1020" t="s">
        <v>932</v>
      </c>
      <c r="K1020" t="s">
        <v>378</v>
      </c>
      <c r="L1020" t="s">
        <v>377</v>
      </c>
      <c r="M1020" t="s">
        <v>348</v>
      </c>
      <c r="N1020" t="s">
        <v>417</v>
      </c>
      <c r="O1020" t="s">
        <v>930</v>
      </c>
      <c r="P1020" t="s">
        <v>931</v>
      </c>
      <c r="Q1020" t="s">
        <v>230</v>
      </c>
      <c r="R1020">
        <v>0</v>
      </c>
      <c r="S1020" s="3">
        <v>1.28</v>
      </c>
      <c r="U1020" s="3">
        <v>0</v>
      </c>
    </row>
    <row r="1021" spans="1:21" x14ac:dyDescent="0.35">
      <c r="A1021" t="s">
        <v>929</v>
      </c>
      <c r="B1021" t="s">
        <v>473</v>
      </c>
      <c r="C1021" t="s">
        <v>385</v>
      </c>
      <c r="D1021">
        <v>2009</v>
      </c>
      <c r="E1021">
        <v>199</v>
      </c>
      <c r="F1021" t="s">
        <v>600</v>
      </c>
      <c r="G1021" t="s">
        <v>829</v>
      </c>
      <c r="H1021" t="s">
        <v>932</v>
      </c>
      <c r="K1021" t="s">
        <v>378</v>
      </c>
      <c r="L1021" t="s">
        <v>377</v>
      </c>
      <c r="M1021" t="s">
        <v>348</v>
      </c>
      <c r="N1021" t="s">
        <v>417</v>
      </c>
      <c r="O1021" t="s">
        <v>930</v>
      </c>
      <c r="P1021" t="s">
        <v>931</v>
      </c>
      <c r="Q1021" t="s">
        <v>230</v>
      </c>
      <c r="R1021">
        <v>100</v>
      </c>
      <c r="S1021" s="3">
        <v>1.22</v>
      </c>
      <c r="U1021" s="3">
        <v>-6.55</v>
      </c>
    </row>
    <row r="1022" spans="1:21" x14ac:dyDescent="0.35">
      <c r="A1022" t="s">
        <v>929</v>
      </c>
      <c r="B1022" t="s">
        <v>473</v>
      </c>
      <c r="C1022" t="s">
        <v>385</v>
      </c>
      <c r="D1022">
        <v>2009</v>
      </c>
      <c r="E1022">
        <v>199</v>
      </c>
      <c r="F1022" t="s">
        <v>600</v>
      </c>
      <c r="G1022" t="s">
        <v>829</v>
      </c>
      <c r="H1022" t="s">
        <v>933</v>
      </c>
      <c r="K1022" t="s">
        <v>378</v>
      </c>
      <c r="L1022" t="s">
        <v>377</v>
      </c>
      <c r="M1022" t="s">
        <v>348</v>
      </c>
      <c r="N1022" t="s">
        <v>417</v>
      </c>
      <c r="O1022" t="s">
        <v>930</v>
      </c>
      <c r="P1022" t="s">
        <v>931</v>
      </c>
      <c r="Q1022" t="s">
        <v>230</v>
      </c>
      <c r="R1022">
        <v>0</v>
      </c>
      <c r="S1022" s="3">
        <v>1.28</v>
      </c>
      <c r="U1022" s="3">
        <v>0</v>
      </c>
    </row>
    <row r="1023" spans="1:21" x14ac:dyDescent="0.35">
      <c r="A1023" t="s">
        <v>929</v>
      </c>
      <c r="B1023" t="s">
        <v>473</v>
      </c>
      <c r="C1023" t="s">
        <v>385</v>
      </c>
      <c r="D1023">
        <v>2009</v>
      </c>
      <c r="E1023">
        <v>199</v>
      </c>
      <c r="F1023" t="s">
        <v>600</v>
      </c>
      <c r="G1023" t="s">
        <v>829</v>
      </c>
      <c r="H1023" t="s">
        <v>933</v>
      </c>
      <c r="K1023" t="s">
        <v>394</v>
      </c>
      <c r="M1023" t="s">
        <v>348</v>
      </c>
      <c r="N1023" t="s">
        <v>417</v>
      </c>
      <c r="O1023" t="s">
        <v>930</v>
      </c>
      <c r="P1023" t="s">
        <v>931</v>
      </c>
      <c r="Q1023" t="s">
        <v>230</v>
      </c>
      <c r="R1023">
        <v>100</v>
      </c>
      <c r="S1023" s="3">
        <v>1.33</v>
      </c>
      <c r="U1023" s="3">
        <v>-1.43</v>
      </c>
    </row>
    <row r="1024" spans="1:21" x14ac:dyDescent="0.35">
      <c r="A1024" t="s">
        <v>929</v>
      </c>
      <c r="B1024" t="s">
        <v>473</v>
      </c>
      <c r="C1024" t="s">
        <v>385</v>
      </c>
      <c r="D1024">
        <v>2009</v>
      </c>
      <c r="E1024">
        <v>199</v>
      </c>
      <c r="F1024" t="s">
        <v>600</v>
      </c>
      <c r="G1024" t="s">
        <v>829</v>
      </c>
      <c r="H1024" t="s">
        <v>933</v>
      </c>
      <c r="K1024" t="s">
        <v>378</v>
      </c>
      <c r="L1024" t="s">
        <v>377</v>
      </c>
      <c r="M1024" t="s">
        <v>348</v>
      </c>
      <c r="N1024" t="s">
        <v>417</v>
      </c>
      <c r="O1024" t="s">
        <v>930</v>
      </c>
      <c r="P1024" t="s">
        <v>931</v>
      </c>
      <c r="Q1024" t="s">
        <v>230</v>
      </c>
      <c r="R1024">
        <v>100</v>
      </c>
      <c r="S1024" s="3">
        <v>1.23</v>
      </c>
      <c r="U1024" s="3">
        <v>-1.48</v>
      </c>
    </row>
    <row r="1025" spans="1:21" x14ac:dyDescent="0.35">
      <c r="A1025" t="s">
        <v>934</v>
      </c>
      <c r="B1025" t="s">
        <v>522</v>
      </c>
      <c r="C1025" t="s">
        <v>370</v>
      </c>
      <c r="D1025">
        <v>2013</v>
      </c>
      <c r="E1025">
        <v>200</v>
      </c>
      <c r="F1025" t="s">
        <v>863</v>
      </c>
      <c r="G1025" t="s">
        <v>829</v>
      </c>
      <c r="H1025" t="s">
        <v>832</v>
      </c>
      <c r="I1025" t="s">
        <v>782</v>
      </c>
      <c r="K1025" t="s">
        <v>378</v>
      </c>
      <c r="L1025" t="s">
        <v>393</v>
      </c>
      <c r="M1025" t="s">
        <v>348</v>
      </c>
      <c r="N1025" t="s">
        <v>538</v>
      </c>
      <c r="O1025" t="s">
        <v>149</v>
      </c>
      <c r="P1025" t="s">
        <v>935</v>
      </c>
      <c r="Q1025" t="s">
        <v>230</v>
      </c>
      <c r="R1025">
        <v>0</v>
      </c>
      <c r="S1025" s="3">
        <f>1/2.02</f>
        <v>0.49504950495049505</v>
      </c>
    </row>
    <row r="1026" spans="1:21" x14ac:dyDescent="0.35">
      <c r="A1026" t="s">
        <v>934</v>
      </c>
      <c r="B1026" t="s">
        <v>522</v>
      </c>
      <c r="C1026" t="s">
        <v>370</v>
      </c>
      <c r="D1026">
        <v>2013</v>
      </c>
      <c r="E1026">
        <v>200</v>
      </c>
      <c r="F1026" t="s">
        <v>863</v>
      </c>
      <c r="G1026" t="s">
        <v>829</v>
      </c>
      <c r="H1026" t="s">
        <v>832</v>
      </c>
      <c r="I1026" t="s">
        <v>782</v>
      </c>
      <c r="K1026" t="s">
        <v>378</v>
      </c>
      <c r="L1026" t="s">
        <v>393</v>
      </c>
      <c r="M1026" t="s">
        <v>348</v>
      </c>
      <c r="N1026" t="s">
        <v>538</v>
      </c>
      <c r="O1026" t="s">
        <v>149</v>
      </c>
      <c r="P1026" t="s">
        <v>935</v>
      </c>
      <c r="Q1026" t="s">
        <v>230</v>
      </c>
      <c r="R1026">
        <v>15</v>
      </c>
      <c r="S1026" s="3">
        <f>1/2.1</f>
        <v>0.47619047619047616</v>
      </c>
    </row>
    <row r="1027" spans="1:21" x14ac:dyDescent="0.35">
      <c r="A1027" t="s">
        <v>934</v>
      </c>
      <c r="B1027" t="s">
        <v>522</v>
      </c>
      <c r="C1027" t="s">
        <v>370</v>
      </c>
      <c r="D1027">
        <v>2013</v>
      </c>
      <c r="E1027">
        <v>200</v>
      </c>
      <c r="F1027" t="s">
        <v>863</v>
      </c>
      <c r="G1027" t="s">
        <v>829</v>
      </c>
      <c r="H1027" t="s">
        <v>832</v>
      </c>
      <c r="I1027" t="s">
        <v>782</v>
      </c>
      <c r="K1027" t="s">
        <v>378</v>
      </c>
      <c r="L1027" t="s">
        <v>393</v>
      </c>
      <c r="M1027" t="s">
        <v>348</v>
      </c>
      <c r="N1027" t="s">
        <v>538</v>
      </c>
      <c r="O1027" t="s">
        <v>149</v>
      </c>
      <c r="P1027" t="s">
        <v>935</v>
      </c>
      <c r="Q1027" t="s">
        <v>230</v>
      </c>
      <c r="R1027">
        <v>30</v>
      </c>
      <c r="S1027" s="3">
        <f>1/1.98</f>
        <v>0.50505050505050508</v>
      </c>
    </row>
    <row r="1028" spans="1:21" x14ac:dyDescent="0.35">
      <c r="A1028" t="s">
        <v>934</v>
      </c>
      <c r="B1028" t="s">
        <v>522</v>
      </c>
      <c r="C1028" t="s">
        <v>370</v>
      </c>
      <c r="D1028">
        <v>2013</v>
      </c>
      <c r="E1028">
        <v>200</v>
      </c>
      <c r="F1028" t="s">
        <v>863</v>
      </c>
      <c r="G1028" t="s">
        <v>829</v>
      </c>
      <c r="H1028" t="s">
        <v>936</v>
      </c>
      <c r="I1028" t="s">
        <v>782</v>
      </c>
      <c r="K1028" t="s">
        <v>378</v>
      </c>
      <c r="L1028" t="s">
        <v>393</v>
      </c>
      <c r="M1028" t="s">
        <v>348</v>
      </c>
      <c r="N1028" t="s">
        <v>538</v>
      </c>
      <c r="O1028" t="s">
        <v>149</v>
      </c>
      <c r="P1028" t="s">
        <v>935</v>
      </c>
      <c r="Q1028" t="s">
        <v>230</v>
      </c>
      <c r="R1028">
        <v>0</v>
      </c>
      <c r="S1028" s="3">
        <f>1/2.02</f>
        <v>0.49504950495049505</v>
      </c>
    </row>
    <row r="1029" spans="1:21" x14ac:dyDescent="0.35">
      <c r="A1029" t="s">
        <v>934</v>
      </c>
      <c r="B1029" t="s">
        <v>522</v>
      </c>
      <c r="C1029" t="s">
        <v>370</v>
      </c>
      <c r="D1029">
        <v>2013</v>
      </c>
      <c r="E1029">
        <v>200</v>
      </c>
      <c r="F1029" t="s">
        <v>863</v>
      </c>
      <c r="G1029" t="s">
        <v>829</v>
      </c>
      <c r="H1029" t="s">
        <v>936</v>
      </c>
      <c r="I1029" t="s">
        <v>782</v>
      </c>
      <c r="K1029" t="s">
        <v>378</v>
      </c>
      <c r="L1029" t="s">
        <v>393</v>
      </c>
      <c r="M1029" t="s">
        <v>348</v>
      </c>
      <c r="N1029" t="s">
        <v>538</v>
      </c>
      <c r="O1029" t="s">
        <v>149</v>
      </c>
      <c r="P1029" t="s">
        <v>935</v>
      </c>
      <c r="Q1029" t="s">
        <v>230</v>
      </c>
      <c r="R1029">
        <v>15</v>
      </c>
      <c r="S1029" s="3">
        <f>1/1.99</f>
        <v>0.50251256281407031</v>
      </c>
    </row>
    <row r="1030" spans="1:21" x14ac:dyDescent="0.35">
      <c r="A1030" t="s">
        <v>934</v>
      </c>
      <c r="B1030" t="s">
        <v>522</v>
      </c>
      <c r="C1030" t="s">
        <v>370</v>
      </c>
      <c r="D1030">
        <v>2013</v>
      </c>
      <c r="E1030">
        <v>200</v>
      </c>
      <c r="F1030" t="s">
        <v>863</v>
      </c>
      <c r="G1030" t="s">
        <v>829</v>
      </c>
      <c r="H1030" t="s">
        <v>936</v>
      </c>
      <c r="I1030" t="s">
        <v>782</v>
      </c>
      <c r="K1030" t="s">
        <v>378</v>
      </c>
      <c r="L1030" t="s">
        <v>393</v>
      </c>
      <c r="M1030" t="s">
        <v>348</v>
      </c>
      <c r="N1030" t="s">
        <v>538</v>
      </c>
      <c r="O1030" t="s">
        <v>149</v>
      </c>
      <c r="P1030" t="s">
        <v>935</v>
      </c>
      <c r="Q1030" t="s">
        <v>230</v>
      </c>
      <c r="R1030">
        <v>30</v>
      </c>
      <c r="S1030" s="3">
        <f>1/2.09</f>
        <v>0.47846889952153115</v>
      </c>
    </row>
    <row r="1031" spans="1:21" x14ac:dyDescent="0.35">
      <c r="A1031" t="s">
        <v>939</v>
      </c>
      <c r="B1031" t="s">
        <v>468</v>
      </c>
      <c r="C1031" t="s">
        <v>441</v>
      </c>
      <c r="D1031">
        <v>2011</v>
      </c>
      <c r="E1031">
        <v>201</v>
      </c>
      <c r="F1031" t="s">
        <v>600</v>
      </c>
      <c r="G1031" t="s">
        <v>829</v>
      </c>
      <c r="H1031" t="s">
        <v>832</v>
      </c>
      <c r="M1031" t="s">
        <v>348</v>
      </c>
      <c r="N1031" t="s">
        <v>31</v>
      </c>
      <c r="O1031" t="s">
        <v>938</v>
      </c>
      <c r="P1031" t="s">
        <v>937</v>
      </c>
      <c r="Q1031" t="s">
        <v>230</v>
      </c>
      <c r="R1031">
        <v>0</v>
      </c>
      <c r="S1031" s="3">
        <v>1.4</v>
      </c>
      <c r="T1031" s="3">
        <v>0</v>
      </c>
      <c r="U1031" s="3">
        <v>0</v>
      </c>
    </row>
    <row r="1032" spans="1:21" x14ac:dyDescent="0.35">
      <c r="A1032" t="s">
        <v>939</v>
      </c>
      <c r="B1032" t="s">
        <v>468</v>
      </c>
      <c r="C1032" t="s">
        <v>441</v>
      </c>
      <c r="D1032">
        <v>2011</v>
      </c>
      <c r="E1032">
        <v>201</v>
      </c>
      <c r="F1032" t="s">
        <v>600</v>
      </c>
      <c r="G1032" t="s">
        <v>829</v>
      </c>
      <c r="H1032" t="s">
        <v>832</v>
      </c>
      <c r="M1032" t="s">
        <v>348</v>
      </c>
      <c r="N1032" t="s">
        <v>31</v>
      </c>
      <c r="O1032" t="s">
        <v>938</v>
      </c>
      <c r="P1032" t="s">
        <v>937</v>
      </c>
      <c r="Q1032" t="s">
        <v>230</v>
      </c>
      <c r="R1032">
        <v>15</v>
      </c>
      <c r="S1032" s="3">
        <v>1.8</v>
      </c>
      <c r="T1032" s="3">
        <v>0.7</v>
      </c>
      <c r="U1032" s="3">
        <v>-2.8</v>
      </c>
    </row>
    <row r="1033" spans="1:21" x14ac:dyDescent="0.35">
      <c r="A1033" t="s">
        <v>939</v>
      </c>
      <c r="B1033" t="s">
        <v>468</v>
      </c>
      <c r="C1033" t="s">
        <v>441</v>
      </c>
      <c r="D1033">
        <v>2011</v>
      </c>
      <c r="E1033">
        <v>201</v>
      </c>
      <c r="F1033" t="s">
        <v>600</v>
      </c>
      <c r="G1033" t="s">
        <v>829</v>
      </c>
      <c r="H1033" t="s">
        <v>832</v>
      </c>
      <c r="M1033" t="s">
        <v>348</v>
      </c>
      <c r="N1033" t="s">
        <v>31</v>
      </c>
      <c r="O1033" t="s">
        <v>938</v>
      </c>
      <c r="P1033" t="s">
        <v>937</v>
      </c>
      <c r="Q1033" t="s">
        <v>230</v>
      </c>
      <c r="R1033">
        <v>30</v>
      </c>
      <c r="S1033" s="3">
        <v>2</v>
      </c>
      <c r="T1033" s="3">
        <v>1.4</v>
      </c>
      <c r="U1033" s="3">
        <v>-5.7</v>
      </c>
    </row>
    <row r="1034" spans="1:21" x14ac:dyDescent="0.35">
      <c r="A1034" t="s">
        <v>939</v>
      </c>
      <c r="B1034" t="s">
        <v>468</v>
      </c>
      <c r="C1034" t="s">
        <v>441</v>
      </c>
      <c r="D1034">
        <v>2011</v>
      </c>
      <c r="E1034">
        <v>201</v>
      </c>
      <c r="F1034" t="s">
        <v>600</v>
      </c>
      <c r="G1034" t="s">
        <v>829</v>
      </c>
      <c r="H1034" t="s">
        <v>832</v>
      </c>
      <c r="M1034" t="s">
        <v>348</v>
      </c>
      <c r="N1034" t="s">
        <v>31</v>
      </c>
      <c r="O1034" t="s">
        <v>938</v>
      </c>
      <c r="P1034" t="s">
        <v>937</v>
      </c>
      <c r="Q1034" t="s">
        <v>230</v>
      </c>
      <c r="R1034">
        <v>45</v>
      </c>
      <c r="S1034" s="3">
        <v>2</v>
      </c>
      <c r="T1034" s="3">
        <v>2</v>
      </c>
      <c r="U1034" s="3">
        <v>-8.5</v>
      </c>
    </row>
    <row r="1035" spans="1:21" x14ac:dyDescent="0.35">
      <c r="A1035" t="s">
        <v>939</v>
      </c>
      <c r="B1035" t="s">
        <v>468</v>
      </c>
      <c r="C1035" t="s">
        <v>441</v>
      </c>
      <c r="D1035">
        <v>2011</v>
      </c>
      <c r="E1035">
        <v>201</v>
      </c>
      <c r="F1035" t="s">
        <v>600</v>
      </c>
      <c r="G1035" t="s">
        <v>829</v>
      </c>
      <c r="H1035" t="s">
        <v>832</v>
      </c>
      <c r="M1035" t="s">
        <v>348</v>
      </c>
      <c r="N1035" t="s">
        <v>31</v>
      </c>
      <c r="O1035" t="s">
        <v>938</v>
      </c>
      <c r="P1035" t="s">
        <v>937</v>
      </c>
      <c r="Q1035" t="s">
        <v>230</v>
      </c>
      <c r="R1035">
        <v>60</v>
      </c>
      <c r="S1035" s="3">
        <v>2.1</v>
      </c>
      <c r="T1035" s="3">
        <v>2.7</v>
      </c>
      <c r="U1035" s="3">
        <v>-11.4</v>
      </c>
    </row>
    <row r="1036" spans="1:21" x14ac:dyDescent="0.35">
      <c r="A1036" t="s">
        <v>939</v>
      </c>
      <c r="B1036" t="s">
        <v>468</v>
      </c>
      <c r="C1036" t="s">
        <v>441</v>
      </c>
      <c r="D1036">
        <v>2011</v>
      </c>
      <c r="E1036">
        <v>201</v>
      </c>
      <c r="F1036" t="s">
        <v>600</v>
      </c>
      <c r="G1036" t="s">
        <v>829</v>
      </c>
      <c r="H1036" t="s">
        <v>832</v>
      </c>
      <c r="M1036" t="s">
        <v>348</v>
      </c>
      <c r="N1036" t="s">
        <v>31</v>
      </c>
      <c r="O1036" t="s">
        <v>938</v>
      </c>
      <c r="P1036" t="s">
        <v>937</v>
      </c>
      <c r="Q1036" t="s">
        <v>230</v>
      </c>
      <c r="R1036">
        <v>75</v>
      </c>
      <c r="S1036" s="3">
        <v>2.9</v>
      </c>
      <c r="T1036" s="3">
        <v>3.4</v>
      </c>
      <c r="U1036" s="3">
        <v>-14.3</v>
      </c>
    </row>
    <row r="1037" spans="1:21" x14ac:dyDescent="0.35">
      <c r="A1037" t="s">
        <v>939</v>
      </c>
      <c r="B1037" t="s">
        <v>468</v>
      </c>
      <c r="C1037" t="s">
        <v>441</v>
      </c>
      <c r="D1037">
        <v>2011</v>
      </c>
      <c r="E1037">
        <v>201</v>
      </c>
      <c r="F1037" t="s">
        <v>600</v>
      </c>
      <c r="G1037" t="s">
        <v>829</v>
      </c>
      <c r="H1037" t="s">
        <v>832</v>
      </c>
      <c r="M1037" t="s">
        <v>348</v>
      </c>
      <c r="N1037" t="s">
        <v>31</v>
      </c>
      <c r="O1037" t="s">
        <v>938</v>
      </c>
      <c r="P1037" t="s">
        <v>937</v>
      </c>
      <c r="Q1037" t="s">
        <v>230</v>
      </c>
      <c r="R1037">
        <v>90</v>
      </c>
      <c r="S1037" s="3">
        <v>4.3</v>
      </c>
      <c r="T1037" s="3">
        <v>4.0999999999999996</v>
      </c>
      <c r="U1037" s="3">
        <v>-17.100000000000001</v>
      </c>
    </row>
    <row r="1038" spans="1:21" x14ac:dyDescent="0.35">
      <c r="A1038" t="s">
        <v>939</v>
      </c>
      <c r="B1038" t="s">
        <v>468</v>
      </c>
      <c r="C1038" t="s">
        <v>441</v>
      </c>
      <c r="D1038">
        <v>2011</v>
      </c>
      <c r="E1038">
        <v>201</v>
      </c>
      <c r="F1038" t="s">
        <v>600</v>
      </c>
      <c r="G1038" t="s">
        <v>829</v>
      </c>
      <c r="H1038" t="s">
        <v>832</v>
      </c>
      <c r="M1038" t="s">
        <v>348</v>
      </c>
      <c r="N1038" t="s">
        <v>31</v>
      </c>
      <c r="O1038" t="s">
        <v>938</v>
      </c>
      <c r="P1038" t="s">
        <v>937</v>
      </c>
      <c r="Q1038" t="s">
        <v>230</v>
      </c>
      <c r="R1038">
        <v>100</v>
      </c>
      <c r="S1038" s="3">
        <v>4</v>
      </c>
      <c r="T1038" s="3">
        <v>4.5</v>
      </c>
      <c r="U1038" s="3">
        <v>-19</v>
      </c>
    </row>
    <row r="1039" spans="1:21" x14ac:dyDescent="0.35">
      <c r="A1039" t="s">
        <v>648</v>
      </c>
      <c r="B1039" t="s">
        <v>582</v>
      </c>
      <c r="C1039" t="s">
        <v>366</v>
      </c>
      <c r="D1039">
        <v>2011</v>
      </c>
      <c r="E1039">
        <v>202</v>
      </c>
      <c r="F1039" t="s">
        <v>600</v>
      </c>
      <c r="G1039" t="s">
        <v>829</v>
      </c>
      <c r="H1039" t="s">
        <v>832</v>
      </c>
      <c r="K1039" t="s">
        <v>394</v>
      </c>
      <c r="M1039" t="s">
        <v>348</v>
      </c>
      <c r="N1039" t="s">
        <v>538</v>
      </c>
      <c r="O1039" t="s">
        <v>941</v>
      </c>
      <c r="P1039" t="s">
        <v>940</v>
      </c>
      <c r="Q1039" t="s">
        <v>230</v>
      </c>
      <c r="R1039">
        <v>0</v>
      </c>
      <c r="S1039" s="3">
        <v>2</v>
      </c>
      <c r="T1039" s="3">
        <v>0</v>
      </c>
    </row>
    <row r="1040" spans="1:21" x14ac:dyDescent="0.35">
      <c r="A1040" t="s">
        <v>648</v>
      </c>
      <c r="B1040" t="s">
        <v>582</v>
      </c>
      <c r="C1040" t="s">
        <v>366</v>
      </c>
      <c r="D1040">
        <v>2011</v>
      </c>
      <c r="E1040">
        <v>202</v>
      </c>
      <c r="F1040" t="s">
        <v>600</v>
      </c>
      <c r="G1040" t="s">
        <v>829</v>
      </c>
      <c r="H1040" t="s">
        <v>832</v>
      </c>
      <c r="K1040" t="s">
        <v>394</v>
      </c>
      <c r="M1040" t="s">
        <v>348</v>
      </c>
      <c r="N1040" t="s">
        <v>538</v>
      </c>
      <c r="O1040" t="s">
        <v>941</v>
      </c>
      <c r="P1040" t="s">
        <v>940</v>
      </c>
      <c r="Q1040" t="s">
        <v>230</v>
      </c>
      <c r="R1040">
        <v>40</v>
      </c>
      <c r="S1040" s="3">
        <v>1.97</v>
      </c>
      <c r="T1040" s="3">
        <v>1.3</v>
      </c>
    </row>
    <row r="1041" spans="1:21" x14ac:dyDescent="0.35">
      <c r="A1041" t="s">
        <v>648</v>
      </c>
      <c r="B1041" t="s">
        <v>582</v>
      </c>
      <c r="C1041" t="s">
        <v>366</v>
      </c>
      <c r="D1041">
        <v>2011</v>
      </c>
      <c r="E1041">
        <v>202</v>
      </c>
      <c r="F1041" t="s">
        <v>600</v>
      </c>
      <c r="G1041" t="s">
        <v>829</v>
      </c>
      <c r="H1041" t="s">
        <v>832</v>
      </c>
      <c r="K1041" t="s">
        <v>394</v>
      </c>
      <c r="M1041" t="s">
        <v>348</v>
      </c>
      <c r="N1041" t="s">
        <v>538</v>
      </c>
      <c r="O1041" t="s">
        <v>941</v>
      </c>
      <c r="P1041" t="s">
        <v>940</v>
      </c>
      <c r="Q1041" t="s">
        <v>230</v>
      </c>
      <c r="R1041">
        <v>40</v>
      </c>
      <c r="S1041" s="3">
        <v>2.02</v>
      </c>
      <c r="T1041" s="3">
        <v>1.3</v>
      </c>
    </row>
    <row r="1042" spans="1:21" x14ac:dyDescent="0.35">
      <c r="A1042" t="s">
        <v>648</v>
      </c>
      <c r="B1042" t="s">
        <v>582</v>
      </c>
      <c r="C1042" t="s">
        <v>366</v>
      </c>
      <c r="D1042">
        <v>2011</v>
      </c>
      <c r="E1042">
        <v>202</v>
      </c>
      <c r="F1042" t="s">
        <v>600</v>
      </c>
      <c r="G1042" t="s">
        <v>829</v>
      </c>
      <c r="H1042" t="s">
        <v>832</v>
      </c>
      <c r="K1042" t="s">
        <v>394</v>
      </c>
      <c r="M1042" t="s">
        <v>348</v>
      </c>
      <c r="N1042" t="s">
        <v>538</v>
      </c>
      <c r="O1042" t="s">
        <v>941</v>
      </c>
      <c r="P1042" t="s">
        <v>940</v>
      </c>
      <c r="Q1042" t="s">
        <v>230</v>
      </c>
      <c r="R1042">
        <v>40</v>
      </c>
      <c r="S1042" s="3">
        <v>2.02</v>
      </c>
      <c r="T1042" s="3">
        <v>1.3</v>
      </c>
    </row>
    <row r="1043" spans="1:21" x14ac:dyDescent="0.35">
      <c r="A1043" t="s">
        <v>944</v>
      </c>
      <c r="B1043" t="s">
        <v>398</v>
      </c>
      <c r="C1043" t="s">
        <v>692</v>
      </c>
      <c r="D1043">
        <v>2010</v>
      </c>
      <c r="E1043">
        <v>203</v>
      </c>
      <c r="F1043" t="s">
        <v>600</v>
      </c>
      <c r="G1043" t="s">
        <v>829</v>
      </c>
      <c r="H1043" t="s">
        <v>832</v>
      </c>
      <c r="K1043" t="s">
        <v>378</v>
      </c>
      <c r="L1043" t="s">
        <v>574</v>
      </c>
      <c r="M1043" t="s">
        <v>348</v>
      </c>
      <c r="N1043" t="s">
        <v>173</v>
      </c>
      <c r="O1043" t="s">
        <v>943</v>
      </c>
      <c r="P1043" t="s">
        <v>942</v>
      </c>
      <c r="Q1043" t="s">
        <v>230</v>
      </c>
      <c r="R1043">
        <v>0</v>
      </c>
      <c r="S1043" s="3">
        <v>3.27</v>
      </c>
      <c r="T1043" s="3">
        <v>0</v>
      </c>
    </row>
    <row r="1044" spans="1:21" x14ac:dyDescent="0.35">
      <c r="A1044" t="s">
        <v>944</v>
      </c>
      <c r="B1044" t="s">
        <v>398</v>
      </c>
      <c r="C1044" t="s">
        <v>692</v>
      </c>
      <c r="D1044">
        <v>2010</v>
      </c>
      <c r="E1044">
        <v>203</v>
      </c>
      <c r="F1044" t="s">
        <v>600</v>
      </c>
      <c r="G1044" t="s">
        <v>829</v>
      </c>
      <c r="H1044" t="s">
        <v>832</v>
      </c>
      <c r="K1044" t="s">
        <v>378</v>
      </c>
      <c r="L1044" t="s">
        <v>574</v>
      </c>
      <c r="M1044" t="s">
        <v>348</v>
      </c>
      <c r="N1044" t="s">
        <v>173</v>
      </c>
      <c r="O1044" t="s">
        <v>943</v>
      </c>
      <c r="P1044" t="s">
        <v>942</v>
      </c>
      <c r="Q1044" t="s">
        <v>230</v>
      </c>
      <c r="R1044">
        <v>20</v>
      </c>
      <c r="S1044" s="3">
        <v>3.23</v>
      </c>
      <c r="T1044" s="3">
        <v>0</v>
      </c>
    </row>
    <row r="1045" spans="1:21" x14ac:dyDescent="0.35">
      <c r="A1045" t="s">
        <v>944</v>
      </c>
      <c r="B1045" t="s">
        <v>398</v>
      </c>
      <c r="C1045" t="s">
        <v>692</v>
      </c>
      <c r="D1045">
        <v>2010</v>
      </c>
      <c r="E1045">
        <v>203</v>
      </c>
      <c r="F1045" t="s">
        <v>600</v>
      </c>
      <c r="G1045" t="s">
        <v>829</v>
      </c>
      <c r="H1045" t="s">
        <v>832</v>
      </c>
      <c r="K1045" t="s">
        <v>378</v>
      </c>
      <c r="L1045" t="s">
        <v>574</v>
      </c>
      <c r="M1045" t="s">
        <v>348</v>
      </c>
      <c r="N1045" t="s">
        <v>173</v>
      </c>
      <c r="O1045" t="s">
        <v>943</v>
      </c>
      <c r="P1045" t="s">
        <v>942</v>
      </c>
      <c r="Q1045" t="s">
        <v>230</v>
      </c>
      <c r="R1045">
        <v>40</v>
      </c>
      <c r="S1045" s="3">
        <v>3.51</v>
      </c>
      <c r="T1045" s="3">
        <v>0</v>
      </c>
    </row>
    <row r="1046" spans="1:21" x14ac:dyDescent="0.35">
      <c r="A1046" t="s">
        <v>944</v>
      </c>
      <c r="B1046" t="s">
        <v>398</v>
      </c>
      <c r="C1046" t="s">
        <v>692</v>
      </c>
      <c r="D1046">
        <v>2010</v>
      </c>
      <c r="E1046">
        <v>203</v>
      </c>
      <c r="F1046" t="s">
        <v>600</v>
      </c>
      <c r="G1046" t="s">
        <v>829</v>
      </c>
      <c r="H1046" t="s">
        <v>832</v>
      </c>
      <c r="K1046" t="s">
        <v>378</v>
      </c>
      <c r="L1046" t="s">
        <v>574</v>
      </c>
      <c r="M1046" t="s">
        <v>348</v>
      </c>
      <c r="N1046" t="s">
        <v>173</v>
      </c>
      <c r="O1046" t="s">
        <v>943</v>
      </c>
      <c r="P1046" t="s">
        <v>942</v>
      </c>
      <c r="Q1046" t="s">
        <v>230</v>
      </c>
      <c r="R1046">
        <v>60</v>
      </c>
      <c r="S1046" s="3">
        <v>4.0199999999999996</v>
      </c>
      <c r="T1046" s="3">
        <v>0</v>
      </c>
    </row>
    <row r="1047" spans="1:21" x14ac:dyDescent="0.35">
      <c r="A1047" t="s">
        <v>946</v>
      </c>
      <c r="B1047" t="s">
        <v>522</v>
      </c>
      <c r="C1047" t="s">
        <v>342</v>
      </c>
      <c r="D1047">
        <v>2010</v>
      </c>
      <c r="E1047">
        <v>204</v>
      </c>
      <c r="F1047" t="s">
        <v>600</v>
      </c>
      <c r="G1047" t="s">
        <v>829</v>
      </c>
      <c r="H1047" t="s">
        <v>945</v>
      </c>
      <c r="K1047" t="s">
        <v>378</v>
      </c>
      <c r="L1047" t="s">
        <v>574</v>
      </c>
      <c r="M1047" t="s">
        <v>348</v>
      </c>
      <c r="N1047" t="s">
        <v>380</v>
      </c>
      <c r="O1047" t="s">
        <v>285</v>
      </c>
      <c r="P1047" t="s">
        <v>349</v>
      </c>
      <c r="Q1047" t="s">
        <v>520</v>
      </c>
      <c r="R1047">
        <v>0</v>
      </c>
      <c r="S1047" s="3">
        <f>1/1.14</f>
        <v>0.87719298245614041</v>
      </c>
      <c r="T1047" s="3">
        <v>0</v>
      </c>
    </row>
    <row r="1048" spans="1:21" x14ac:dyDescent="0.35">
      <c r="A1048" t="s">
        <v>946</v>
      </c>
      <c r="B1048" t="s">
        <v>522</v>
      </c>
      <c r="C1048" t="s">
        <v>342</v>
      </c>
      <c r="D1048">
        <v>2010</v>
      </c>
      <c r="E1048">
        <v>204</v>
      </c>
      <c r="F1048" t="s">
        <v>600</v>
      </c>
      <c r="G1048" t="s">
        <v>829</v>
      </c>
      <c r="H1048" t="s">
        <v>945</v>
      </c>
      <c r="K1048" t="s">
        <v>378</v>
      </c>
      <c r="L1048" t="s">
        <v>574</v>
      </c>
      <c r="M1048" t="s">
        <v>348</v>
      </c>
      <c r="N1048" t="s">
        <v>380</v>
      </c>
      <c r="O1048" t="s">
        <v>285</v>
      </c>
      <c r="P1048" t="s">
        <v>349</v>
      </c>
      <c r="Q1048" t="s">
        <v>520</v>
      </c>
      <c r="R1048">
        <v>55</v>
      </c>
      <c r="S1048" s="3">
        <f>1/1.18</f>
        <v>0.84745762711864414</v>
      </c>
      <c r="T1048" s="3">
        <v>1.9</v>
      </c>
      <c r="U1048">
        <v>0</v>
      </c>
    </row>
    <row r="1049" spans="1:21" x14ac:dyDescent="0.35">
      <c r="A1049" t="s">
        <v>946</v>
      </c>
      <c r="B1049" t="s">
        <v>522</v>
      </c>
      <c r="C1049" t="s">
        <v>342</v>
      </c>
      <c r="D1049">
        <v>2010</v>
      </c>
      <c r="E1049">
        <v>204</v>
      </c>
      <c r="F1049" t="s">
        <v>600</v>
      </c>
      <c r="G1049" t="s">
        <v>829</v>
      </c>
      <c r="H1049" t="s">
        <v>945</v>
      </c>
      <c r="K1049" t="s">
        <v>378</v>
      </c>
      <c r="L1049" t="s">
        <v>574</v>
      </c>
      <c r="M1049" t="s">
        <v>348</v>
      </c>
      <c r="N1049" t="s">
        <v>380</v>
      </c>
      <c r="O1049" t="s">
        <v>285</v>
      </c>
      <c r="P1049" t="s">
        <v>349</v>
      </c>
      <c r="Q1049" t="s">
        <v>520</v>
      </c>
      <c r="R1049">
        <v>55</v>
      </c>
      <c r="S1049" s="3">
        <f>1/0.82</f>
        <v>1.2195121951219512</v>
      </c>
      <c r="T1049" s="3">
        <v>1.9</v>
      </c>
      <c r="U1049">
        <v>-7.8</v>
      </c>
    </row>
    <row r="1050" spans="1:21" x14ac:dyDescent="0.35">
      <c r="A1050" t="s">
        <v>946</v>
      </c>
      <c r="B1050" t="s">
        <v>522</v>
      </c>
      <c r="C1050" t="s">
        <v>342</v>
      </c>
      <c r="D1050">
        <v>2010</v>
      </c>
      <c r="E1050">
        <v>204</v>
      </c>
      <c r="F1050" t="s">
        <v>600</v>
      </c>
      <c r="G1050" t="s">
        <v>829</v>
      </c>
      <c r="H1050" t="s">
        <v>945</v>
      </c>
      <c r="K1050" t="s">
        <v>378</v>
      </c>
      <c r="L1050" t="s">
        <v>574</v>
      </c>
      <c r="M1050" t="s">
        <v>348</v>
      </c>
      <c r="N1050" t="s">
        <v>380</v>
      </c>
      <c r="O1050" t="s">
        <v>285</v>
      </c>
      <c r="P1050" t="s">
        <v>349</v>
      </c>
      <c r="Q1050" t="s">
        <v>520</v>
      </c>
      <c r="R1050">
        <v>55</v>
      </c>
      <c r="S1050" s="3">
        <f>1/0.87</f>
        <v>1.1494252873563218</v>
      </c>
      <c r="T1050" s="3">
        <v>1.9</v>
      </c>
      <c r="U1050">
        <v>-7.8</v>
      </c>
    </row>
    <row r="1051" spans="1:21" x14ac:dyDescent="0.35">
      <c r="A1051" t="s">
        <v>946</v>
      </c>
      <c r="B1051" t="s">
        <v>522</v>
      </c>
      <c r="C1051" t="s">
        <v>342</v>
      </c>
      <c r="D1051">
        <v>2010</v>
      </c>
      <c r="E1051">
        <v>204</v>
      </c>
      <c r="F1051" t="s">
        <v>600</v>
      </c>
      <c r="G1051" t="s">
        <v>829</v>
      </c>
      <c r="H1051" t="s">
        <v>945</v>
      </c>
      <c r="K1051" t="s">
        <v>378</v>
      </c>
      <c r="L1051" t="s">
        <v>574</v>
      </c>
      <c r="M1051" t="s">
        <v>348</v>
      </c>
      <c r="N1051" t="s">
        <v>380</v>
      </c>
      <c r="O1051" t="s">
        <v>285</v>
      </c>
      <c r="P1051" t="s">
        <v>349</v>
      </c>
      <c r="Q1051" t="s">
        <v>520</v>
      </c>
      <c r="R1051">
        <v>55</v>
      </c>
      <c r="S1051" s="3">
        <f>1/0.89</f>
        <v>1.1235955056179776</v>
      </c>
      <c r="T1051" s="3">
        <v>1.9</v>
      </c>
      <c r="U1051">
        <v>-7.8</v>
      </c>
    </row>
    <row r="1052" spans="1:21" x14ac:dyDescent="0.35">
      <c r="A1052" t="s">
        <v>946</v>
      </c>
      <c r="B1052" t="s">
        <v>522</v>
      </c>
      <c r="C1052" t="s">
        <v>342</v>
      </c>
      <c r="D1052">
        <v>2010</v>
      </c>
      <c r="E1052">
        <v>204</v>
      </c>
      <c r="F1052" t="s">
        <v>600</v>
      </c>
      <c r="G1052" t="s">
        <v>829</v>
      </c>
      <c r="H1052" t="s">
        <v>945</v>
      </c>
      <c r="K1052" t="s">
        <v>378</v>
      </c>
      <c r="L1052" t="s">
        <v>574</v>
      </c>
      <c r="M1052" t="s">
        <v>348</v>
      </c>
      <c r="N1052" t="s">
        <v>380</v>
      </c>
      <c r="O1052" t="s">
        <v>285</v>
      </c>
      <c r="P1052" t="s">
        <v>349</v>
      </c>
      <c r="Q1052" t="s">
        <v>520</v>
      </c>
      <c r="R1052">
        <v>55</v>
      </c>
      <c r="S1052" s="3">
        <f>1/0.85</f>
        <v>1.1764705882352942</v>
      </c>
      <c r="T1052" s="3">
        <v>1.9</v>
      </c>
      <c r="U1052">
        <v>-7.8</v>
      </c>
    </row>
    <row r="1053" spans="1:21" x14ac:dyDescent="0.35">
      <c r="A1053" t="s">
        <v>949</v>
      </c>
      <c r="B1053" t="s">
        <v>522</v>
      </c>
      <c r="C1053" t="s">
        <v>342</v>
      </c>
      <c r="D1053">
        <v>2010</v>
      </c>
      <c r="E1053">
        <v>205</v>
      </c>
      <c r="F1053" t="s">
        <v>600</v>
      </c>
      <c r="G1053" t="s">
        <v>829</v>
      </c>
      <c r="H1053" t="s">
        <v>851</v>
      </c>
      <c r="K1053" t="s">
        <v>378</v>
      </c>
      <c r="L1053" t="s">
        <v>574</v>
      </c>
      <c r="M1053" t="s">
        <v>348</v>
      </c>
      <c r="N1053" t="s">
        <v>538</v>
      </c>
      <c r="O1053" t="s">
        <v>948</v>
      </c>
      <c r="P1053" t="s">
        <v>947</v>
      </c>
      <c r="Q1053" t="s">
        <v>520</v>
      </c>
      <c r="R1053">
        <v>0</v>
      </c>
      <c r="S1053" s="3">
        <f>1/0.8</f>
        <v>1.25</v>
      </c>
      <c r="T1053" s="3">
        <v>0</v>
      </c>
      <c r="U1053">
        <v>0</v>
      </c>
    </row>
    <row r="1054" spans="1:21" x14ac:dyDescent="0.35">
      <c r="A1054" t="s">
        <v>949</v>
      </c>
      <c r="B1054" t="s">
        <v>522</v>
      </c>
      <c r="C1054" t="s">
        <v>342</v>
      </c>
      <c r="D1054">
        <v>2010</v>
      </c>
      <c r="E1054">
        <v>205</v>
      </c>
      <c r="F1054" t="s">
        <v>600</v>
      </c>
      <c r="G1054" t="s">
        <v>829</v>
      </c>
      <c r="H1054" t="s">
        <v>851</v>
      </c>
      <c r="K1054" t="s">
        <v>378</v>
      </c>
      <c r="L1054" t="s">
        <v>574</v>
      </c>
      <c r="M1054" t="s">
        <v>348</v>
      </c>
      <c r="N1054" t="s">
        <v>538</v>
      </c>
      <c r="O1054" t="s">
        <v>948</v>
      </c>
      <c r="P1054" t="s">
        <v>947</v>
      </c>
      <c r="Q1054" t="s">
        <v>520</v>
      </c>
      <c r="R1054">
        <v>60</v>
      </c>
      <c r="S1054" s="3">
        <f>1/1</f>
        <v>1</v>
      </c>
      <c r="T1054" s="3">
        <v>1.5</v>
      </c>
      <c r="U1054">
        <v>15</v>
      </c>
    </row>
    <row r="1055" spans="1:21" x14ac:dyDescent="0.35">
      <c r="A1055" t="s">
        <v>950</v>
      </c>
      <c r="B1055" t="s">
        <v>468</v>
      </c>
      <c r="C1055" t="s">
        <v>385</v>
      </c>
      <c r="D1055">
        <v>2011</v>
      </c>
      <c r="E1055">
        <v>206</v>
      </c>
      <c r="F1055" t="s">
        <v>600</v>
      </c>
      <c r="G1055" t="s">
        <v>829</v>
      </c>
      <c r="H1055" t="s">
        <v>933</v>
      </c>
      <c r="K1055" t="s">
        <v>394</v>
      </c>
      <c r="M1055" t="s">
        <v>348</v>
      </c>
      <c r="N1055" t="s">
        <v>538</v>
      </c>
      <c r="O1055" t="s">
        <v>952</v>
      </c>
      <c r="P1055" t="s">
        <v>951</v>
      </c>
      <c r="Q1055" t="s">
        <v>230</v>
      </c>
      <c r="R1055">
        <v>0</v>
      </c>
      <c r="S1055" s="3">
        <f>1/0.5</f>
        <v>2</v>
      </c>
      <c r="T1055" s="3">
        <v>0</v>
      </c>
      <c r="U1055" s="3">
        <v>0</v>
      </c>
    </row>
    <row r="1056" spans="1:21" x14ac:dyDescent="0.35">
      <c r="A1056" t="s">
        <v>950</v>
      </c>
      <c r="B1056" t="s">
        <v>468</v>
      </c>
      <c r="C1056" t="s">
        <v>385</v>
      </c>
      <c r="D1056">
        <v>2011</v>
      </c>
      <c r="E1056">
        <v>206</v>
      </c>
      <c r="F1056" t="s">
        <v>600</v>
      </c>
      <c r="G1056" t="s">
        <v>829</v>
      </c>
      <c r="H1056" t="s">
        <v>933</v>
      </c>
      <c r="K1056" t="s">
        <v>394</v>
      </c>
      <c r="M1056" t="s">
        <v>348</v>
      </c>
      <c r="N1056" t="s">
        <v>538</v>
      </c>
      <c r="O1056" t="s">
        <v>952</v>
      </c>
      <c r="P1056" t="s">
        <v>951</v>
      </c>
      <c r="Q1056" t="s">
        <v>230</v>
      </c>
      <c r="R1056">
        <v>20</v>
      </c>
      <c r="S1056" s="3">
        <f>1/0.6</f>
        <v>1.6666666666666667</v>
      </c>
      <c r="T1056" s="3">
        <v>-0.3</v>
      </c>
      <c r="U1056" s="3">
        <v>0</v>
      </c>
    </row>
    <row r="1057" spans="1:21" x14ac:dyDescent="0.35">
      <c r="A1057" t="s">
        <v>950</v>
      </c>
      <c r="B1057" t="s">
        <v>468</v>
      </c>
      <c r="C1057" t="s">
        <v>385</v>
      </c>
      <c r="D1057">
        <v>2011</v>
      </c>
      <c r="E1057">
        <v>206</v>
      </c>
      <c r="F1057" t="s">
        <v>600</v>
      </c>
      <c r="G1057" t="s">
        <v>829</v>
      </c>
      <c r="H1057" t="s">
        <v>933</v>
      </c>
      <c r="K1057" t="s">
        <v>394</v>
      </c>
      <c r="M1057" t="s">
        <v>348</v>
      </c>
      <c r="N1057" t="s">
        <v>538</v>
      </c>
      <c r="O1057" t="s">
        <v>952</v>
      </c>
      <c r="P1057" t="s">
        <v>951</v>
      </c>
      <c r="Q1057" t="s">
        <v>230</v>
      </c>
      <c r="R1057">
        <v>40</v>
      </c>
      <c r="S1057" s="3">
        <f>1/0.6</f>
        <v>1.6666666666666667</v>
      </c>
      <c r="T1057" s="3">
        <v>-0.6</v>
      </c>
      <c r="U1057" s="3">
        <v>0</v>
      </c>
    </row>
    <row r="1058" spans="1:21" x14ac:dyDescent="0.35">
      <c r="A1058" t="s">
        <v>950</v>
      </c>
      <c r="B1058" t="s">
        <v>468</v>
      </c>
      <c r="C1058" t="s">
        <v>385</v>
      </c>
      <c r="D1058">
        <v>2011</v>
      </c>
      <c r="E1058">
        <v>206</v>
      </c>
      <c r="F1058" t="s">
        <v>600</v>
      </c>
      <c r="G1058" t="s">
        <v>829</v>
      </c>
      <c r="H1058" t="s">
        <v>933</v>
      </c>
      <c r="K1058" t="s">
        <v>394</v>
      </c>
      <c r="M1058" t="s">
        <v>348</v>
      </c>
      <c r="N1058" t="s">
        <v>538</v>
      </c>
      <c r="O1058" t="s">
        <v>952</v>
      </c>
      <c r="P1058" t="s">
        <v>951</v>
      </c>
      <c r="Q1058" t="s">
        <v>230</v>
      </c>
      <c r="R1058">
        <v>60</v>
      </c>
      <c r="S1058" s="3">
        <f>1/0.5</f>
        <v>2</v>
      </c>
      <c r="T1058" s="3">
        <v>-0.9</v>
      </c>
      <c r="U1058" s="3">
        <v>0</v>
      </c>
    </row>
    <row r="1059" spans="1:21" x14ac:dyDescent="0.35">
      <c r="A1059" t="s">
        <v>950</v>
      </c>
      <c r="B1059" t="s">
        <v>468</v>
      </c>
      <c r="C1059" t="s">
        <v>385</v>
      </c>
      <c r="D1059">
        <v>2011</v>
      </c>
      <c r="E1059">
        <v>206</v>
      </c>
      <c r="F1059" t="s">
        <v>600</v>
      </c>
      <c r="G1059" t="s">
        <v>829</v>
      </c>
      <c r="H1059" t="s">
        <v>933</v>
      </c>
      <c r="K1059" t="s">
        <v>394</v>
      </c>
      <c r="M1059" t="s">
        <v>348</v>
      </c>
      <c r="N1059" t="s">
        <v>538</v>
      </c>
      <c r="O1059" t="s">
        <v>952</v>
      </c>
      <c r="P1059" t="s">
        <v>951</v>
      </c>
      <c r="Q1059" t="s">
        <v>230</v>
      </c>
      <c r="R1059">
        <v>80</v>
      </c>
      <c r="S1059" s="3">
        <f>1/0.4</f>
        <v>2.5</v>
      </c>
      <c r="T1059" s="3">
        <v>-1.2</v>
      </c>
      <c r="U1059" s="3">
        <v>0</v>
      </c>
    </row>
    <row r="1060" spans="1:21" x14ac:dyDescent="0.35">
      <c r="A1060" t="s">
        <v>950</v>
      </c>
      <c r="B1060" t="s">
        <v>468</v>
      </c>
      <c r="C1060" t="s">
        <v>385</v>
      </c>
      <c r="D1060">
        <v>2011</v>
      </c>
      <c r="E1060">
        <v>206</v>
      </c>
      <c r="F1060" t="s">
        <v>600</v>
      </c>
      <c r="G1060" t="s">
        <v>829</v>
      </c>
      <c r="H1060" t="s">
        <v>933</v>
      </c>
      <c r="K1060" t="s">
        <v>394</v>
      </c>
      <c r="M1060" t="s">
        <v>348</v>
      </c>
      <c r="N1060" t="s">
        <v>538</v>
      </c>
      <c r="O1060" t="s">
        <v>952</v>
      </c>
      <c r="P1060" t="s">
        <v>951</v>
      </c>
      <c r="Q1060" t="s">
        <v>230</v>
      </c>
      <c r="R1060">
        <v>100</v>
      </c>
      <c r="S1060" s="3">
        <f>1/0.2</f>
        <v>5</v>
      </c>
      <c r="T1060" s="3">
        <v>-1.5</v>
      </c>
      <c r="U1060" s="3">
        <v>0</v>
      </c>
    </row>
    <row r="1061" spans="1:21" x14ac:dyDescent="0.35">
      <c r="A1061" t="s">
        <v>950</v>
      </c>
      <c r="B1061" t="s">
        <v>468</v>
      </c>
      <c r="C1061" t="s">
        <v>385</v>
      </c>
      <c r="D1061">
        <v>2011</v>
      </c>
      <c r="E1061">
        <v>206</v>
      </c>
      <c r="F1061" t="s">
        <v>600</v>
      </c>
      <c r="G1061" t="s">
        <v>829</v>
      </c>
      <c r="H1061" t="s">
        <v>851</v>
      </c>
      <c r="K1061" t="s">
        <v>394</v>
      </c>
      <c r="M1061" t="s">
        <v>348</v>
      </c>
      <c r="N1061" t="s">
        <v>538</v>
      </c>
      <c r="O1061" t="s">
        <v>952</v>
      </c>
      <c r="P1061" t="s">
        <v>951</v>
      </c>
      <c r="Q1061" t="s">
        <v>230</v>
      </c>
      <c r="R1061">
        <v>0</v>
      </c>
      <c r="S1061" s="3">
        <f>1/0.6</f>
        <v>1.6666666666666667</v>
      </c>
      <c r="T1061" s="3">
        <v>0</v>
      </c>
      <c r="U1061" s="3">
        <v>0</v>
      </c>
    </row>
    <row r="1062" spans="1:21" x14ac:dyDescent="0.35">
      <c r="A1062" t="s">
        <v>950</v>
      </c>
      <c r="B1062" t="s">
        <v>468</v>
      </c>
      <c r="C1062" t="s">
        <v>385</v>
      </c>
      <c r="D1062">
        <v>2011</v>
      </c>
      <c r="E1062">
        <v>206</v>
      </c>
      <c r="F1062" t="s">
        <v>600</v>
      </c>
      <c r="G1062" t="s">
        <v>829</v>
      </c>
      <c r="H1062" t="s">
        <v>851</v>
      </c>
      <c r="K1062" t="s">
        <v>394</v>
      </c>
      <c r="M1062" t="s">
        <v>348</v>
      </c>
      <c r="N1062" t="s">
        <v>538</v>
      </c>
      <c r="O1062" t="s">
        <v>952</v>
      </c>
      <c r="P1062" t="s">
        <v>951</v>
      </c>
      <c r="Q1062" t="s">
        <v>230</v>
      </c>
      <c r="R1062">
        <v>20</v>
      </c>
      <c r="S1062" s="3">
        <f>1/0.6</f>
        <v>1.6666666666666667</v>
      </c>
      <c r="T1062" s="3">
        <v>0.5</v>
      </c>
      <c r="U1062" s="3">
        <v>0</v>
      </c>
    </row>
    <row r="1063" spans="1:21" x14ac:dyDescent="0.35">
      <c r="A1063" t="s">
        <v>950</v>
      </c>
      <c r="B1063" t="s">
        <v>468</v>
      </c>
      <c r="C1063" t="s">
        <v>385</v>
      </c>
      <c r="D1063">
        <v>2011</v>
      </c>
      <c r="E1063">
        <v>206</v>
      </c>
      <c r="F1063" t="s">
        <v>600</v>
      </c>
      <c r="G1063" t="s">
        <v>829</v>
      </c>
      <c r="H1063" t="s">
        <v>851</v>
      </c>
      <c r="K1063" t="s">
        <v>394</v>
      </c>
      <c r="M1063" t="s">
        <v>348</v>
      </c>
      <c r="N1063" t="s">
        <v>538</v>
      </c>
      <c r="O1063" t="s">
        <v>952</v>
      </c>
      <c r="P1063" t="s">
        <v>951</v>
      </c>
      <c r="Q1063" t="s">
        <v>230</v>
      </c>
      <c r="R1063">
        <v>40</v>
      </c>
      <c r="S1063" s="3">
        <f>1/0.3</f>
        <v>3.3333333333333335</v>
      </c>
      <c r="T1063" s="3">
        <v>1</v>
      </c>
      <c r="U1063" s="3">
        <v>0</v>
      </c>
    </row>
    <row r="1064" spans="1:21" x14ac:dyDescent="0.35">
      <c r="A1064" t="s">
        <v>950</v>
      </c>
      <c r="B1064" t="s">
        <v>468</v>
      </c>
      <c r="C1064" t="s">
        <v>385</v>
      </c>
      <c r="D1064">
        <v>2011</v>
      </c>
      <c r="E1064">
        <v>206</v>
      </c>
      <c r="F1064" t="s">
        <v>600</v>
      </c>
      <c r="G1064" t="s">
        <v>829</v>
      </c>
      <c r="H1064" t="s">
        <v>851</v>
      </c>
      <c r="K1064" t="s">
        <v>394</v>
      </c>
      <c r="M1064" t="s">
        <v>348</v>
      </c>
      <c r="N1064" t="s">
        <v>538</v>
      </c>
      <c r="O1064" t="s">
        <v>952</v>
      </c>
      <c r="P1064" t="s">
        <v>951</v>
      </c>
      <c r="Q1064" t="s">
        <v>230</v>
      </c>
      <c r="R1064">
        <v>60</v>
      </c>
      <c r="S1064" s="3">
        <f>1/0.1</f>
        <v>10</v>
      </c>
      <c r="T1064" s="3">
        <v>1.5</v>
      </c>
      <c r="U1064" s="3">
        <v>0</v>
      </c>
    </row>
    <row r="1065" spans="1:21" x14ac:dyDescent="0.35">
      <c r="A1065" t="s">
        <v>950</v>
      </c>
      <c r="B1065" t="s">
        <v>468</v>
      </c>
      <c r="C1065" t="s">
        <v>385</v>
      </c>
      <c r="D1065">
        <v>2011</v>
      </c>
      <c r="E1065">
        <v>206</v>
      </c>
      <c r="F1065" t="s">
        <v>600</v>
      </c>
      <c r="G1065" t="s">
        <v>829</v>
      </c>
      <c r="H1065" t="s">
        <v>851</v>
      </c>
      <c r="K1065" t="s">
        <v>394</v>
      </c>
      <c r="M1065" t="s">
        <v>348</v>
      </c>
      <c r="N1065" t="s">
        <v>538</v>
      </c>
      <c r="O1065" t="s">
        <v>952</v>
      </c>
      <c r="P1065" t="s">
        <v>951</v>
      </c>
      <c r="Q1065" t="s">
        <v>230</v>
      </c>
      <c r="R1065">
        <v>80</v>
      </c>
      <c r="S1065" s="3">
        <f>1/0.1</f>
        <v>10</v>
      </c>
      <c r="T1065" s="3">
        <v>2</v>
      </c>
      <c r="U1065" s="3">
        <v>0</v>
      </c>
    </row>
    <row r="1066" spans="1:21" x14ac:dyDescent="0.35">
      <c r="A1066" t="s">
        <v>950</v>
      </c>
      <c r="B1066" t="s">
        <v>468</v>
      </c>
      <c r="C1066" t="s">
        <v>385</v>
      </c>
      <c r="D1066">
        <v>2011</v>
      </c>
      <c r="E1066">
        <v>206</v>
      </c>
      <c r="F1066" t="s">
        <v>600</v>
      </c>
      <c r="G1066" t="s">
        <v>829</v>
      </c>
      <c r="H1066" t="s">
        <v>851</v>
      </c>
      <c r="K1066" t="s">
        <v>394</v>
      </c>
      <c r="M1066" t="s">
        <v>348</v>
      </c>
      <c r="N1066" t="s">
        <v>538</v>
      </c>
      <c r="O1066" t="s">
        <v>952</v>
      </c>
      <c r="P1066" t="s">
        <v>951</v>
      </c>
      <c r="Q1066" t="s">
        <v>230</v>
      </c>
      <c r="R1066">
        <v>100</v>
      </c>
      <c r="S1066" s="3">
        <f>1/0.1</f>
        <v>10</v>
      </c>
      <c r="T1066" s="3">
        <v>2.5</v>
      </c>
      <c r="U1066" s="3">
        <v>0</v>
      </c>
    </row>
    <row r="1067" spans="1:21" x14ac:dyDescent="0.35">
      <c r="A1067" t="s">
        <v>954</v>
      </c>
      <c r="B1067" t="s">
        <v>468</v>
      </c>
      <c r="C1067" t="s">
        <v>342</v>
      </c>
      <c r="D1067">
        <v>2008</v>
      </c>
      <c r="E1067">
        <v>207</v>
      </c>
      <c r="F1067" t="s">
        <v>600</v>
      </c>
      <c r="G1067" t="s">
        <v>829</v>
      </c>
      <c r="H1067" t="s">
        <v>832</v>
      </c>
      <c r="K1067" t="s">
        <v>394</v>
      </c>
      <c r="M1067" t="s">
        <v>348</v>
      </c>
      <c r="N1067" t="s">
        <v>538</v>
      </c>
      <c r="O1067" t="s">
        <v>705</v>
      </c>
      <c r="P1067" t="s">
        <v>953</v>
      </c>
      <c r="Q1067" t="s">
        <v>230</v>
      </c>
      <c r="R1067">
        <v>0</v>
      </c>
      <c r="S1067" s="3">
        <v>1.05</v>
      </c>
      <c r="T1067" s="3">
        <v>0</v>
      </c>
      <c r="U1067" s="3">
        <v>0</v>
      </c>
    </row>
    <row r="1068" spans="1:21" x14ac:dyDescent="0.35">
      <c r="A1068" t="s">
        <v>954</v>
      </c>
      <c r="B1068" t="s">
        <v>468</v>
      </c>
      <c r="C1068" t="s">
        <v>342</v>
      </c>
      <c r="D1068">
        <v>2008</v>
      </c>
      <c r="E1068">
        <v>207</v>
      </c>
      <c r="F1068" t="s">
        <v>600</v>
      </c>
      <c r="G1068" t="s">
        <v>829</v>
      </c>
      <c r="H1068" t="s">
        <v>832</v>
      </c>
      <c r="K1068" t="s">
        <v>394</v>
      </c>
      <c r="M1068" t="s">
        <v>348</v>
      </c>
      <c r="N1068" t="s">
        <v>538</v>
      </c>
      <c r="O1068" t="s">
        <v>705</v>
      </c>
      <c r="P1068" t="s">
        <v>953</v>
      </c>
      <c r="Q1068" t="s">
        <v>230</v>
      </c>
      <c r="R1068">
        <v>40</v>
      </c>
      <c r="S1068" s="3">
        <v>1.2</v>
      </c>
      <c r="T1068" s="3">
        <v>0</v>
      </c>
      <c r="U1068" s="3">
        <v>-71</v>
      </c>
    </row>
    <row r="1069" spans="1:21" x14ac:dyDescent="0.35">
      <c r="A1069" t="s">
        <v>954</v>
      </c>
      <c r="B1069" t="s">
        <v>468</v>
      </c>
      <c r="C1069" t="s">
        <v>342</v>
      </c>
      <c r="D1069">
        <v>2008</v>
      </c>
      <c r="E1069">
        <v>207</v>
      </c>
      <c r="F1069" t="s">
        <v>600</v>
      </c>
      <c r="G1069" t="s">
        <v>829</v>
      </c>
      <c r="H1069" t="s">
        <v>955</v>
      </c>
      <c r="K1069" t="s">
        <v>394</v>
      </c>
      <c r="M1069" t="s">
        <v>348</v>
      </c>
      <c r="N1069" t="s">
        <v>538</v>
      </c>
      <c r="O1069" t="s">
        <v>705</v>
      </c>
      <c r="P1069" t="s">
        <v>953</v>
      </c>
      <c r="Q1069" t="s">
        <v>230</v>
      </c>
      <c r="R1069">
        <v>40</v>
      </c>
      <c r="S1069" s="3">
        <v>1.75</v>
      </c>
      <c r="T1069" s="3">
        <v>0</v>
      </c>
      <c r="U1069" s="3">
        <v>-71</v>
      </c>
    </row>
    <row r="1070" spans="1:21" x14ac:dyDescent="0.35">
      <c r="A1070" t="s">
        <v>959</v>
      </c>
      <c r="B1070" t="s">
        <v>384</v>
      </c>
      <c r="C1070" t="s">
        <v>385</v>
      </c>
      <c r="D1070">
        <v>2013</v>
      </c>
      <c r="E1070">
        <v>208</v>
      </c>
      <c r="F1070" t="s">
        <v>600</v>
      </c>
      <c r="G1070" t="s">
        <v>829</v>
      </c>
      <c r="H1070" t="s">
        <v>832</v>
      </c>
      <c r="K1070" t="s">
        <v>378</v>
      </c>
      <c r="L1070" t="s">
        <v>377</v>
      </c>
      <c r="M1070" t="s">
        <v>348</v>
      </c>
      <c r="N1070" t="s">
        <v>538</v>
      </c>
      <c r="O1070" t="s">
        <v>957</v>
      </c>
      <c r="P1070" t="s">
        <v>956</v>
      </c>
      <c r="Q1070" t="s">
        <v>230</v>
      </c>
      <c r="R1070">
        <v>0</v>
      </c>
      <c r="S1070" s="3">
        <v>1</v>
      </c>
      <c r="T1070" s="3">
        <v>0</v>
      </c>
      <c r="U1070" s="3">
        <v>0</v>
      </c>
    </row>
    <row r="1071" spans="1:21" x14ac:dyDescent="0.35">
      <c r="A1071" t="s">
        <v>959</v>
      </c>
      <c r="B1071" t="s">
        <v>384</v>
      </c>
      <c r="C1071" t="s">
        <v>385</v>
      </c>
      <c r="D1071">
        <v>2013</v>
      </c>
      <c r="E1071">
        <v>208</v>
      </c>
      <c r="F1071" t="s">
        <v>600</v>
      </c>
      <c r="G1071" t="s">
        <v>829</v>
      </c>
      <c r="H1071" t="s">
        <v>832</v>
      </c>
      <c r="K1071" t="s">
        <v>378</v>
      </c>
      <c r="L1071" t="s">
        <v>377</v>
      </c>
      <c r="M1071" t="s">
        <v>348</v>
      </c>
      <c r="N1071" t="s">
        <v>538</v>
      </c>
      <c r="O1071" t="s">
        <v>957</v>
      </c>
      <c r="P1071" t="s">
        <v>956</v>
      </c>
      <c r="Q1071" t="s">
        <v>230</v>
      </c>
      <c r="R1071">
        <v>66</v>
      </c>
      <c r="S1071" s="3">
        <v>1.1599999999999999</v>
      </c>
      <c r="T1071" s="3">
        <v>0</v>
      </c>
      <c r="U1071" s="3">
        <v>-10.8</v>
      </c>
    </row>
    <row r="1072" spans="1:21" x14ac:dyDescent="0.35">
      <c r="A1072" t="s">
        <v>959</v>
      </c>
      <c r="B1072" t="s">
        <v>384</v>
      </c>
      <c r="C1072" t="s">
        <v>385</v>
      </c>
      <c r="D1072">
        <v>2013</v>
      </c>
      <c r="E1072">
        <v>208</v>
      </c>
      <c r="F1072" t="s">
        <v>600</v>
      </c>
      <c r="G1072" t="s">
        <v>829</v>
      </c>
      <c r="H1072" t="s">
        <v>958</v>
      </c>
      <c r="K1072" t="s">
        <v>378</v>
      </c>
      <c r="L1072" t="s">
        <v>377</v>
      </c>
      <c r="M1072" t="s">
        <v>348</v>
      </c>
      <c r="N1072" t="s">
        <v>538</v>
      </c>
      <c r="O1072" t="s">
        <v>957</v>
      </c>
      <c r="P1072" t="s">
        <v>956</v>
      </c>
      <c r="Q1072" t="s">
        <v>230</v>
      </c>
      <c r="R1072">
        <v>66</v>
      </c>
      <c r="S1072" s="3">
        <v>1.04</v>
      </c>
      <c r="T1072" s="3">
        <v>0</v>
      </c>
      <c r="U1072" s="3">
        <v>-10.8</v>
      </c>
    </row>
    <row r="1073" spans="1:21" x14ac:dyDescent="0.35">
      <c r="A1073" t="s">
        <v>959</v>
      </c>
      <c r="B1073" t="s">
        <v>384</v>
      </c>
      <c r="C1073" t="s">
        <v>385</v>
      </c>
      <c r="D1073">
        <v>2013</v>
      </c>
      <c r="E1073">
        <v>208</v>
      </c>
      <c r="F1073" t="s">
        <v>600</v>
      </c>
      <c r="G1073" t="s">
        <v>829</v>
      </c>
      <c r="H1073" t="s">
        <v>832</v>
      </c>
      <c r="K1073" t="s">
        <v>378</v>
      </c>
      <c r="L1073" t="s">
        <v>377</v>
      </c>
      <c r="M1073" t="s">
        <v>348</v>
      </c>
      <c r="N1073" t="s">
        <v>538</v>
      </c>
      <c r="O1073" t="s">
        <v>957</v>
      </c>
      <c r="P1073" t="s">
        <v>956</v>
      </c>
      <c r="Q1073" t="s">
        <v>230</v>
      </c>
      <c r="R1073">
        <v>83</v>
      </c>
      <c r="S1073" s="3">
        <v>0.98</v>
      </c>
      <c r="T1073" s="3">
        <v>0</v>
      </c>
      <c r="U1073" s="3">
        <v>-14.2</v>
      </c>
    </row>
    <row r="1074" spans="1:21" x14ac:dyDescent="0.35">
      <c r="A1074" t="s">
        <v>959</v>
      </c>
      <c r="B1074" t="s">
        <v>384</v>
      </c>
      <c r="C1074" t="s">
        <v>385</v>
      </c>
      <c r="D1074">
        <v>2013</v>
      </c>
      <c r="E1074">
        <v>208</v>
      </c>
      <c r="F1074" t="s">
        <v>600</v>
      </c>
      <c r="G1074" t="s">
        <v>829</v>
      </c>
      <c r="H1074" t="s">
        <v>958</v>
      </c>
      <c r="K1074" t="s">
        <v>378</v>
      </c>
      <c r="L1074" t="s">
        <v>377</v>
      </c>
      <c r="M1074" t="s">
        <v>348</v>
      </c>
      <c r="N1074" t="s">
        <v>538</v>
      </c>
      <c r="O1074" t="s">
        <v>957</v>
      </c>
      <c r="P1074" t="s">
        <v>956</v>
      </c>
      <c r="Q1074" t="s">
        <v>230</v>
      </c>
      <c r="R1074">
        <v>83</v>
      </c>
      <c r="S1074" s="3">
        <v>0.97</v>
      </c>
      <c r="T1074" s="3">
        <v>0</v>
      </c>
      <c r="U1074" s="3">
        <v>-14.3</v>
      </c>
    </row>
    <row r="1075" spans="1:21" x14ac:dyDescent="0.35">
      <c r="A1075" t="s">
        <v>959</v>
      </c>
      <c r="B1075" t="s">
        <v>384</v>
      </c>
      <c r="C1075" t="s">
        <v>385</v>
      </c>
      <c r="D1075">
        <v>2013</v>
      </c>
      <c r="E1075">
        <v>208</v>
      </c>
      <c r="F1075" t="s">
        <v>600</v>
      </c>
      <c r="G1075" t="s">
        <v>829</v>
      </c>
      <c r="H1075" t="s">
        <v>832</v>
      </c>
      <c r="K1075" t="s">
        <v>378</v>
      </c>
      <c r="L1075" t="s">
        <v>377</v>
      </c>
      <c r="M1075" t="s">
        <v>348</v>
      </c>
      <c r="N1075" t="s">
        <v>538</v>
      </c>
      <c r="O1075" t="s">
        <v>957</v>
      </c>
      <c r="P1075" t="s">
        <v>956</v>
      </c>
      <c r="Q1075" t="s">
        <v>230</v>
      </c>
      <c r="R1075">
        <v>100</v>
      </c>
      <c r="S1075" s="3">
        <v>1.28</v>
      </c>
      <c r="T1075" s="3">
        <v>0</v>
      </c>
      <c r="U1075" s="3">
        <v>-17.5</v>
      </c>
    </row>
    <row r="1076" spans="1:21" x14ac:dyDescent="0.35">
      <c r="A1076" t="s">
        <v>959</v>
      </c>
      <c r="B1076" t="s">
        <v>384</v>
      </c>
      <c r="C1076" t="s">
        <v>385</v>
      </c>
      <c r="D1076">
        <v>2013</v>
      </c>
      <c r="E1076">
        <v>208</v>
      </c>
      <c r="F1076" t="s">
        <v>600</v>
      </c>
      <c r="G1076" t="s">
        <v>829</v>
      </c>
      <c r="H1076" t="s">
        <v>958</v>
      </c>
      <c r="K1076" t="s">
        <v>378</v>
      </c>
      <c r="L1076" t="s">
        <v>377</v>
      </c>
      <c r="M1076" t="s">
        <v>348</v>
      </c>
      <c r="N1076" t="s">
        <v>538</v>
      </c>
      <c r="O1076" t="s">
        <v>957</v>
      </c>
      <c r="P1076" t="s">
        <v>956</v>
      </c>
      <c r="Q1076" t="s">
        <v>230</v>
      </c>
      <c r="R1076">
        <v>100</v>
      </c>
      <c r="S1076" s="3">
        <v>1.05</v>
      </c>
      <c r="T1076" s="3">
        <v>0</v>
      </c>
      <c r="U1076">
        <v>-18.7</v>
      </c>
    </row>
    <row r="1077" spans="1:21" x14ac:dyDescent="0.35">
      <c r="A1077" t="s">
        <v>961</v>
      </c>
      <c r="B1077" t="s">
        <v>468</v>
      </c>
      <c r="C1077" t="s">
        <v>385</v>
      </c>
      <c r="D1077">
        <v>2013</v>
      </c>
      <c r="E1077">
        <v>209</v>
      </c>
      <c r="F1077" t="s">
        <v>600</v>
      </c>
      <c r="G1077" t="s">
        <v>829</v>
      </c>
      <c r="H1077" t="s">
        <v>851</v>
      </c>
      <c r="K1077" t="s">
        <v>378</v>
      </c>
      <c r="L1077" t="s">
        <v>960</v>
      </c>
      <c r="M1077" t="s">
        <v>348</v>
      </c>
      <c r="N1077" t="s">
        <v>538</v>
      </c>
      <c r="O1077" t="s">
        <v>924</v>
      </c>
      <c r="P1077" t="s">
        <v>923</v>
      </c>
      <c r="Q1077" t="s">
        <v>230</v>
      </c>
      <c r="R1077">
        <v>0</v>
      </c>
      <c r="S1077" s="3">
        <f>1/0.95</f>
        <v>1.0526315789473684</v>
      </c>
      <c r="T1077" s="3">
        <v>0</v>
      </c>
      <c r="U1077" s="3">
        <v>0</v>
      </c>
    </row>
    <row r="1078" spans="1:21" x14ac:dyDescent="0.35">
      <c r="A1078" t="s">
        <v>961</v>
      </c>
      <c r="B1078" t="s">
        <v>468</v>
      </c>
      <c r="C1078" t="s">
        <v>385</v>
      </c>
      <c r="D1078">
        <v>2013</v>
      </c>
      <c r="E1078">
        <v>209</v>
      </c>
      <c r="F1078" t="s">
        <v>600</v>
      </c>
      <c r="G1078" t="s">
        <v>829</v>
      </c>
      <c r="H1078" t="s">
        <v>851</v>
      </c>
      <c r="K1078" t="s">
        <v>378</v>
      </c>
      <c r="L1078" t="s">
        <v>960</v>
      </c>
      <c r="M1078" t="s">
        <v>348</v>
      </c>
      <c r="N1078" t="s">
        <v>538</v>
      </c>
      <c r="O1078" t="s">
        <v>924</v>
      </c>
      <c r="P1078" t="s">
        <v>923</v>
      </c>
      <c r="Q1078" t="s">
        <v>230</v>
      </c>
      <c r="R1078">
        <v>50</v>
      </c>
      <c r="S1078" s="3">
        <f>1/1.03</f>
        <v>0.970873786407767</v>
      </c>
      <c r="T1078" s="3">
        <v>2.8</v>
      </c>
      <c r="U1078" s="3">
        <v>0</v>
      </c>
    </row>
    <row r="1079" spans="1:21" x14ac:dyDescent="0.35">
      <c r="A1079" t="s">
        <v>961</v>
      </c>
      <c r="B1079" t="s">
        <v>468</v>
      </c>
      <c r="C1079" t="s">
        <v>385</v>
      </c>
      <c r="D1079">
        <v>2013</v>
      </c>
      <c r="E1079">
        <v>209</v>
      </c>
      <c r="F1079" t="s">
        <v>600</v>
      </c>
      <c r="G1079" t="s">
        <v>829</v>
      </c>
      <c r="H1079" t="s">
        <v>832</v>
      </c>
      <c r="K1079" t="s">
        <v>378</v>
      </c>
      <c r="L1079" t="s">
        <v>960</v>
      </c>
      <c r="M1079" t="s">
        <v>348</v>
      </c>
      <c r="N1079" t="s">
        <v>538</v>
      </c>
      <c r="O1079" t="s">
        <v>924</v>
      </c>
      <c r="P1079" t="s">
        <v>923</v>
      </c>
      <c r="Q1079" t="s">
        <v>230</v>
      </c>
      <c r="R1079">
        <v>0</v>
      </c>
      <c r="S1079" s="3">
        <f>1/0.96</f>
        <v>1.0416666666666667</v>
      </c>
      <c r="T1079" s="3">
        <v>0</v>
      </c>
      <c r="U1079" s="3">
        <v>0</v>
      </c>
    </row>
    <row r="1080" spans="1:21" x14ac:dyDescent="0.35">
      <c r="A1080" t="s">
        <v>961</v>
      </c>
      <c r="B1080" t="s">
        <v>468</v>
      </c>
      <c r="C1080" t="s">
        <v>385</v>
      </c>
      <c r="D1080">
        <v>2013</v>
      </c>
      <c r="E1080">
        <v>209</v>
      </c>
      <c r="F1080" t="s">
        <v>600</v>
      </c>
      <c r="G1080" t="s">
        <v>829</v>
      </c>
      <c r="H1080" t="s">
        <v>832</v>
      </c>
      <c r="K1080" t="s">
        <v>378</v>
      </c>
      <c r="L1080" t="s">
        <v>960</v>
      </c>
      <c r="M1080" t="s">
        <v>348</v>
      </c>
      <c r="N1080" t="s">
        <v>538</v>
      </c>
      <c r="O1080" t="s">
        <v>924</v>
      </c>
      <c r="P1080" t="s">
        <v>923</v>
      </c>
      <c r="Q1080" t="s">
        <v>230</v>
      </c>
      <c r="R1080">
        <v>88</v>
      </c>
      <c r="S1080" s="3">
        <f>1/0.84</f>
        <v>1.1904761904761905</v>
      </c>
      <c r="T1080" s="3">
        <v>3.9</v>
      </c>
      <c r="U1080" s="3">
        <v>0</v>
      </c>
    </row>
    <row r="1081" spans="1:21" x14ac:dyDescent="0.35">
      <c r="A1081" t="s">
        <v>961</v>
      </c>
      <c r="B1081" t="s">
        <v>468</v>
      </c>
      <c r="C1081" t="s">
        <v>385</v>
      </c>
      <c r="D1081">
        <v>2013</v>
      </c>
      <c r="E1081">
        <v>209</v>
      </c>
      <c r="F1081" t="s">
        <v>600</v>
      </c>
      <c r="G1081" t="s">
        <v>829</v>
      </c>
      <c r="H1081" t="s">
        <v>832</v>
      </c>
      <c r="K1081" t="s">
        <v>378</v>
      </c>
      <c r="L1081" t="s">
        <v>960</v>
      </c>
      <c r="M1081" t="s">
        <v>348</v>
      </c>
      <c r="N1081" t="s">
        <v>538</v>
      </c>
      <c r="O1081" t="s">
        <v>924</v>
      </c>
      <c r="P1081" t="s">
        <v>923</v>
      </c>
      <c r="Q1081" t="s">
        <v>230</v>
      </c>
      <c r="R1081">
        <v>88</v>
      </c>
      <c r="S1081" s="3">
        <f>1/0.88</f>
        <v>1.1363636363636365</v>
      </c>
      <c r="T1081" s="3">
        <v>5.3</v>
      </c>
      <c r="U1081" s="3">
        <v>0</v>
      </c>
    </row>
    <row r="1082" spans="1:21" x14ac:dyDescent="0.35">
      <c r="A1082" t="s">
        <v>961</v>
      </c>
      <c r="B1082" t="s">
        <v>468</v>
      </c>
      <c r="C1082" t="s">
        <v>385</v>
      </c>
      <c r="D1082">
        <v>2013</v>
      </c>
      <c r="E1082">
        <v>209</v>
      </c>
      <c r="F1082" t="s">
        <v>600</v>
      </c>
      <c r="G1082" t="s">
        <v>829</v>
      </c>
      <c r="H1082" t="s">
        <v>832</v>
      </c>
      <c r="K1082" t="s">
        <v>378</v>
      </c>
      <c r="L1082" t="s">
        <v>960</v>
      </c>
      <c r="M1082" t="s">
        <v>348</v>
      </c>
      <c r="N1082" t="s">
        <v>538</v>
      </c>
      <c r="O1082" t="s">
        <v>924</v>
      </c>
      <c r="P1082" t="s">
        <v>923</v>
      </c>
      <c r="Q1082" t="s">
        <v>230</v>
      </c>
      <c r="R1082">
        <v>88</v>
      </c>
      <c r="S1082" s="3">
        <f>1/0.88</f>
        <v>1.1363636363636365</v>
      </c>
      <c r="T1082" s="3">
        <v>6.1</v>
      </c>
      <c r="U1082" s="3">
        <v>0</v>
      </c>
    </row>
    <row r="1083" spans="1:21" x14ac:dyDescent="0.35">
      <c r="A1083" t="s">
        <v>961</v>
      </c>
      <c r="B1083" t="s">
        <v>522</v>
      </c>
      <c r="C1083" t="s">
        <v>385</v>
      </c>
      <c r="D1083">
        <v>2015</v>
      </c>
      <c r="E1083">
        <v>210</v>
      </c>
      <c r="F1083" t="s">
        <v>600</v>
      </c>
      <c r="G1083" t="s">
        <v>829</v>
      </c>
      <c r="H1083" t="s">
        <v>832</v>
      </c>
      <c r="K1083" t="s">
        <v>378</v>
      </c>
      <c r="L1083" t="s">
        <v>960</v>
      </c>
      <c r="M1083" t="s">
        <v>348</v>
      </c>
      <c r="N1083" t="s">
        <v>538</v>
      </c>
      <c r="O1083" t="s">
        <v>924</v>
      </c>
      <c r="P1083" t="s">
        <v>923</v>
      </c>
      <c r="Q1083" t="s">
        <v>230</v>
      </c>
      <c r="R1083">
        <v>0</v>
      </c>
      <c r="S1083" s="3">
        <f>1/0.56</f>
        <v>1.7857142857142856</v>
      </c>
      <c r="T1083" s="3">
        <v>0</v>
      </c>
      <c r="U1083" s="3">
        <v>0</v>
      </c>
    </row>
    <row r="1084" spans="1:21" x14ac:dyDescent="0.35">
      <c r="A1084" t="s">
        <v>961</v>
      </c>
      <c r="B1084" t="s">
        <v>522</v>
      </c>
      <c r="C1084" t="s">
        <v>385</v>
      </c>
      <c r="D1084">
        <v>2015</v>
      </c>
      <c r="E1084">
        <v>210</v>
      </c>
      <c r="F1084" t="s">
        <v>600</v>
      </c>
      <c r="G1084" t="s">
        <v>829</v>
      </c>
      <c r="H1084" t="s">
        <v>962</v>
      </c>
      <c r="K1084" t="s">
        <v>378</v>
      </c>
      <c r="L1084" t="s">
        <v>960</v>
      </c>
      <c r="M1084" t="s">
        <v>348</v>
      </c>
      <c r="N1084" t="s">
        <v>538</v>
      </c>
      <c r="O1084" t="s">
        <v>924</v>
      </c>
      <c r="P1084" t="s">
        <v>923</v>
      </c>
      <c r="Q1084" t="s">
        <v>230</v>
      </c>
      <c r="R1084">
        <v>72</v>
      </c>
      <c r="S1084" s="3">
        <f>1/0.57</f>
        <v>1.7543859649122808</v>
      </c>
      <c r="T1084" s="3">
        <v>3.5</v>
      </c>
      <c r="U1084" s="3">
        <v>-13</v>
      </c>
    </row>
    <row r="1085" spans="1:21" x14ac:dyDescent="0.35">
      <c r="A1085" t="s">
        <v>961</v>
      </c>
      <c r="B1085" t="s">
        <v>522</v>
      </c>
      <c r="C1085" t="s">
        <v>385</v>
      </c>
      <c r="D1085">
        <v>2015</v>
      </c>
      <c r="E1085">
        <v>210</v>
      </c>
      <c r="F1085" t="s">
        <v>600</v>
      </c>
      <c r="G1085" t="s">
        <v>829</v>
      </c>
      <c r="H1085" t="s">
        <v>963</v>
      </c>
      <c r="K1085" t="s">
        <v>378</v>
      </c>
      <c r="L1085" t="s">
        <v>960</v>
      </c>
      <c r="M1085" t="s">
        <v>348</v>
      </c>
      <c r="N1085" t="s">
        <v>538</v>
      </c>
      <c r="O1085" t="s">
        <v>924</v>
      </c>
      <c r="P1085" t="s">
        <v>923</v>
      </c>
      <c r="Q1085" t="s">
        <v>230</v>
      </c>
      <c r="R1085">
        <v>0</v>
      </c>
      <c r="S1085" s="3">
        <v>1.79</v>
      </c>
      <c r="T1085" s="3">
        <v>0</v>
      </c>
      <c r="U1085" s="3">
        <v>0</v>
      </c>
    </row>
    <row r="1086" spans="1:21" x14ac:dyDescent="0.35">
      <c r="A1086" t="s">
        <v>961</v>
      </c>
      <c r="B1086" t="s">
        <v>522</v>
      </c>
      <c r="C1086" t="s">
        <v>385</v>
      </c>
      <c r="D1086">
        <v>2015</v>
      </c>
      <c r="E1086">
        <v>210</v>
      </c>
      <c r="F1086" t="s">
        <v>600</v>
      </c>
      <c r="G1086" t="s">
        <v>829</v>
      </c>
      <c r="H1086" t="s">
        <v>963</v>
      </c>
      <c r="K1086" t="s">
        <v>378</v>
      </c>
      <c r="L1086" t="s">
        <v>960</v>
      </c>
      <c r="M1086" t="s">
        <v>348</v>
      </c>
      <c r="N1086" t="s">
        <v>538</v>
      </c>
      <c r="O1086" t="s">
        <v>924</v>
      </c>
      <c r="P1086" t="s">
        <v>923</v>
      </c>
      <c r="Q1086" t="s">
        <v>230</v>
      </c>
      <c r="R1086">
        <v>72</v>
      </c>
      <c r="S1086" s="3">
        <v>1.79</v>
      </c>
      <c r="T1086" s="3">
        <v>3.5</v>
      </c>
      <c r="U1086" s="3">
        <v>-15</v>
      </c>
    </row>
    <row r="1087" spans="1:21" x14ac:dyDescent="0.35">
      <c r="A1087" t="s">
        <v>961</v>
      </c>
      <c r="B1087" t="s">
        <v>522</v>
      </c>
      <c r="C1087" t="s">
        <v>385</v>
      </c>
      <c r="D1087">
        <v>2015</v>
      </c>
      <c r="E1087">
        <v>210</v>
      </c>
      <c r="F1087" t="s">
        <v>600</v>
      </c>
      <c r="G1087" t="s">
        <v>829</v>
      </c>
      <c r="H1087" t="s">
        <v>832</v>
      </c>
      <c r="K1087" t="s">
        <v>378</v>
      </c>
      <c r="L1087" t="s">
        <v>960</v>
      </c>
      <c r="M1087" t="s">
        <v>348</v>
      </c>
      <c r="N1087" t="s">
        <v>538</v>
      </c>
      <c r="O1087" t="s">
        <v>924</v>
      </c>
      <c r="P1087" t="s">
        <v>923</v>
      </c>
      <c r="Q1087" t="s">
        <v>230</v>
      </c>
      <c r="R1087">
        <v>72</v>
      </c>
      <c r="S1087" s="3">
        <f>1/0.53</f>
        <v>1.8867924528301885</v>
      </c>
      <c r="T1087" s="3">
        <v>3.8</v>
      </c>
      <c r="U1087" s="3">
        <v>-8.6999999999999993</v>
      </c>
    </row>
    <row r="1088" spans="1:21" x14ac:dyDescent="0.35">
      <c r="A1088" t="s">
        <v>961</v>
      </c>
      <c r="B1088" t="s">
        <v>398</v>
      </c>
      <c r="C1088" t="s">
        <v>385</v>
      </c>
      <c r="D1088">
        <v>2017</v>
      </c>
      <c r="E1088">
        <v>211</v>
      </c>
      <c r="F1088" t="s">
        <v>600</v>
      </c>
      <c r="G1088" t="s">
        <v>829</v>
      </c>
      <c r="H1088" t="s">
        <v>964</v>
      </c>
      <c r="K1088" t="s">
        <v>378</v>
      </c>
      <c r="L1088" t="s">
        <v>960</v>
      </c>
      <c r="M1088" t="s">
        <v>348</v>
      </c>
      <c r="N1088" t="s">
        <v>538</v>
      </c>
      <c r="O1088" t="s">
        <v>924</v>
      </c>
      <c r="P1088" t="s">
        <v>923</v>
      </c>
      <c r="Q1088" t="s">
        <v>230</v>
      </c>
      <c r="R1088">
        <v>0</v>
      </c>
      <c r="S1088" s="3">
        <v>1</v>
      </c>
      <c r="T1088" s="3">
        <v>0</v>
      </c>
      <c r="U1088" s="3">
        <v>0</v>
      </c>
    </row>
    <row r="1089" spans="1:21" x14ac:dyDescent="0.35">
      <c r="A1089" t="s">
        <v>961</v>
      </c>
      <c r="B1089" t="s">
        <v>398</v>
      </c>
      <c r="C1089" t="s">
        <v>385</v>
      </c>
      <c r="D1089">
        <v>2017</v>
      </c>
      <c r="E1089">
        <v>211</v>
      </c>
      <c r="F1089" t="s">
        <v>600</v>
      </c>
      <c r="G1089" t="s">
        <v>829</v>
      </c>
      <c r="H1089" t="s">
        <v>964</v>
      </c>
      <c r="K1089" t="s">
        <v>378</v>
      </c>
      <c r="L1089" t="s">
        <v>960</v>
      </c>
      <c r="M1089" t="s">
        <v>348</v>
      </c>
      <c r="N1089" t="s">
        <v>538</v>
      </c>
      <c r="O1089" t="s">
        <v>924</v>
      </c>
      <c r="P1089" t="s">
        <v>923</v>
      </c>
      <c r="Q1089" t="s">
        <v>230</v>
      </c>
      <c r="R1089">
        <v>88</v>
      </c>
      <c r="S1089" s="3">
        <f>1/0.92</f>
        <v>1.0869565217391304</v>
      </c>
      <c r="T1089" s="3">
        <v>4.0999999999999996</v>
      </c>
      <c r="U1089" s="3">
        <v>-10</v>
      </c>
    </row>
    <row r="1090" spans="1:21" x14ac:dyDescent="0.35">
      <c r="A1090" t="s">
        <v>961</v>
      </c>
      <c r="B1090" t="s">
        <v>398</v>
      </c>
      <c r="C1090" t="s">
        <v>385</v>
      </c>
      <c r="D1090">
        <v>2017</v>
      </c>
      <c r="E1090">
        <v>211</v>
      </c>
      <c r="F1090" t="s">
        <v>600</v>
      </c>
      <c r="G1090" t="s">
        <v>829</v>
      </c>
      <c r="H1090" t="s">
        <v>965</v>
      </c>
      <c r="K1090" t="s">
        <v>378</v>
      </c>
      <c r="L1090" t="s">
        <v>960</v>
      </c>
      <c r="M1090" t="s">
        <v>348</v>
      </c>
      <c r="N1090" t="s">
        <v>538</v>
      </c>
      <c r="O1090" t="s">
        <v>924</v>
      </c>
      <c r="P1090" t="s">
        <v>923</v>
      </c>
      <c r="Q1090" t="s">
        <v>230</v>
      </c>
      <c r="R1090">
        <v>88</v>
      </c>
      <c r="S1090" s="3">
        <f>1/0.9</f>
        <v>1.1111111111111112</v>
      </c>
      <c r="T1090" s="3">
        <v>4.0999999999999996</v>
      </c>
      <c r="U1090" s="3">
        <v>-29.8</v>
      </c>
    </row>
    <row r="1091" spans="1:21" x14ac:dyDescent="0.35">
      <c r="A1091" t="s">
        <v>961</v>
      </c>
      <c r="B1091" t="s">
        <v>398</v>
      </c>
      <c r="C1091" t="s">
        <v>385</v>
      </c>
      <c r="D1091">
        <v>2017</v>
      </c>
      <c r="E1091">
        <v>211</v>
      </c>
      <c r="F1091" t="s">
        <v>600</v>
      </c>
      <c r="G1091" t="s">
        <v>829</v>
      </c>
      <c r="H1091" t="s">
        <v>964</v>
      </c>
      <c r="K1091" t="s">
        <v>378</v>
      </c>
      <c r="L1091" t="s">
        <v>960</v>
      </c>
      <c r="M1091" t="s">
        <v>348</v>
      </c>
      <c r="N1091" t="s">
        <v>538</v>
      </c>
      <c r="O1091" t="s">
        <v>924</v>
      </c>
      <c r="P1091" t="s">
        <v>923</v>
      </c>
      <c r="Q1091" t="s">
        <v>230</v>
      </c>
      <c r="R1091">
        <v>0</v>
      </c>
      <c r="S1091" s="3">
        <f>1/0.94</f>
        <v>1.0638297872340425</v>
      </c>
      <c r="T1091" s="3">
        <v>0</v>
      </c>
      <c r="U1091" s="3">
        <v>0</v>
      </c>
    </row>
    <row r="1092" spans="1:21" x14ac:dyDescent="0.35">
      <c r="A1092" t="s">
        <v>961</v>
      </c>
      <c r="B1092" t="s">
        <v>398</v>
      </c>
      <c r="C1092" t="s">
        <v>385</v>
      </c>
      <c r="D1092">
        <v>2017</v>
      </c>
      <c r="E1092">
        <v>211</v>
      </c>
      <c r="F1092" t="s">
        <v>600</v>
      </c>
      <c r="G1092" t="s">
        <v>829</v>
      </c>
      <c r="H1092" t="s">
        <v>964</v>
      </c>
      <c r="K1092" t="s">
        <v>378</v>
      </c>
      <c r="L1092" t="s">
        <v>960</v>
      </c>
      <c r="M1092" t="s">
        <v>348</v>
      </c>
      <c r="N1092" t="s">
        <v>538</v>
      </c>
      <c r="O1092" t="s">
        <v>924</v>
      </c>
      <c r="P1092" t="s">
        <v>923</v>
      </c>
      <c r="Q1092" t="s">
        <v>230</v>
      </c>
      <c r="R1092">
        <v>88</v>
      </c>
      <c r="S1092" s="3">
        <f>1/0.9</f>
        <v>1.1111111111111112</v>
      </c>
      <c r="T1092" s="3">
        <v>4.0999999999999996</v>
      </c>
      <c r="U1092" s="3">
        <v>-10</v>
      </c>
    </row>
    <row r="1093" spans="1:21" x14ac:dyDescent="0.35">
      <c r="A1093" t="s">
        <v>961</v>
      </c>
      <c r="B1093" t="s">
        <v>398</v>
      </c>
      <c r="C1093" t="s">
        <v>385</v>
      </c>
      <c r="D1093">
        <v>2017</v>
      </c>
      <c r="E1093">
        <v>211</v>
      </c>
      <c r="F1093" t="s">
        <v>600</v>
      </c>
      <c r="G1093" t="s">
        <v>829</v>
      </c>
      <c r="H1093" t="s">
        <v>965</v>
      </c>
      <c r="K1093" t="s">
        <v>378</v>
      </c>
      <c r="L1093" t="s">
        <v>960</v>
      </c>
      <c r="M1093" t="s">
        <v>348</v>
      </c>
      <c r="N1093" t="s">
        <v>538</v>
      </c>
      <c r="O1093" t="s">
        <v>924</v>
      </c>
      <c r="P1093" t="s">
        <v>923</v>
      </c>
      <c r="Q1093" t="s">
        <v>230</v>
      </c>
      <c r="R1093">
        <v>88</v>
      </c>
      <c r="S1093" s="3">
        <f>1/0.82</f>
        <v>1.2195121951219512</v>
      </c>
      <c r="T1093" s="3">
        <v>4.0999999999999996</v>
      </c>
      <c r="U1093" s="3">
        <v>-29.8</v>
      </c>
    </row>
    <row r="1094" spans="1:21" x14ac:dyDescent="0.35">
      <c r="A1094" t="s">
        <v>966</v>
      </c>
      <c r="B1094" t="s">
        <v>468</v>
      </c>
      <c r="C1094" t="s">
        <v>647</v>
      </c>
      <c r="D1094">
        <v>2013</v>
      </c>
      <c r="E1094">
        <v>212</v>
      </c>
      <c r="F1094" t="s">
        <v>600</v>
      </c>
      <c r="G1094" t="s">
        <v>829</v>
      </c>
      <c r="H1094" t="s">
        <v>851</v>
      </c>
      <c r="K1094" t="s">
        <v>378</v>
      </c>
      <c r="L1094" t="s">
        <v>377</v>
      </c>
      <c r="M1094" t="s">
        <v>348</v>
      </c>
      <c r="N1094" t="s">
        <v>173</v>
      </c>
      <c r="O1094" t="s">
        <v>439</v>
      </c>
      <c r="P1094" t="s">
        <v>172</v>
      </c>
      <c r="Q1094" t="s">
        <v>230</v>
      </c>
      <c r="R1094">
        <v>0</v>
      </c>
      <c r="S1094" s="3">
        <v>3.04</v>
      </c>
      <c r="T1094" s="3">
        <v>0</v>
      </c>
      <c r="U1094" s="3">
        <v>0</v>
      </c>
    </row>
    <row r="1095" spans="1:21" x14ac:dyDescent="0.35">
      <c r="A1095" t="s">
        <v>966</v>
      </c>
      <c r="B1095" t="s">
        <v>468</v>
      </c>
      <c r="C1095" t="s">
        <v>647</v>
      </c>
      <c r="D1095">
        <v>2013</v>
      </c>
      <c r="E1095">
        <v>212</v>
      </c>
      <c r="F1095" t="s">
        <v>600</v>
      </c>
      <c r="G1095" t="s">
        <v>829</v>
      </c>
      <c r="H1095" t="s">
        <v>851</v>
      </c>
      <c r="K1095" t="s">
        <v>378</v>
      </c>
      <c r="L1095" t="s">
        <v>377</v>
      </c>
      <c r="M1095" t="s">
        <v>348</v>
      </c>
      <c r="N1095" t="s">
        <v>173</v>
      </c>
      <c r="O1095" t="s">
        <v>439</v>
      </c>
      <c r="P1095" t="s">
        <v>172</v>
      </c>
      <c r="Q1095" t="s">
        <v>230</v>
      </c>
      <c r="R1095">
        <v>25</v>
      </c>
      <c r="S1095" s="3">
        <v>2.91</v>
      </c>
      <c r="T1095" s="3">
        <v>4.7</v>
      </c>
      <c r="U1095" s="3">
        <v>4.4000000000000004</v>
      </c>
    </row>
    <row r="1096" spans="1:21" x14ac:dyDescent="0.35">
      <c r="A1096" t="s">
        <v>966</v>
      </c>
      <c r="B1096" t="s">
        <v>468</v>
      </c>
      <c r="C1096" t="s">
        <v>647</v>
      </c>
      <c r="D1096">
        <v>2013</v>
      </c>
      <c r="E1096">
        <v>212</v>
      </c>
      <c r="F1096" t="s">
        <v>600</v>
      </c>
      <c r="G1096" t="s">
        <v>829</v>
      </c>
      <c r="H1096" t="s">
        <v>851</v>
      </c>
      <c r="K1096" t="s">
        <v>378</v>
      </c>
      <c r="L1096" t="s">
        <v>377</v>
      </c>
      <c r="M1096" t="s">
        <v>348</v>
      </c>
      <c r="N1096" t="s">
        <v>173</v>
      </c>
      <c r="O1096" t="s">
        <v>439</v>
      </c>
      <c r="P1096" t="s">
        <v>172</v>
      </c>
      <c r="Q1096" t="s">
        <v>230</v>
      </c>
      <c r="R1096">
        <v>50</v>
      </c>
      <c r="S1096" s="3">
        <v>3.59</v>
      </c>
      <c r="T1096" s="3">
        <v>7.3</v>
      </c>
      <c r="U1096" s="3">
        <v>-2.2000000000000002</v>
      </c>
    </row>
    <row r="1097" spans="1:21" x14ac:dyDescent="0.35">
      <c r="A1097" t="s">
        <v>966</v>
      </c>
      <c r="B1097" t="s">
        <v>468</v>
      </c>
      <c r="C1097" t="s">
        <v>647</v>
      </c>
      <c r="D1097">
        <v>2013</v>
      </c>
      <c r="E1097">
        <v>212</v>
      </c>
      <c r="F1097" t="s">
        <v>600</v>
      </c>
      <c r="G1097" t="s">
        <v>829</v>
      </c>
      <c r="H1097" t="s">
        <v>851</v>
      </c>
      <c r="K1097" t="s">
        <v>378</v>
      </c>
      <c r="L1097" t="s">
        <v>377</v>
      </c>
      <c r="M1097" t="s">
        <v>348</v>
      </c>
      <c r="N1097" t="s">
        <v>173</v>
      </c>
      <c r="O1097" t="s">
        <v>439</v>
      </c>
      <c r="P1097" t="s">
        <v>172</v>
      </c>
      <c r="Q1097" t="s">
        <v>230</v>
      </c>
      <c r="R1097">
        <v>75</v>
      </c>
      <c r="S1097" s="3">
        <v>3.28</v>
      </c>
      <c r="T1097" s="3">
        <v>9.9</v>
      </c>
      <c r="U1097" s="3">
        <v>-9</v>
      </c>
    </row>
    <row r="1098" spans="1:21" x14ac:dyDescent="0.35">
      <c r="A1098" t="s">
        <v>966</v>
      </c>
      <c r="B1098" t="s">
        <v>468</v>
      </c>
      <c r="C1098" t="s">
        <v>647</v>
      </c>
      <c r="D1098">
        <v>2013</v>
      </c>
      <c r="E1098">
        <v>212</v>
      </c>
      <c r="F1098" t="s">
        <v>600</v>
      </c>
      <c r="G1098" t="s">
        <v>829</v>
      </c>
      <c r="H1098" t="s">
        <v>851</v>
      </c>
      <c r="K1098" t="s">
        <v>378</v>
      </c>
      <c r="L1098" t="s">
        <v>377</v>
      </c>
      <c r="M1098" t="s">
        <v>348</v>
      </c>
      <c r="N1098" t="s">
        <v>173</v>
      </c>
      <c r="O1098" t="s">
        <v>439</v>
      </c>
      <c r="P1098" t="s">
        <v>172</v>
      </c>
      <c r="Q1098" t="s">
        <v>230</v>
      </c>
      <c r="R1098">
        <v>100</v>
      </c>
      <c r="S1098" s="3">
        <v>3.06</v>
      </c>
      <c r="T1098" s="3">
        <v>10.7</v>
      </c>
      <c r="U1098" s="3">
        <v>-15.8</v>
      </c>
    </row>
    <row r="1099" spans="1:21" x14ac:dyDescent="0.35">
      <c r="A1099" t="s">
        <v>966</v>
      </c>
      <c r="B1099" t="s">
        <v>468</v>
      </c>
      <c r="C1099" t="s">
        <v>647</v>
      </c>
      <c r="D1099">
        <v>2013</v>
      </c>
      <c r="E1099">
        <v>212</v>
      </c>
      <c r="F1099" t="s">
        <v>600</v>
      </c>
      <c r="G1099" t="s">
        <v>829</v>
      </c>
      <c r="H1099" t="s">
        <v>851</v>
      </c>
      <c r="K1099" t="s">
        <v>378</v>
      </c>
      <c r="L1099" t="s">
        <v>574</v>
      </c>
      <c r="M1099" t="s">
        <v>348</v>
      </c>
      <c r="N1099" t="s">
        <v>173</v>
      </c>
      <c r="O1099" t="s">
        <v>439</v>
      </c>
      <c r="P1099" t="s">
        <v>172</v>
      </c>
      <c r="Q1099" t="s">
        <v>230</v>
      </c>
      <c r="R1099">
        <v>0</v>
      </c>
      <c r="S1099" s="3">
        <v>1.77</v>
      </c>
      <c r="T1099" s="3">
        <v>0</v>
      </c>
      <c r="U1099" s="3">
        <v>0</v>
      </c>
    </row>
    <row r="1100" spans="1:21" x14ac:dyDescent="0.35">
      <c r="A1100" t="s">
        <v>966</v>
      </c>
      <c r="B1100" t="s">
        <v>468</v>
      </c>
      <c r="C1100" t="s">
        <v>647</v>
      </c>
      <c r="D1100">
        <v>2013</v>
      </c>
      <c r="E1100">
        <v>212</v>
      </c>
      <c r="F1100" t="s">
        <v>600</v>
      </c>
      <c r="G1100" t="s">
        <v>829</v>
      </c>
      <c r="H1100" t="s">
        <v>851</v>
      </c>
      <c r="K1100" t="s">
        <v>378</v>
      </c>
      <c r="L1100" t="s">
        <v>574</v>
      </c>
      <c r="M1100" t="s">
        <v>348</v>
      </c>
      <c r="N1100" t="s">
        <v>173</v>
      </c>
      <c r="O1100" t="s">
        <v>439</v>
      </c>
      <c r="P1100" t="s">
        <v>172</v>
      </c>
      <c r="Q1100" t="s">
        <v>230</v>
      </c>
      <c r="R1100">
        <v>31</v>
      </c>
      <c r="S1100" s="3">
        <v>1.83</v>
      </c>
      <c r="T1100" s="3">
        <v>0</v>
      </c>
      <c r="U1100" s="3">
        <v>-3.6</v>
      </c>
    </row>
    <row r="1101" spans="1:21" x14ac:dyDescent="0.35">
      <c r="A1101" t="s">
        <v>966</v>
      </c>
      <c r="B1101" t="s">
        <v>468</v>
      </c>
      <c r="C1101" t="s">
        <v>647</v>
      </c>
      <c r="D1101">
        <v>2013</v>
      </c>
      <c r="E1101">
        <v>212</v>
      </c>
      <c r="F1101" t="s">
        <v>600</v>
      </c>
      <c r="G1101" t="s">
        <v>829</v>
      </c>
      <c r="H1101" t="s">
        <v>851</v>
      </c>
      <c r="K1101" t="s">
        <v>378</v>
      </c>
      <c r="L1101" t="s">
        <v>574</v>
      </c>
      <c r="M1101" t="s">
        <v>348</v>
      </c>
      <c r="N1101" t="s">
        <v>173</v>
      </c>
      <c r="O1101" t="s">
        <v>439</v>
      </c>
      <c r="P1101" t="s">
        <v>172</v>
      </c>
      <c r="Q1101" t="s">
        <v>230</v>
      </c>
      <c r="R1101">
        <v>61</v>
      </c>
      <c r="S1101" s="3">
        <v>1.69</v>
      </c>
      <c r="T1101" s="3">
        <v>0</v>
      </c>
      <c r="U1101" s="3">
        <v>-8.1999999999999993</v>
      </c>
    </row>
    <row r="1102" spans="1:21" x14ac:dyDescent="0.35">
      <c r="A1102" t="s">
        <v>966</v>
      </c>
      <c r="B1102" t="s">
        <v>468</v>
      </c>
      <c r="C1102" t="s">
        <v>647</v>
      </c>
      <c r="D1102">
        <v>2013</v>
      </c>
      <c r="E1102">
        <v>212</v>
      </c>
      <c r="F1102" t="s">
        <v>600</v>
      </c>
      <c r="G1102" t="s">
        <v>829</v>
      </c>
      <c r="H1102" t="s">
        <v>851</v>
      </c>
      <c r="K1102" t="s">
        <v>378</v>
      </c>
      <c r="L1102" t="s">
        <v>574</v>
      </c>
      <c r="M1102" t="s">
        <v>348</v>
      </c>
      <c r="N1102" t="s">
        <v>173</v>
      </c>
      <c r="O1102" t="s">
        <v>439</v>
      </c>
      <c r="P1102" t="s">
        <v>172</v>
      </c>
      <c r="Q1102" t="s">
        <v>230</v>
      </c>
      <c r="R1102">
        <v>100</v>
      </c>
      <c r="S1102" s="3">
        <v>1.67</v>
      </c>
      <c r="T1102" s="3">
        <v>0</v>
      </c>
      <c r="U1102" s="3">
        <v>-15</v>
      </c>
    </row>
    <row r="1103" spans="1:21" x14ac:dyDescent="0.35">
      <c r="A1103" t="s">
        <v>966</v>
      </c>
      <c r="B1103" t="s">
        <v>468</v>
      </c>
      <c r="C1103" t="s">
        <v>647</v>
      </c>
      <c r="D1103">
        <v>2013</v>
      </c>
      <c r="E1103">
        <v>212</v>
      </c>
      <c r="F1103" t="s">
        <v>600</v>
      </c>
      <c r="G1103" t="s">
        <v>829</v>
      </c>
      <c r="H1103" t="s">
        <v>851</v>
      </c>
      <c r="K1103" t="s">
        <v>378</v>
      </c>
      <c r="L1103" t="s">
        <v>574</v>
      </c>
      <c r="M1103" t="s">
        <v>348</v>
      </c>
      <c r="N1103" t="s">
        <v>173</v>
      </c>
      <c r="O1103" t="s">
        <v>439</v>
      </c>
      <c r="P1103" t="s">
        <v>172</v>
      </c>
      <c r="Q1103" t="s">
        <v>230</v>
      </c>
      <c r="R1103">
        <v>0</v>
      </c>
      <c r="S1103" s="3">
        <v>1.73</v>
      </c>
      <c r="T1103" s="3">
        <v>0</v>
      </c>
      <c r="U1103" s="3">
        <v>0</v>
      </c>
    </row>
    <row r="1104" spans="1:21" x14ac:dyDescent="0.35">
      <c r="A1104" t="s">
        <v>966</v>
      </c>
      <c r="B1104" t="s">
        <v>468</v>
      </c>
      <c r="C1104" t="s">
        <v>647</v>
      </c>
      <c r="D1104">
        <v>2013</v>
      </c>
      <c r="E1104">
        <v>212</v>
      </c>
      <c r="F1104" t="s">
        <v>600</v>
      </c>
      <c r="G1104" t="s">
        <v>829</v>
      </c>
      <c r="H1104" t="s">
        <v>851</v>
      </c>
      <c r="K1104" t="s">
        <v>378</v>
      </c>
      <c r="L1104" t="s">
        <v>574</v>
      </c>
      <c r="M1104" t="s">
        <v>348</v>
      </c>
      <c r="N1104" t="s">
        <v>173</v>
      </c>
      <c r="O1104" t="s">
        <v>439</v>
      </c>
      <c r="P1104" t="s">
        <v>172</v>
      </c>
      <c r="Q1104" t="s">
        <v>230</v>
      </c>
      <c r="R1104">
        <v>31</v>
      </c>
      <c r="S1104" s="3">
        <v>1.77</v>
      </c>
      <c r="T1104" s="3">
        <v>0</v>
      </c>
      <c r="U1104" s="3">
        <v>-3.5</v>
      </c>
    </row>
    <row r="1105" spans="1:21" x14ac:dyDescent="0.35">
      <c r="A1105" t="s">
        <v>966</v>
      </c>
      <c r="B1105" t="s">
        <v>468</v>
      </c>
      <c r="C1105" t="s">
        <v>647</v>
      </c>
      <c r="D1105">
        <v>2013</v>
      </c>
      <c r="E1105">
        <v>212</v>
      </c>
      <c r="F1105" t="s">
        <v>600</v>
      </c>
      <c r="G1105" t="s">
        <v>829</v>
      </c>
      <c r="H1105" t="s">
        <v>851</v>
      </c>
      <c r="K1105" t="s">
        <v>378</v>
      </c>
      <c r="L1105" t="s">
        <v>574</v>
      </c>
      <c r="M1105" t="s">
        <v>348</v>
      </c>
      <c r="N1105" t="s">
        <v>173</v>
      </c>
      <c r="O1105" t="s">
        <v>439</v>
      </c>
      <c r="P1105" t="s">
        <v>172</v>
      </c>
      <c r="Q1105" t="s">
        <v>230</v>
      </c>
      <c r="R1105">
        <v>61</v>
      </c>
      <c r="S1105" s="3">
        <v>1.89</v>
      </c>
      <c r="T1105" s="3">
        <v>0</v>
      </c>
      <c r="U1105" s="3">
        <v>-8.1</v>
      </c>
    </row>
    <row r="1106" spans="1:21" x14ac:dyDescent="0.35">
      <c r="A1106" t="s">
        <v>966</v>
      </c>
      <c r="B1106" t="s">
        <v>468</v>
      </c>
      <c r="C1106" t="s">
        <v>647</v>
      </c>
      <c r="D1106">
        <v>2013</v>
      </c>
      <c r="E1106">
        <v>212</v>
      </c>
      <c r="F1106" t="s">
        <v>600</v>
      </c>
      <c r="G1106" t="s">
        <v>829</v>
      </c>
      <c r="H1106" t="s">
        <v>851</v>
      </c>
      <c r="K1106" t="s">
        <v>378</v>
      </c>
      <c r="L1106" t="s">
        <v>574</v>
      </c>
      <c r="M1106" t="s">
        <v>348</v>
      </c>
      <c r="N1106" t="s">
        <v>173</v>
      </c>
      <c r="O1106" t="s">
        <v>439</v>
      </c>
      <c r="P1106" t="s">
        <v>172</v>
      </c>
      <c r="Q1106" t="s">
        <v>230</v>
      </c>
      <c r="R1106">
        <v>100</v>
      </c>
      <c r="S1106" s="3">
        <v>1.85</v>
      </c>
      <c r="T1106" s="3">
        <v>0</v>
      </c>
      <c r="U1106" s="3">
        <v>-14.7</v>
      </c>
    </row>
    <row r="1107" spans="1:21" x14ac:dyDescent="0.35">
      <c r="A1107" t="s">
        <v>967</v>
      </c>
      <c r="B1107" t="s">
        <v>522</v>
      </c>
      <c r="C1107" t="s">
        <v>549</v>
      </c>
      <c r="D1107">
        <v>2016</v>
      </c>
      <c r="E1107">
        <v>213</v>
      </c>
      <c r="F1107" t="s">
        <v>600</v>
      </c>
      <c r="G1107" t="s">
        <v>829</v>
      </c>
      <c r="H1107" t="s">
        <v>832</v>
      </c>
      <c r="K1107" t="s">
        <v>378</v>
      </c>
      <c r="L1107" t="s">
        <v>785</v>
      </c>
      <c r="M1107" t="s">
        <v>970</v>
      </c>
      <c r="N1107" t="s">
        <v>481</v>
      </c>
      <c r="O1107" t="s">
        <v>288</v>
      </c>
      <c r="P1107" t="s">
        <v>482</v>
      </c>
      <c r="Q1107" t="s">
        <v>230</v>
      </c>
      <c r="R1107">
        <v>0</v>
      </c>
      <c r="S1107" s="3">
        <v>1.03</v>
      </c>
      <c r="T1107" s="3">
        <v>0</v>
      </c>
    </row>
    <row r="1108" spans="1:21" x14ac:dyDescent="0.35">
      <c r="A1108" t="s">
        <v>967</v>
      </c>
      <c r="B1108" t="s">
        <v>522</v>
      </c>
      <c r="C1108" t="s">
        <v>549</v>
      </c>
      <c r="D1108">
        <v>2016</v>
      </c>
      <c r="E1108">
        <v>213</v>
      </c>
      <c r="F1108" t="s">
        <v>600</v>
      </c>
      <c r="G1108" t="s">
        <v>829</v>
      </c>
      <c r="H1108" t="s">
        <v>832</v>
      </c>
      <c r="K1108" t="s">
        <v>378</v>
      </c>
      <c r="L1108" t="s">
        <v>785</v>
      </c>
      <c r="M1108" t="s">
        <v>970</v>
      </c>
      <c r="N1108" t="s">
        <v>481</v>
      </c>
      <c r="O1108" t="s">
        <v>288</v>
      </c>
      <c r="P1108" t="s">
        <v>482</v>
      </c>
      <c r="Q1108" t="s">
        <v>230</v>
      </c>
      <c r="R1108">
        <v>33</v>
      </c>
      <c r="S1108" s="3">
        <v>0.99</v>
      </c>
      <c r="T1108" s="3">
        <v>0.1</v>
      </c>
    </row>
    <row r="1109" spans="1:21" x14ac:dyDescent="0.35">
      <c r="A1109" t="s">
        <v>967</v>
      </c>
      <c r="B1109" t="s">
        <v>522</v>
      </c>
      <c r="C1109" t="s">
        <v>549</v>
      </c>
      <c r="D1109">
        <v>2016</v>
      </c>
      <c r="E1109">
        <v>213</v>
      </c>
      <c r="F1109" t="s">
        <v>600</v>
      </c>
      <c r="G1109" t="s">
        <v>829</v>
      </c>
      <c r="H1109" t="s">
        <v>832</v>
      </c>
      <c r="K1109" t="s">
        <v>378</v>
      </c>
      <c r="L1109" t="s">
        <v>785</v>
      </c>
      <c r="M1109" t="s">
        <v>970</v>
      </c>
      <c r="N1109" t="s">
        <v>481</v>
      </c>
      <c r="O1109" t="s">
        <v>288</v>
      </c>
      <c r="P1109" t="s">
        <v>482</v>
      </c>
      <c r="Q1109" t="s">
        <v>230</v>
      </c>
      <c r="R1109">
        <v>66</v>
      </c>
      <c r="S1109" s="3">
        <v>1.05</v>
      </c>
      <c r="T1109" s="3">
        <v>0.1</v>
      </c>
    </row>
    <row r="1110" spans="1:21" x14ac:dyDescent="0.35">
      <c r="A1110" t="s">
        <v>967</v>
      </c>
      <c r="B1110" t="s">
        <v>522</v>
      </c>
      <c r="C1110" t="s">
        <v>549</v>
      </c>
      <c r="D1110">
        <v>2016</v>
      </c>
      <c r="E1110">
        <v>213</v>
      </c>
      <c r="F1110" t="s">
        <v>600</v>
      </c>
      <c r="G1110" t="s">
        <v>829</v>
      </c>
      <c r="H1110" t="s">
        <v>832</v>
      </c>
      <c r="K1110" t="s">
        <v>378</v>
      </c>
      <c r="L1110" t="s">
        <v>785</v>
      </c>
      <c r="M1110" t="s">
        <v>970</v>
      </c>
      <c r="N1110" t="s">
        <v>481</v>
      </c>
      <c r="O1110" t="s">
        <v>288</v>
      </c>
      <c r="P1110" t="s">
        <v>482</v>
      </c>
      <c r="Q1110" t="s">
        <v>230</v>
      </c>
      <c r="R1110">
        <v>100</v>
      </c>
      <c r="S1110" s="3">
        <v>1.08</v>
      </c>
      <c r="T1110" s="3">
        <v>0.2</v>
      </c>
    </row>
    <row r="1111" spans="1:21" x14ac:dyDescent="0.35">
      <c r="A1111" t="s">
        <v>967</v>
      </c>
      <c r="B1111" t="s">
        <v>522</v>
      </c>
      <c r="C1111" t="s">
        <v>549</v>
      </c>
      <c r="D1111">
        <v>2016</v>
      </c>
      <c r="E1111">
        <v>213</v>
      </c>
      <c r="F1111" t="s">
        <v>600</v>
      </c>
      <c r="G1111" t="s">
        <v>829</v>
      </c>
      <c r="H1111" t="s">
        <v>832</v>
      </c>
      <c r="K1111" t="s">
        <v>378</v>
      </c>
      <c r="L1111" t="s">
        <v>785</v>
      </c>
      <c r="M1111" t="s">
        <v>970</v>
      </c>
      <c r="N1111" t="s">
        <v>481</v>
      </c>
      <c r="O1111" t="s">
        <v>288</v>
      </c>
      <c r="P1111" t="s">
        <v>482</v>
      </c>
      <c r="Q1111" t="s">
        <v>230</v>
      </c>
      <c r="R1111">
        <v>0</v>
      </c>
      <c r="S1111" s="3">
        <v>1.03</v>
      </c>
      <c r="T1111" s="3" t="s">
        <v>968</v>
      </c>
    </row>
    <row r="1112" spans="1:21" x14ac:dyDescent="0.35">
      <c r="A1112" t="s">
        <v>967</v>
      </c>
      <c r="B1112" t="s">
        <v>522</v>
      </c>
      <c r="C1112" t="s">
        <v>549</v>
      </c>
      <c r="D1112">
        <v>2016</v>
      </c>
      <c r="E1112">
        <v>213</v>
      </c>
      <c r="F1112" t="s">
        <v>600</v>
      </c>
      <c r="G1112" t="s">
        <v>829</v>
      </c>
      <c r="H1112" t="s">
        <v>832</v>
      </c>
      <c r="K1112" t="s">
        <v>378</v>
      </c>
      <c r="L1112" t="s">
        <v>785</v>
      </c>
      <c r="M1112" t="s">
        <v>970</v>
      </c>
      <c r="N1112" t="s">
        <v>481</v>
      </c>
      <c r="O1112" t="s">
        <v>288</v>
      </c>
      <c r="P1112" t="s">
        <v>482</v>
      </c>
      <c r="Q1112" t="s">
        <v>230</v>
      </c>
      <c r="R1112">
        <v>33</v>
      </c>
      <c r="S1112" s="3">
        <v>0.99</v>
      </c>
      <c r="T1112" s="3" t="s">
        <v>968</v>
      </c>
    </row>
    <row r="1113" spans="1:21" x14ac:dyDescent="0.35">
      <c r="A1113" t="s">
        <v>967</v>
      </c>
      <c r="B1113" t="s">
        <v>522</v>
      </c>
      <c r="C1113" t="s">
        <v>549</v>
      </c>
      <c r="D1113">
        <v>2016</v>
      </c>
      <c r="E1113">
        <v>213</v>
      </c>
      <c r="F1113" t="s">
        <v>600</v>
      </c>
      <c r="G1113" t="s">
        <v>829</v>
      </c>
      <c r="H1113" t="s">
        <v>832</v>
      </c>
      <c r="K1113" t="s">
        <v>378</v>
      </c>
      <c r="L1113" t="s">
        <v>785</v>
      </c>
      <c r="M1113" t="s">
        <v>970</v>
      </c>
      <c r="N1113" t="s">
        <v>481</v>
      </c>
      <c r="O1113" t="s">
        <v>288</v>
      </c>
      <c r="P1113" t="s">
        <v>482</v>
      </c>
      <c r="Q1113" t="s">
        <v>230</v>
      </c>
      <c r="R1113">
        <v>66</v>
      </c>
      <c r="S1113" s="3">
        <v>1.05</v>
      </c>
      <c r="T1113" s="3" t="s">
        <v>968</v>
      </c>
    </row>
    <row r="1114" spans="1:21" x14ac:dyDescent="0.35">
      <c r="A1114" t="s">
        <v>967</v>
      </c>
      <c r="B1114" t="s">
        <v>522</v>
      </c>
      <c r="C1114" t="s">
        <v>549</v>
      </c>
      <c r="D1114">
        <v>2016</v>
      </c>
      <c r="E1114">
        <v>213</v>
      </c>
      <c r="F1114" t="s">
        <v>600</v>
      </c>
      <c r="G1114" t="s">
        <v>829</v>
      </c>
      <c r="H1114" t="s">
        <v>832</v>
      </c>
      <c r="K1114" t="s">
        <v>378</v>
      </c>
      <c r="L1114" t="s">
        <v>785</v>
      </c>
      <c r="M1114" t="s">
        <v>970</v>
      </c>
      <c r="N1114" t="s">
        <v>481</v>
      </c>
      <c r="O1114" t="s">
        <v>288</v>
      </c>
      <c r="P1114" t="s">
        <v>482</v>
      </c>
      <c r="Q1114" t="s">
        <v>230</v>
      </c>
      <c r="R1114">
        <v>100</v>
      </c>
      <c r="S1114" s="3">
        <v>1.08</v>
      </c>
      <c r="T1114" s="3" t="s">
        <v>968</v>
      </c>
    </row>
    <row r="1115" spans="1:21" x14ac:dyDescent="0.35">
      <c r="A1115" t="s">
        <v>967</v>
      </c>
      <c r="B1115" t="s">
        <v>522</v>
      </c>
      <c r="C1115" t="s">
        <v>549</v>
      </c>
      <c r="D1115">
        <v>2016</v>
      </c>
      <c r="E1115">
        <v>213</v>
      </c>
      <c r="F1115" t="s">
        <v>600</v>
      </c>
      <c r="G1115" t="s">
        <v>829</v>
      </c>
      <c r="H1115" t="s">
        <v>832</v>
      </c>
      <c r="K1115" t="s">
        <v>378</v>
      </c>
      <c r="L1115" t="s">
        <v>785</v>
      </c>
      <c r="M1115" t="s">
        <v>970</v>
      </c>
      <c r="N1115" t="s">
        <v>481</v>
      </c>
      <c r="O1115" t="s">
        <v>288</v>
      </c>
      <c r="P1115" t="s">
        <v>482</v>
      </c>
      <c r="Q1115" t="s">
        <v>230</v>
      </c>
      <c r="R1115">
        <v>0</v>
      </c>
      <c r="S1115" s="3">
        <v>1.03</v>
      </c>
      <c r="T1115" s="3" t="s">
        <v>968</v>
      </c>
    </row>
    <row r="1116" spans="1:21" x14ac:dyDescent="0.35">
      <c r="A1116" t="s">
        <v>967</v>
      </c>
      <c r="B1116" t="s">
        <v>522</v>
      </c>
      <c r="C1116" t="s">
        <v>549</v>
      </c>
      <c r="D1116">
        <v>2016</v>
      </c>
      <c r="E1116">
        <v>213</v>
      </c>
      <c r="F1116" t="s">
        <v>600</v>
      </c>
      <c r="G1116" t="s">
        <v>829</v>
      </c>
      <c r="H1116" t="s">
        <v>832</v>
      </c>
      <c r="K1116" t="s">
        <v>378</v>
      </c>
      <c r="L1116" t="s">
        <v>785</v>
      </c>
      <c r="M1116" t="s">
        <v>970</v>
      </c>
      <c r="N1116" t="s">
        <v>481</v>
      </c>
      <c r="O1116" t="s">
        <v>288</v>
      </c>
      <c r="P1116" t="s">
        <v>482</v>
      </c>
      <c r="Q1116" t="s">
        <v>230</v>
      </c>
      <c r="R1116">
        <v>33</v>
      </c>
      <c r="S1116" s="3">
        <v>0.99</v>
      </c>
      <c r="T1116" s="3" t="s">
        <v>968</v>
      </c>
    </row>
    <row r="1117" spans="1:21" x14ac:dyDescent="0.35">
      <c r="A1117" t="s">
        <v>967</v>
      </c>
      <c r="B1117" t="s">
        <v>522</v>
      </c>
      <c r="C1117" t="s">
        <v>549</v>
      </c>
      <c r="D1117">
        <v>2016</v>
      </c>
      <c r="E1117">
        <v>213</v>
      </c>
      <c r="F1117" t="s">
        <v>600</v>
      </c>
      <c r="G1117" t="s">
        <v>829</v>
      </c>
      <c r="H1117" t="s">
        <v>832</v>
      </c>
      <c r="K1117" t="s">
        <v>378</v>
      </c>
      <c r="L1117" t="s">
        <v>785</v>
      </c>
      <c r="M1117" t="s">
        <v>970</v>
      </c>
      <c r="N1117" t="s">
        <v>481</v>
      </c>
      <c r="O1117" t="s">
        <v>288</v>
      </c>
      <c r="P1117" t="s">
        <v>482</v>
      </c>
      <c r="Q1117" t="s">
        <v>230</v>
      </c>
      <c r="R1117">
        <v>66</v>
      </c>
      <c r="S1117" s="3">
        <v>1.05</v>
      </c>
      <c r="T1117" s="3" t="s">
        <v>968</v>
      </c>
    </row>
    <row r="1118" spans="1:21" x14ac:dyDescent="0.35">
      <c r="A1118" t="s">
        <v>967</v>
      </c>
      <c r="B1118" t="s">
        <v>522</v>
      </c>
      <c r="C1118" t="s">
        <v>549</v>
      </c>
      <c r="D1118">
        <v>2016</v>
      </c>
      <c r="E1118">
        <v>213</v>
      </c>
      <c r="F1118" t="s">
        <v>600</v>
      </c>
      <c r="G1118" t="s">
        <v>829</v>
      </c>
      <c r="H1118" t="s">
        <v>832</v>
      </c>
      <c r="K1118" t="s">
        <v>378</v>
      </c>
      <c r="L1118" t="s">
        <v>785</v>
      </c>
      <c r="M1118" t="s">
        <v>970</v>
      </c>
      <c r="N1118" t="s">
        <v>481</v>
      </c>
      <c r="O1118" t="s">
        <v>288</v>
      </c>
      <c r="P1118" t="s">
        <v>482</v>
      </c>
      <c r="Q1118" t="s">
        <v>230</v>
      </c>
      <c r="R1118">
        <v>100</v>
      </c>
      <c r="S1118" s="3">
        <v>1.08</v>
      </c>
      <c r="T1118" s="3" t="s">
        <v>968</v>
      </c>
    </row>
    <row r="1119" spans="1:21" x14ac:dyDescent="0.35">
      <c r="A1119" t="s">
        <v>969</v>
      </c>
      <c r="B1119" t="s">
        <v>522</v>
      </c>
      <c r="C1119" t="s">
        <v>385</v>
      </c>
      <c r="D1119">
        <v>2010</v>
      </c>
      <c r="E1119">
        <v>214</v>
      </c>
      <c r="F1119" t="s">
        <v>600</v>
      </c>
      <c r="G1119" t="s">
        <v>829</v>
      </c>
      <c r="H1119" t="s">
        <v>851</v>
      </c>
      <c r="I1119" t="s">
        <v>971</v>
      </c>
      <c r="K1119" t="s">
        <v>378</v>
      </c>
      <c r="L1119" t="s">
        <v>479</v>
      </c>
      <c r="M1119" t="s">
        <v>970</v>
      </c>
      <c r="N1119" t="s">
        <v>538</v>
      </c>
      <c r="O1119" t="s">
        <v>705</v>
      </c>
      <c r="P1119" t="s">
        <v>706</v>
      </c>
      <c r="Q1119" t="s">
        <v>230</v>
      </c>
      <c r="R1119">
        <v>0</v>
      </c>
      <c r="S1119" s="3">
        <f>1/51</f>
        <v>1.9607843137254902E-2</v>
      </c>
      <c r="T1119" s="3">
        <v>0</v>
      </c>
      <c r="U1119">
        <v>0</v>
      </c>
    </row>
    <row r="1120" spans="1:21" x14ac:dyDescent="0.35">
      <c r="A1120" t="s">
        <v>969</v>
      </c>
      <c r="B1120" t="s">
        <v>522</v>
      </c>
      <c r="C1120" t="s">
        <v>385</v>
      </c>
      <c r="D1120">
        <v>2010</v>
      </c>
      <c r="E1120">
        <v>214</v>
      </c>
      <c r="F1120" t="s">
        <v>600</v>
      </c>
      <c r="G1120" t="s">
        <v>829</v>
      </c>
      <c r="H1120" t="s">
        <v>851</v>
      </c>
      <c r="I1120" t="s">
        <v>971</v>
      </c>
      <c r="K1120" t="s">
        <v>378</v>
      </c>
      <c r="L1120" t="s">
        <v>479</v>
      </c>
      <c r="M1120" t="s">
        <v>970</v>
      </c>
      <c r="N1120" t="s">
        <v>538</v>
      </c>
      <c r="O1120" t="s">
        <v>705</v>
      </c>
      <c r="P1120" t="s">
        <v>706</v>
      </c>
      <c r="Q1120" t="s">
        <v>230</v>
      </c>
      <c r="R1120">
        <v>50</v>
      </c>
      <c r="S1120" s="3">
        <f>1/34</f>
        <v>2.9411764705882353E-2</v>
      </c>
      <c r="T1120" s="3">
        <v>1.3</v>
      </c>
      <c r="U1120">
        <v>0</v>
      </c>
    </row>
    <row r="1121" spans="1:21" x14ac:dyDescent="0.35">
      <c r="A1121" t="s">
        <v>969</v>
      </c>
      <c r="B1121" t="s">
        <v>522</v>
      </c>
      <c r="C1121" t="s">
        <v>385</v>
      </c>
      <c r="D1121">
        <v>2010</v>
      </c>
      <c r="E1121">
        <v>214</v>
      </c>
      <c r="F1121" t="s">
        <v>600</v>
      </c>
      <c r="G1121" t="s">
        <v>829</v>
      </c>
      <c r="H1121" t="s">
        <v>851</v>
      </c>
      <c r="I1121" t="s">
        <v>971</v>
      </c>
      <c r="K1121" t="s">
        <v>378</v>
      </c>
      <c r="L1121" t="s">
        <v>479</v>
      </c>
      <c r="M1121" t="s">
        <v>970</v>
      </c>
      <c r="N1121" t="s">
        <v>538</v>
      </c>
      <c r="O1121" t="s">
        <v>705</v>
      </c>
      <c r="P1121" t="s">
        <v>706</v>
      </c>
      <c r="Q1121" t="s">
        <v>230</v>
      </c>
      <c r="R1121">
        <v>50</v>
      </c>
      <c r="S1121" s="3">
        <f>1/40</f>
        <v>2.5000000000000001E-2</v>
      </c>
      <c r="T1121" s="3">
        <v>1.3</v>
      </c>
      <c r="U1121">
        <v>0</v>
      </c>
    </row>
    <row r="1122" spans="1:21" x14ac:dyDescent="0.35">
      <c r="A1122" t="s">
        <v>969</v>
      </c>
      <c r="B1122" t="s">
        <v>522</v>
      </c>
      <c r="C1122" t="s">
        <v>385</v>
      </c>
      <c r="D1122">
        <v>2010</v>
      </c>
      <c r="E1122">
        <v>214</v>
      </c>
      <c r="F1122" t="s">
        <v>600</v>
      </c>
      <c r="G1122" t="s">
        <v>829</v>
      </c>
      <c r="H1122" t="s">
        <v>851</v>
      </c>
      <c r="I1122" t="s">
        <v>971</v>
      </c>
      <c r="K1122" t="s">
        <v>378</v>
      </c>
      <c r="L1122" t="s">
        <v>479</v>
      </c>
      <c r="M1122" t="s">
        <v>970</v>
      </c>
      <c r="N1122" t="s">
        <v>538</v>
      </c>
      <c r="O1122" t="s">
        <v>705</v>
      </c>
      <c r="P1122" t="s">
        <v>706</v>
      </c>
      <c r="Q1122" t="s">
        <v>230</v>
      </c>
      <c r="R1122">
        <v>66</v>
      </c>
      <c r="S1122" s="3">
        <f>1/59</f>
        <v>1.6949152542372881E-2</v>
      </c>
      <c r="T1122" s="3">
        <v>1.5</v>
      </c>
      <c r="U1122">
        <v>7.5</v>
      </c>
    </row>
    <row r="1123" spans="1:21" x14ac:dyDescent="0.35">
      <c r="A1123" t="s">
        <v>969</v>
      </c>
      <c r="B1123" t="s">
        <v>522</v>
      </c>
      <c r="C1123" t="s">
        <v>385</v>
      </c>
      <c r="D1123">
        <v>2010</v>
      </c>
      <c r="E1123">
        <v>214</v>
      </c>
      <c r="F1123" t="s">
        <v>600</v>
      </c>
      <c r="G1123" t="s">
        <v>829</v>
      </c>
      <c r="H1123" t="s">
        <v>851</v>
      </c>
      <c r="I1123" t="s">
        <v>971</v>
      </c>
      <c r="K1123" t="s">
        <v>378</v>
      </c>
      <c r="L1123" t="s">
        <v>479</v>
      </c>
      <c r="M1123" t="s">
        <v>970</v>
      </c>
      <c r="N1123" t="s">
        <v>538</v>
      </c>
      <c r="O1123" t="s">
        <v>705</v>
      </c>
      <c r="P1123" t="s">
        <v>706</v>
      </c>
      <c r="Q1123" t="s">
        <v>230</v>
      </c>
      <c r="R1123">
        <v>66</v>
      </c>
      <c r="S1123" s="3">
        <f>1/59</f>
        <v>1.6949152542372881E-2</v>
      </c>
      <c r="T1123" s="3">
        <v>1.5</v>
      </c>
      <c r="U1123">
        <v>7.5</v>
      </c>
    </row>
    <row r="1124" spans="1:21" x14ac:dyDescent="0.35">
      <c r="A1124" t="s">
        <v>969</v>
      </c>
      <c r="B1124" t="s">
        <v>522</v>
      </c>
      <c r="C1124" t="s">
        <v>385</v>
      </c>
      <c r="D1124">
        <v>2010</v>
      </c>
      <c r="E1124">
        <v>214</v>
      </c>
      <c r="F1124" t="s">
        <v>600</v>
      </c>
      <c r="G1124" t="s">
        <v>829</v>
      </c>
      <c r="H1124" t="s">
        <v>851</v>
      </c>
      <c r="I1124" t="s">
        <v>971</v>
      </c>
      <c r="K1124" t="s">
        <v>378</v>
      </c>
      <c r="L1124" t="s">
        <v>479</v>
      </c>
      <c r="M1124" t="s">
        <v>970</v>
      </c>
      <c r="N1124" t="s">
        <v>538</v>
      </c>
      <c r="O1124" t="s">
        <v>705</v>
      </c>
      <c r="P1124" t="s">
        <v>706</v>
      </c>
      <c r="Q1124" t="s">
        <v>230</v>
      </c>
      <c r="R1124">
        <v>100</v>
      </c>
      <c r="S1124" s="3">
        <f>1/56</f>
        <v>1.7857142857142856E-2</v>
      </c>
      <c r="T1124" s="3">
        <v>-8.6999999999999993</v>
      </c>
      <c r="U1124">
        <v>-25.1</v>
      </c>
    </row>
    <row r="1125" spans="1:21" x14ac:dyDescent="0.35">
      <c r="A1125" t="s">
        <v>969</v>
      </c>
      <c r="B1125" t="s">
        <v>522</v>
      </c>
      <c r="C1125" t="s">
        <v>385</v>
      </c>
      <c r="D1125">
        <v>2010</v>
      </c>
      <c r="E1125">
        <v>214</v>
      </c>
      <c r="F1125" t="s">
        <v>600</v>
      </c>
      <c r="G1125" t="s">
        <v>829</v>
      </c>
      <c r="H1125" t="s">
        <v>851</v>
      </c>
      <c r="I1125" t="s">
        <v>971</v>
      </c>
      <c r="K1125" t="s">
        <v>378</v>
      </c>
      <c r="L1125" t="s">
        <v>479</v>
      </c>
      <c r="M1125" t="s">
        <v>970</v>
      </c>
      <c r="N1125" t="s">
        <v>538</v>
      </c>
      <c r="O1125" t="s">
        <v>705</v>
      </c>
      <c r="P1125" t="s">
        <v>706</v>
      </c>
      <c r="Q1125" t="s">
        <v>230</v>
      </c>
      <c r="R1125">
        <v>0</v>
      </c>
      <c r="S1125" s="3">
        <v>0.02</v>
      </c>
      <c r="T1125" s="3">
        <v>0</v>
      </c>
      <c r="U1125">
        <v>0</v>
      </c>
    </row>
    <row r="1126" spans="1:21" x14ac:dyDescent="0.35">
      <c r="A1126" t="s">
        <v>969</v>
      </c>
      <c r="B1126" t="s">
        <v>522</v>
      </c>
      <c r="C1126" t="s">
        <v>385</v>
      </c>
      <c r="D1126">
        <v>2010</v>
      </c>
      <c r="E1126">
        <v>214</v>
      </c>
      <c r="F1126" t="s">
        <v>600</v>
      </c>
      <c r="G1126" t="s">
        <v>829</v>
      </c>
      <c r="H1126" t="s">
        <v>851</v>
      </c>
      <c r="I1126" t="s">
        <v>971</v>
      </c>
      <c r="K1126" t="s">
        <v>378</v>
      </c>
      <c r="L1126" t="s">
        <v>479</v>
      </c>
      <c r="M1126" t="s">
        <v>970</v>
      </c>
      <c r="N1126" t="s">
        <v>538</v>
      </c>
      <c r="O1126" t="s">
        <v>705</v>
      </c>
      <c r="P1126" t="s">
        <v>706</v>
      </c>
      <c r="Q1126" t="s">
        <v>230</v>
      </c>
      <c r="R1126">
        <v>50</v>
      </c>
      <c r="S1126" s="3">
        <f>1/37</f>
        <v>2.7027027027027029E-2</v>
      </c>
      <c r="T1126" s="3">
        <v>2.5</v>
      </c>
      <c r="U1126">
        <v>0</v>
      </c>
    </row>
    <row r="1127" spans="1:21" x14ac:dyDescent="0.35">
      <c r="A1127" t="s">
        <v>969</v>
      </c>
      <c r="B1127" t="s">
        <v>522</v>
      </c>
      <c r="C1127" t="s">
        <v>385</v>
      </c>
      <c r="D1127">
        <v>2010</v>
      </c>
      <c r="E1127">
        <v>214</v>
      </c>
      <c r="F1127" t="s">
        <v>600</v>
      </c>
      <c r="G1127" t="s">
        <v>829</v>
      </c>
      <c r="H1127" t="s">
        <v>851</v>
      </c>
      <c r="I1127" t="s">
        <v>971</v>
      </c>
      <c r="K1127" t="s">
        <v>378</v>
      </c>
      <c r="L1127" t="s">
        <v>479</v>
      </c>
      <c r="M1127" t="s">
        <v>970</v>
      </c>
      <c r="N1127" t="s">
        <v>538</v>
      </c>
      <c r="O1127" t="s">
        <v>705</v>
      </c>
      <c r="P1127" t="s">
        <v>706</v>
      </c>
      <c r="Q1127" t="s">
        <v>230</v>
      </c>
      <c r="R1127">
        <v>50</v>
      </c>
      <c r="S1127" s="3">
        <f>1/43</f>
        <v>2.3255813953488372E-2</v>
      </c>
      <c r="T1127" s="3">
        <v>2.5</v>
      </c>
      <c r="U1127">
        <v>0</v>
      </c>
    </row>
    <row r="1128" spans="1:21" x14ac:dyDescent="0.35">
      <c r="A1128" t="s">
        <v>969</v>
      </c>
      <c r="B1128" t="s">
        <v>522</v>
      </c>
      <c r="C1128" t="s">
        <v>385</v>
      </c>
      <c r="D1128">
        <v>2010</v>
      </c>
      <c r="E1128">
        <v>214</v>
      </c>
      <c r="F1128" t="s">
        <v>600</v>
      </c>
      <c r="G1128" t="s">
        <v>829</v>
      </c>
      <c r="H1128" t="s">
        <v>851</v>
      </c>
      <c r="I1128" t="s">
        <v>971</v>
      </c>
      <c r="K1128" t="s">
        <v>378</v>
      </c>
      <c r="L1128" t="s">
        <v>479</v>
      </c>
      <c r="M1128" t="s">
        <v>970</v>
      </c>
      <c r="N1128" t="s">
        <v>538</v>
      </c>
      <c r="O1128" t="s">
        <v>705</v>
      </c>
      <c r="P1128" t="s">
        <v>706</v>
      </c>
      <c r="Q1128" t="s">
        <v>230</v>
      </c>
      <c r="R1128">
        <v>75</v>
      </c>
      <c r="S1128" s="3">
        <f>1/41.9</f>
        <v>2.386634844868735E-2</v>
      </c>
      <c r="T1128" s="3">
        <v>3.7</v>
      </c>
      <c r="U1128">
        <v>0</v>
      </c>
    </row>
    <row r="1129" spans="1:21" x14ac:dyDescent="0.35">
      <c r="A1129" t="s">
        <v>969</v>
      </c>
      <c r="B1129" t="s">
        <v>522</v>
      </c>
      <c r="C1129" t="s">
        <v>385</v>
      </c>
      <c r="D1129">
        <v>2010</v>
      </c>
      <c r="E1129">
        <v>214</v>
      </c>
      <c r="F1129" t="s">
        <v>600</v>
      </c>
      <c r="G1129" t="s">
        <v>829</v>
      </c>
      <c r="H1129" t="s">
        <v>851</v>
      </c>
      <c r="I1129" t="s">
        <v>971</v>
      </c>
      <c r="K1129" t="s">
        <v>378</v>
      </c>
      <c r="L1129" t="s">
        <v>479</v>
      </c>
      <c r="M1129" t="s">
        <v>970</v>
      </c>
      <c r="N1129" t="s">
        <v>538</v>
      </c>
      <c r="O1129" t="s">
        <v>705</v>
      </c>
      <c r="P1129" t="s">
        <v>706</v>
      </c>
      <c r="Q1129" t="s">
        <v>230</v>
      </c>
      <c r="R1129">
        <v>75</v>
      </c>
      <c r="S1129" s="3">
        <f>1/37.5</f>
        <v>2.6666666666666668E-2</v>
      </c>
      <c r="T1129" s="3">
        <v>3.7</v>
      </c>
      <c r="U1129">
        <v>0</v>
      </c>
    </row>
    <row r="1130" spans="1:21" x14ac:dyDescent="0.35">
      <c r="A1130" t="s">
        <v>969</v>
      </c>
      <c r="B1130" t="s">
        <v>522</v>
      </c>
      <c r="C1130" t="s">
        <v>385</v>
      </c>
      <c r="D1130">
        <v>2010</v>
      </c>
      <c r="E1130">
        <v>214</v>
      </c>
      <c r="F1130" t="s">
        <v>600</v>
      </c>
      <c r="G1130" t="s">
        <v>829</v>
      </c>
      <c r="H1130" t="s">
        <v>851</v>
      </c>
      <c r="I1130" t="s">
        <v>971</v>
      </c>
      <c r="K1130" t="s">
        <v>378</v>
      </c>
      <c r="L1130" t="s">
        <v>479</v>
      </c>
      <c r="M1130" t="s">
        <v>970</v>
      </c>
      <c r="N1130" t="s">
        <v>538</v>
      </c>
      <c r="O1130" t="s">
        <v>705</v>
      </c>
      <c r="P1130" t="s">
        <v>706</v>
      </c>
      <c r="Q1130" t="s">
        <v>230</v>
      </c>
      <c r="R1130">
        <v>100</v>
      </c>
      <c r="S1130" s="3">
        <f>1/17.4</f>
        <v>5.7471264367816098E-2</v>
      </c>
      <c r="T1130" s="3">
        <v>4.9000000000000004</v>
      </c>
      <c r="U1130">
        <v>0</v>
      </c>
    </row>
    <row r="1131" spans="1:21" x14ac:dyDescent="0.35">
      <c r="A1131" t="s">
        <v>969</v>
      </c>
      <c r="B1131" t="s">
        <v>522</v>
      </c>
      <c r="C1131" t="s">
        <v>385</v>
      </c>
      <c r="D1131">
        <v>2010</v>
      </c>
      <c r="E1131">
        <v>214</v>
      </c>
      <c r="F1131" t="s">
        <v>600</v>
      </c>
      <c r="G1131" t="s">
        <v>829</v>
      </c>
      <c r="H1131" t="s">
        <v>851</v>
      </c>
      <c r="I1131" t="s">
        <v>971</v>
      </c>
      <c r="K1131" t="s">
        <v>378</v>
      </c>
      <c r="L1131" t="s">
        <v>479</v>
      </c>
      <c r="M1131" t="s">
        <v>970</v>
      </c>
      <c r="N1131" t="s">
        <v>538</v>
      </c>
      <c r="O1131" t="s">
        <v>705</v>
      </c>
      <c r="P1131" t="s">
        <v>706</v>
      </c>
      <c r="Q1131" t="s">
        <v>230</v>
      </c>
      <c r="R1131">
        <v>100</v>
      </c>
      <c r="S1131" s="3">
        <f>1/28.3</f>
        <v>3.5335689045936397E-2</v>
      </c>
      <c r="T1131" s="3">
        <v>4.9000000000000004</v>
      </c>
      <c r="U1131">
        <v>0</v>
      </c>
    </row>
    <row r="1132" spans="1:21" x14ac:dyDescent="0.35">
      <c r="A1132" t="s">
        <v>975</v>
      </c>
      <c r="B1132" t="s">
        <v>468</v>
      </c>
      <c r="C1132" t="s">
        <v>770</v>
      </c>
      <c r="D1132">
        <v>2012</v>
      </c>
      <c r="E1132">
        <v>215</v>
      </c>
      <c r="F1132" t="s">
        <v>863</v>
      </c>
      <c r="G1132" t="s">
        <v>829</v>
      </c>
      <c r="H1132" t="s">
        <v>851</v>
      </c>
      <c r="I1132" t="s">
        <v>974</v>
      </c>
      <c r="M1132" t="s">
        <v>348</v>
      </c>
      <c r="N1132" t="s">
        <v>538</v>
      </c>
      <c r="O1132" t="s">
        <v>973</v>
      </c>
      <c r="P1132" t="s">
        <v>972</v>
      </c>
      <c r="Q1132" t="s">
        <v>230</v>
      </c>
      <c r="R1132">
        <v>0</v>
      </c>
      <c r="S1132" s="3">
        <v>1.67</v>
      </c>
      <c r="T1132" s="3">
        <v>0</v>
      </c>
      <c r="U1132" s="3">
        <v>0</v>
      </c>
    </row>
    <row r="1133" spans="1:21" x14ac:dyDescent="0.35">
      <c r="A1133" t="s">
        <v>975</v>
      </c>
      <c r="B1133" t="s">
        <v>468</v>
      </c>
      <c r="C1133" t="s">
        <v>770</v>
      </c>
      <c r="D1133">
        <v>2012</v>
      </c>
      <c r="E1133">
        <v>215</v>
      </c>
      <c r="F1133" t="s">
        <v>863</v>
      </c>
      <c r="G1133" t="s">
        <v>829</v>
      </c>
      <c r="H1133" t="s">
        <v>851</v>
      </c>
      <c r="I1133" t="s">
        <v>974</v>
      </c>
      <c r="M1133" t="s">
        <v>348</v>
      </c>
      <c r="N1133" t="s">
        <v>538</v>
      </c>
      <c r="O1133" t="s">
        <v>973</v>
      </c>
      <c r="P1133" t="s">
        <v>972</v>
      </c>
      <c r="Q1133" t="s">
        <v>230</v>
      </c>
      <c r="R1133">
        <v>0</v>
      </c>
      <c r="S1133" s="3">
        <v>1.68</v>
      </c>
      <c r="T1133" s="3">
        <v>0</v>
      </c>
      <c r="U1133" s="3">
        <v>-0.5</v>
      </c>
    </row>
    <row r="1134" spans="1:21" x14ac:dyDescent="0.35">
      <c r="A1134" t="s">
        <v>975</v>
      </c>
      <c r="B1134" t="s">
        <v>468</v>
      </c>
      <c r="C1134" t="s">
        <v>770</v>
      </c>
      <c r="D1134">
        <v>2012</v>
      </c>
      <c r="E1134">
        <v>215</v>
      </c>
      <c r="F1134" t="s">
        <v>863</v>
      </c>
      <c r="G1134" t="s">
        <v>829</v>
      </c>
      <c r="H1134" t="s">
        <v>851</v>
      </c>
      <c r="I1134" t="s">
        <v>974</v>
      </c>
      <c r="M1134" t="s">
        <v>348</v>
      </c>
      <c r="N1134" t="s">
        <v>538</v>
      </c>
      <c r="O1134" t="s">
        <v>973</v>
      </c>
      <c r="P1134" t="s">
        <v>972</v>
      </c>
      <c r="Q1134" t="s">
        <v>230</v>
      </c>
      <c r="R1134">
        <v>37</v>
      </c>
      <c r="S1134" s="3">
        <v>1.69</v>
      </c>
      <c r="T1134" s="3">
        <v>1</v>
      </c>
      <c r="U1134" s="3">
        <v>-2.5</v>
      </c>
    </row>
    <row r="1135" spans="1:21" x14ac:dyDescent="0.35">
      <c r="A1135" t="s">
        <v>975</v>
      </c>
      <c r="B1135" t="s">
        <v>468</v>
      </c>
      <c r="C1135" t="s">
        <v>770</v>
      </c>
      <c r="D1135">
        <v>2012</v>
      </c>
      <c r="E1135">
        <v>215</v>
      </c>
      <c r="F1135" t="s">
        <v>863</v>
      </c>
      <c r="G1135" t="s">
        <v>829</v>
      </c>
      <c r="H1135" t="s">
        <v>851</v>
      </c>
      <c r="I1135" t="s">
        <v>974</v>
      </c>
      <c r="M1135" t="s">
        <v>348</v>
      </c>
      <c r="N1135" t="s">
        <v>538</v>
      </c>
      <c r="O1135" t="s">
        <v>973</v>
      </c>
      <c r="P1135" t="s">
        <v>972</v>
      </c>
      <c r="Q1135" t="s">
        <v>230</v>
      </c>
      <c r="R1135">
        <v>37</v>
      </c>
      <c r="S1135" s="3">
        <v>1.89</v>
      </c>
      <c r="T1135" s="3">
        <v>1</v>
      </c>
      <c r="U1135" s="3">
        <v>-2.4</v>
      </c>
    </row>
    <row r="1136" spans="1:21" x14ac:dyDescent="0.35">
      <c r="A1136" t="s">
        <v>975</v>
      </c>
      <c r="B1136" t="s">
        <v>468</v>
      </c>
      <c r="C1136" t="s">
        <v>770</v>
      </c>
      <c r="D1136">
        <v>2012</v>
      </c>
      <c r="E1136">
        <v>215</v>
      </c>
      <c r="F1136" t="s">
        <v>863</v>
      </c>
      <c r="G1136" t="s">
        <v>829</v>
      </c>
      <c r="H1136" t="s">
        <v>851</v>
      </c>
      <c r="I1136" t="s">
        <v>974</v>
      </c>
      <c r="M1136" t="s">
        <v>348</v>
      </c>
      <c r="N1136" t="s">
        <v>538</v>
      </c>
      <c r="O1136" t="s">
        <v>973</v>
      </c>
      <c r="P1136" t="s">
        <v>972</v>
      </c>
      <c r="Q1136" t="s">
        <v>230</v>
      </c>
      <c r="R1136">
        <v>67</v>
      </c>
      <c r="S1136" s="3">
        <v>1.98</v>
      </c>
      <c r="T1136" s="3">
        <v>1</v>
      </c>
      <c r="U1136" s="3">
        <v>-2.5</v>
      </c>
    </row>
    <row r="1137" spans="1:21" x14ac:dyDescent="0.35">
      <c r="A1137" t="s">
        <v>975</v>
      </c>
      <c r="B1137" t="s">
        <v>468</v>
      </c>
      <c r="C1137" t="s">
        <v>770</v>
      </c>
      <c r="D1137">
        <v>2012</v>
      </c>
      <c r="E1137">
        <v>215</v>
      </c>
      <c r="F1137" t="s">
        <v>863</v>
      </c>
      <c r="G1137" t="s">
        <v>829</v>
      </c>
      <c r="H1137" t="s">
        <v>851</v>
      </c>
      <c r="I1137" t="s">
        <v>974</v>
      </c>
      <c r="M1137" t="s">
        <v>348</v>
      </c>
      <c r="N1137" t="s">
        <v>538</v>
      </c>
      <c r="O1137" t="s">
        <v>973</v>
      </c>
      <c r="P1137" t="s">
        <v>972</v>
      </c>
      <c r="Q1137" t="s">
        <v>230</v>
      </c>
      <c r="R1137">
        <v>67</v>
      </c>
      <c r="S1137" s="3">
        <v>1.94</v>
      </c>
      <c r="T1137" s="3">
        <v>1</v>
      </c>
      <c r="U1137" s="3">
        <v>-2.4</v>
      </c>
    </row>
    <row r="1138" spans="1:21" x14ac:dyDescent="0.35">
      <c r="A1138" t="s">
        <v>976</v>
      </c>
      <c r="B1138" t="s">
        <v>384</v>
      </c>
      <c r="C1138" t="s">
        <v>385</v>
      </c>
      <c r="D1138">
        <v>2011</v>
      </c>
      <c r="E1138">
        <v>216</v>
      </c>
      <c r="F1138" t="s">
        <v>600</v>
      </c>
      <c r="G1138" t="s">
        <v>829</v>
      </c>
      <c r="H1138" t="s">
        <v>977</v>
      </c>
      <c r="K1138" t="s">
        <v>394</v>
      </c>
      <c r="M1138" t="s">
        <v>348</v>
      </c>
      <c r="N1138" t="s">
        <v>538</v>
      </c>
      <c r="O1138" t="s">
        <v>749</v>
      </c>
      <c r="P1138" t="s">
        <v>748</v>
      </c>
      <c r="Q1138" t="s">
        <v>230</v>
      </c>
      <c r="R1138">
        <v>0</v>
      </c>
      <c r="S1138" s="3">
        <v>0.77</v>
      </c>
      <c r="T1138" s="3">
        <v>0</v>
      </c>
      <c r="U1138" s="3">
        <v>0</v>
      </c>
    </row>
    <row r="1139" spans="1:21" x14ac:dyDescent="0.35">
      <c r="A1139" t="s">
        <v>976</v>
      </c>
      <c r="B1139" t="s">
        <v>384</v>
      </c>
      <c r="C1139" t="s">
        <v>385</v>
      </c>
      <c r="D1139">
        <v>2011</v>
      </c>
      <c r="E1139">
        <v>216</v>
      </c>
      <c r="F1139" t="s">
        <v>600</v>
      </c>
      <c r="G1139" t="s">
        <v>829</v>
      </c>
      <c r="H1139" t="s">
        <v>977</v>
      </c>
      <c r="K1139" t="s">
        <v>394</v>
      </c>
      <c r="M1139" t="s">
        <v>348</v>
      </c>
      <c r="N1139" t="s">
        <v>538</v>
      </c>
      <c r="O1139" t="s">
        <v>749</v>
      </c>
      <c r="P1139" t="s">
        <v>748</v>
      </c>
      <c r="Q1139" t="s">
        <v>230</v>
      </c>
      <c r="R1139">
        <v>10</v>
      </c>
      <c r="S1139" s="3">
        <v>0.79</v>
      </c>
      <c r="T1139" s="3">
        <v>0.5</v>
      </c>
      <c r="U1139" s="3">
        <v>-2.2000000000000002</v>
      </c>
    </row>
    <row r="1140" spans="1:21" x14ac:dyDescent="0.35">
      <c r="A1140" t="s">
        <v>976</v>
      </c>
      <c r="B1140" t="s">
        <v>384</v>
      </c>
      <c r="C1140" t="s">
        <v>385</v>
      </c>
      <c r="D1140">
        <v>2011</v>
      </c>
      <c r="E1140">
        <v>216</v>
      </c>
      <c r="F1140" t="s">
        <v>600</v>
      </c>
      <c r="G1140" t="s">
        <v>829</v>
      </c>
      <c r="H1140" t="s">
        <v>977</v>
      </c>
      <c r="K1140" t="s">
        <v>394</v>
      </c>
      <c r="M1140" t="s">
        <v>348</v>
      </c>
      <c r="N1140" t="s">
        <v>538</v>
      </c>
      <c r="O1140" t="s">
        <v>749</v>
      </c>
      <c r="P1140" t="s">
        <v>748</v>
      </c>
      <c r="Q1140" t="s">
        <v>230</v>
      </c>
      <c r="R1140">
        <v>20</v>
      </c>
      <c r="S1140" s="3">
        <v>0.85</v>
      </c>
      <c r="T1140" s="3">
        <v>1</v>
      </c>
      <c r="U1140" s="3">
        <v>-4.4000000000000004</v>
      </c>
    </row>
    <row r="1141" spans="1:21" x14ac:dyDescent="0.35">
      <c r="A1141" t="s">
        <v>976</v>
      </c>
      <c r="B1141" t="s">
        <v>384</v>
      </c>
      <c r="C1141" t="s">
        <v>385</v>
      </c>
      <c r="D1141">
        <v>2011</v>
      </c>
      <c r="E1141">
        <v>216</v>
      </c>
      <c r="F1141" t="s">
        <v>600</v>
      </c>
      <c r="G1141" t="s">
        <v>829</v>
      </c>
      <c r="H1141" t="s">
        <v>977</v>
      </c>
      <c r="K1141" t="s">
        <v>394</v>
      </c>
      <c r="M1141" t="s">
        <v>348</v>
      </c>
      <c r="N1141" t="s">
        <v>538</v>
      </c>
      <c r="O1141" t="s">
        <v>749</v>
      </c>
      <c r="P1141" t="s">
        <v>748</v>
      </c>
      <c r="Q1141" t="s">
        <v>230</v>
      </c>
      <c r="R1141">
        <v>30</v>
      </c>
      <c r="S1141" s="3">
        <v>0.87</v>
      </c>
      <c r="T1141" s="3">
        <v>1.5</v>
      </c>
      <c r="U1141" s="3">
        <v>-6.5</v>
      </c>
    </row>
    <row r="1142" spans="1:21" x14ac:dyDescent="0.35">
      <c r="A1142" t="s">
        <v>976</v>
      </c>
      <c r="B1142" t="s">
        <v>384</v>
      </c>
      <c r="C1142" t="s">
        <v>385</v>
      </c>
      <c r="D1142">
        <v>2011</v>
      </c>
      <c r="E1142">
        <v>216</v>
      </c>
      <c r="F1142" t="s">
        <v>600</v>
      </c>
      <c r="G1142" t="s">
        <v>829</v>
      </c>
      <c r="H1142" t="s">
        <v>977</v>
      </c>
      <c r="K1142" t="s">
        <v>394</v>
      </c>
      <c r="M1142" t="s">
        <v>348</v>
      </c>
      <c r="N1142" t="s">
        <v>538</v>
      </c>
      <c r="O1142" t="s">
        <v>749</v>
      </c>
      <c r="P1142" t="s">
        <v>748</v>
      </c>
      <c r="Q1142" t="s">
        <v>230</v>
      </c>
      <c r="R1142">
        <v>40</v>
      </c>
      <c r="S1142" s="3">
        <v>0.85</v>
      </c>
      <c r="T1142" s="3">
        <v>2</v>
      </c>
      <c r="U1142" s="3">
        <v>-6.7</v>
      </c>
    </row>
    <row r="1143" spans="1:21" x14ac:dyDescent="0.35">
      <c r="A1143" t="s">
        <v>976</v>
      </c>
      <c r="B1143" t="s">
        <v>384</v>
      </c>
      <c r="C1143" t="s">
        <v>385</v>
      </c>
      <c r="D1143">
        <v>2011</v>
      </c>
      <c r="E1143">
        <v>216</v>
      </c>
      <c r="F1143" t="s">
        <v>600</v>
      </c>
      <c r="G1143" t="s">
        <v>829</v>
      </c>
      <c r="H1143" t="s">
        <v>977</v>
      </c>
      <c r="K1143" t="s">
        <v>394</v>
      </c>
      <c r="M1143" t="s">
        <v>348</v>
      </c>
      <c r="N1143" t="s">
        <v>538</v>
      </c>
      <c r="O1143" t="s">
        <v>749</v>
      </c>
      <c r="P1143" t="s">
        <v>748</v>
      </c>
      <c r="Q1143" t="s">
        <v>230</v>
      </c>
      <c r="R1143">
        <v>50</v>
      </c>
      <c r="S1143" s="3">
        <v>0.95</v>
      </c>
      <c r="T1143" s="3">
        <v>2.5</v>
      </c>
      <c r="U1143" s="3">
        <v>-6.9</v>
      </c>
    </row>
    <row r="1144" spans="1:21" x14ac:dyDescent="0.35">
      <c r="A1144" t="s">
        <v>976</v>
      </c>
      <c r="B1144" t="s">
        <v>384</v>
      </c>
      <c r="C1144" t="s">
        <v>385</v>
      </c>
      <c r="D1144">
        <v>2011</v>
      </c>
      <c r="E1144">
        <v>216</v>
      </c>
      <c r="F1144" t="s">
        <v>600</v>
      </c>
      <c r="G1144" t="s">
        <v>829</v>
      </c>
      <c r="H1144" t="s">
        <v>977</v>
      </c>
      <c r="K1144" t="s">
        <v>394</v>
      </c>
      <c r="M1144" t="s">
        <v>348</v>
      </c>
      <c r="N1144" t="s">
        <v>538</v>
      </c>
      <c r="O1144" t="s">
        <v>749</v>
      </c>
      <c r="P1144" t="s">
        <v>748</v>
      </c>
      <c r="Q1144" t="s">
        <v>230</v>
      </c>
      <c r="R1144">
        <v>60</v>
      </c>
      <c r="S1144" s="3">
        <v>1.2</v>
      </c>
      <c r="T1144" s="3">
        <v>3</v>
      </c>
      <c r="U1144" s="3">
        <v>-8.9</v>
      </c>
    </row>
    <row r="1145" spans="1:21" x14ac:dyDescent="0.35">
      <c r="A1145" t="s">
        <v>976</v>
      </c>
      <c r="B1145" t="s">
        <v>384</v>
      </c>
      <c r="C1145" t="s">
        <v>385</v>
      </c>
      <c r="D1145">
        <v>2011</v>
      </c>
      <c r="E1145">
        <v>216</v>
      </c>
      <c r="F1145" t="s">
        <v>600</v>
      </c>
      <c r="G1145" t="s">
        <v>829</v>
      </c>
      <c r="H1145" t="s">
        <v>977</v>
      </c>
      <c r="K1145" t="s">
        <v>378</v>
      </c>
      <c r="L1145" t="s">
        <v>574</v>
      </c>
      <c r="M1145" t="s">
        <v>348</v>
      </c>
      <c r="N1145" t="s">
        <v>538</v>
      </c>
      <c r="O1145" t="s">
        <v>749</v>
      </c>
      <c r="P1145" t="s">
        <v>748</v>
      </c>
      <c r="Q1145" t="s">
        <v>230</v>
      </c>
      <c r="R1145">
        <v>0</v>
      </c>
      <c r="S1145" s="3">
        <v>0.91</v>
      </c>
      <c r="T1145" s="3">
        <v>0</v>
      </c>
      <c r="U1145" s="3">
        <v>0</v>
      </c>
    </row>
    <row r="1146" spans="1:21" x14ac:dyDescent="0.35">
      <c r="A1146" t="s">
        <v>976</v>
      </c>
      <c r="B1146" t="s">
        <v>384</v>
      </c>
      <c r="C1146" t="s">
        <v>385</v>
      </c>
      <c r="D1146">
        <v>2011</v>
      </c>
      <c r="E1146">
        <v>216</v>
      </c>
      <c r="F1146" t="s">
        <v>600</v>
      </c>
      <c r="G1146" t="s">
        <v>829</v>
      </c>
      <c r="H1146" t="s">
        <v>977</v>
      </c>
      <c r="K1146" t="s">
        <v>378</v>
      </c>
      <c r="L1146" t="s">
        <v>574</v>
      </c>
      <c r="M1146" t="s">
        <v>348</v>
      </c>
      <c r="N1146" t="s">
        <v>538</v>
      </c>
      <c r="O1146" t="s">
        <v>749</v>
      </c>
      <c r="P1146" t="s">
        <v>748</v>
      </c>
      <c r="Q1146" t="s">
        <v>230</v>
      </c>
      <c r="R1146">
        <v>10</v>
      </c>
      <c r="S1146" s="3">
        <v>0.93</v>
      </c>
      <c r="T1146" s="3">
        <v>0.5</v>
      </c>
      <c r="U1146" s="3">
        <v>-2.2000000000000002</v>
      </c>
    </row>
    <row r="1147" spans="1:21" x14ac:dyDescent="0.35">
      <c r="A1147" t="s">
        <v>976</v>
      </c>
      <c r="B1147" t="s">
        <v>384</v>
      </c>
      <c r="C1147" t="s">
        <v>385</v>
      </c>
      <c r="D1147">
        <v>2011</v>
      </c>
      <c r="E1147">
        <v>216</v>
      </c>
      <c r="F1147" t="s">
        <v>600</v>
      </c>
      <c r="G1147" t="s">
        <v>829</v>
      </c>
      <c r="H1147" t="s">
        <v>977</v>
      </c>
      <c r="K1147" t="s">
        <v>378</v>
      </c>
      <c r="L1147" t="s">
        <v>574</v>
      </c>
      <c r="M1147" t="s">
        <v>348</v>
      </c>
      <c r="N1147" t="s">
        <v>538</v>
      </c>
      <c r="O1147" t="s">
        <v>749</v>
      </c>
      <c r="P1147" t="s">
        <v>748</v>
      </c>
      <c r="Q1147" t="s">
        <v>230</v>
      </c>
      <c r="R1147">
        <v>20</v>
      </c>
      <c r="S1147" s="3">
        <v>0.97</v>
      </c>
      <c r="T1147" s="3">
        <v>1</v>
      </c>
      <c r="U1147" s="3">
        <v>-4.4000000000000004</v>
      </c>
    </row>
    <row r="1148" spans="1:21" x14ac:dyDescent="0.35">
      <c r="A1148" t="s">
        <v>976</v>
      </c>
      <c r="B1148" t="s">
        <v>384</v>
      </c>
      <c r="C1148" t="s">
        <v>385</v>
      </c>
      <c r="D1148">
        <v>2011</v>
      </c>
      <c r="E1148">
        <v>216</v>
      </c>
      <c r="F1148" t="s">
        <v>600</v>
      </c>
      <c r="G1148" t="s">
        <v>829</v>
      </c>
      <c r="H1148" t="s">
        <v>977</v>
      </c>
      <c r="K1148" t="s">
        <v>378</v>
      </c>
      <c r="L1148" t="s">
        <v>574</v>
      </c>
      <c r="M1148" t="s">
        <v>348</v>
      </c>
      <c r="N1148" t="s">
        <v>538</v>
      </c>
      <c r="O1148" t="s">
        <v>749</v>
      </c>
      <c r="P1148" t="s">
        <v>748</v>
      </c>
      <c r="Q1148" t="s">
        <v>230</v>
      </c>
      <c r="R1148">
        <v>30</v>
      </c>
      <c r="S1148" s="3">
        <v>1.1599999999999999</v>
      </c>
      <c r="T1148" s="3">
        <v>1.5</v>
      </c>
      <c r="U1148" s="3">
        <v>-6.5</v>
      </c>
    </row>
    <row r="1149" spans="1:21" x14ac:dyDescent="0.35">
      <c r="A1149" t="s">
        <v>976</v>
      </c>
      <c r="B1149" t="s">
        <v>384</v>
      </c>
      <c r="C1149" t="s">
        <v>385</v>
      </c>
      <c r="D1149">
        <v>2011</v>
      </c>
      <c r="E1149">
        <v>216</v>
      </c>
      <c r="F1149" t="s">
        <v>600</v>
      </c>
      <c r="G1149" t="s">
        <v>829</v>
      </c>
      <c r="H1149" t="s">
        <v>977</v>
      </c>
      <c r="K1149" t="s">
        <v>378</v>
      </c>
      <c r="L1149" t="s">
        <v>574</v>
      </c>
      <c r="M1149" t="s">
        <v>348</v>
      </c>
      <c r="N1149" t="s">
        <v>538</v>
      </c>
      <c r="O1149" t="s">
        <v>749</v>
      </c>
      <c r="P1149" t="s">
        <v>748</v>
      </c>
      <c r="Q1149" t="s">
        <v>230</v>
      </c>
      <c r="R1149">
        <v>40</v>
      </c>
      <c r="S1149" s="3">
        <v>1.17</v>
      </c>
      <c r="T1149" s="3">
        <v>2</v>
      </c>
      <c r="U1149" s="3">
        <v>-6.7</v>
      </c>
    </row>
    <row r="1150" spans="1:21" x14ac:dyDescent="0.35">
      <c r="A1150" t="s">
        <v>976</v>
      </c>
      <c r="B1150" t="s">
        <v>384</v>
      </c>
      <c r="C1150" t="s">
        <v>385</v>
      </c>
      <c r="D1150">
        <v>2011</v>
      </c>
      <c r="E1150">
        <v>216</v>
      </c>
      <c r="F1150" t="s">
        <v>600</v>
      </c>
      <c r="G1150" t="s">
        <v>829</v>
      </c>
      <c r="H1150" t="s">
        <v>977</v>
      </c>
      <c r="K1150" t="s">
        <v>378</v>
      </c>
      <c r="L1150" t="s">
        <v>574</v>
      </c>
      <c r="M1150" t="s">
        <v>348</v>
      </c>
      <c r="N1150" t="s">
        <v>538</v>
      </c>
      <c r="O1150" t="s">
        <v>749</v>
      </c>
      <c r="P1150" t="s">
        <v>748</v>
      </c>
      <c r="Q1150" t="s">
        <v>230</v>
      </c>
      <c r="R1150">
        <v>50</v>
      </c>
      <c r="S1150" s="3">
        <v>1.4</v>
      </c>
      <c r="T1150" s="3">
        <v>2.5</v>
      </c>
      <c r="U1150" s="3">
        <v>-6.9</v>
      </c>
    </row>
    <row r="1151" spans="1:21" x14ac:dyDescent="0.35">
      <c r="A1151" t="s">
        <v>976</v>
      </c>
      <c r="B1151" t="s">
        <v>384</v>
      </c>
      <c r="C1151" t="s">
        <v>385</v>
      </c>
      <c r="D1151">
        <v>2011</v>
      </c>
      <c r="E1151">
        <v>216</v>
      </c>
      <c r="F1151" t="s">
        <v>600</v>
      </c>
      <c r="G1151" t="s">
        <v>829</v>
      </c>
      <c r="H1151" t="s">
        <v>977</v>
      </c>
      <c r="K1151" t="s">
        <v>378</v>
      </c>
      <c r="L1151" t="s">
        <v>574</v>
      </c>
      <c r="M1151" t="s">
        <v>348</v>
      </c>
      <c r="N1151" t="s">
        <v>538</v>
      </c>
      <c r="O1151" t="s">
        <v>749</v>
      </c>
      <c r="P1151" t="s">
        <v>748</v>
      </c>
      <c r="Q1151" t="s">
        <v>230</v>
      </c>
      <c r="R1151">
        <v>60</v>
      </c>
      <c r="S1151" s="3">
        <v>1.41</v>
      </c>
      <c r="T1151" s="3">
        <v>3</v>
      </c>
      <c r="U1151" s="3">
        <v>-8.9</v>
      </c>
    </row>
    <row r="1152" spans="1:21" x14ac:dyDescent="0.35">
      <c r="A1152" t="s">
        <v>976</v>
      </c>
      <c r="B1152" t="s">
        <v>384</v>
      </c>
      <c r="C1152" t="s">
        <v>385</v>
      </c>
      <c r="D1152">
        <v>2011</v>
      </c>
      <c r="E1152">
        <v>216</v>
      </c>
      <c r="F1152" t="s">
        <v>600</v>
      </c>
      <c r="G1152" t="s">
        <v>829</v>
      </c>
      <c r="H1152" t="s">
        <v>977</v>
      </c>
      <c r="K1152" t="s">
        <v>378</v>
      </c>
      <c r="L1152" t="s">
        <v>574</v>
      </c>
      <c r="M1152" t="s">
        <v>348</v>
      </c>
      <c r="N1152" t="s">
        <v>538</v>
      </c>
      <c r="O1152" t="s">
        <v>749</v>
      </c>
      <c r="P1152" t="s">
        <v>748</v>
      </c>
      <c r="Q1152" t="s">
        <v>230</v>
      </c>
      <c r="R1152">
        <v>70</v>
      </c>
      <c r="S1152" s="3">
        <v>1.79</v>
      </c>
      <c r="T1152" s="3">
        <v>3</v>
      </c>
      <c r="U1152" s="3">
        <v>-10.8</v>
      </c>
    </row>
    <row r="1153" spans="1:21" x14ac:dyDescent="0.35">
      <c r="A1153" t="s">
        <v>976</v>
      </c>
      <c r="B1153" t="s">
        <v>384</v>
      </c>
      <c r="C1153" t="s">
        <v>385</v>
      </c>
      <c r="D1153">
        <v>2012</v>
      </c>
      <c r="E1153">
        <v>217</v>
      </c>
      <c r="F1153" t="s">
        <v>600</v>
      </c>
      <c r="G1153" t="s">
        <v>829</v>
      </c>
      <c r="H1153" t="s">
        <v>977</v>
      </c>
      <c r="K1153" t="s">
        <v>378</v>
      </c>
      <c r="L1153" t="s">
        <v>874</v>
      </c>
      <c r="M1153" t="s">
        <v>348</v>
      </c>
      <c r="N1153" t="s">
        <v>538</v>
      </c>
      <c r="O1153" t="s">
        <v>762</v>
      </c>
      <c r="P1153" t="s">
        <v>978</v>
      </c>
      <c r="Q1153" t="s">
        <v>230</v>
      </c>
      <c r="R1153">
        <v>0</v>
      </c>
      <c r="S1153" s="3">
        <v>1.29</v>
      </c>
      <c r="T1153" s="3">
        <v>0</v>
      </c>
      <c r="U1153" s="3">
        <v>0</v>
      </c>
    </row>
    <row r="1154" spans="1:21" x14ac:dyDescent="0.35">
      <c r="A1154" t="s">
        <v>976</v>
      </c>
      <c r="B1154" t="s">
        <v>384</v>
      </c>
      <c r="C1154" t="s">
        <v>385</v>
      </c>
      <c r="D1154">
        <v>2012</v>
      </c>
      <c r="E1154">
        <v>217</v>
      </c>
      <c r="F1154" t="s">
        <v>600</v>
      </c>
      <c r="G1154" t="s">
        <v>829</v>
      </c>
      <c r="H1154" t="s">
        <v>977</v>
      </c>
      <c r="K1154" t="s">
        <v>378</v>
      </c>
      <c r="L1154" t="s">
        <v>874</v>
      </c>
      <c r="M1154" t="s">
        <v>348</v>
      </c>
      <c r="N1154" t="s">
        <v>538</v>
      </c>
      <c r="O1154" t="s">
        <v>762</v>
      </c>
      <c r="P1154" t="s">
        <v>978</v>
      </c>
      <c r="Q1154" t="s">
        <v>230</v>
      </c>
      <c r="R1154">
        <v>10</v>
      </c>
      <c r="S1154" s="3">
        <v>1.33</v>
      </c>
      <c r="T1154" s="3">
        <v>0</v>
      </c>
      <c r="U1154" s="3">
        <v>0</v>
      </c>
    </row>
    <row r="1155" spans="1:21" x14ac:dyDescent="0.35">
      <c r="A1155" t="s">
        <v>976</v>
      </c>
      <c r="B1155" t="s">
        <v>384</v>
      </c>
      <c r="C1155" t="s">
        <v>385</v>
      </c>
      <c r="D1155">
        <v>2012</v>
      </c>
      <c r="E1155">
        <v>217</v>
      </c>
      <c r="F1155" t="s">
        <v>600</v>
      </c>
      <c r="G1155" t="s">
        <v>829</v>
      </c>
      <c r="H1155" t="s">
        <v>977</v>
      </c>
      <c r="K1155" t="s">
        <v>378</v>
      </c>
      <c r="L1155" t="s">
        <v>874</v>
      </c>
      <c r="M1155" t="s">
        <v>348</v>
      </c>
      <c r="N1155" t="s">
        <v>538</v>
      </c>
      <c r="O1155" t="s">
        <v>762</v>
      </c>
      <c r="P1155" t="s">
        <v>978</v>
      </c>
      <c r="Q1155" t="s">
        <v>230</v>
      </c>
      <c r="R1155">
        <v>20</v>
      </c>
      <c r="S1155" s="3">
        <v>1.33</v>
      </c>
      <c r="T1155" s="3">
        <v>0.5</v>
      </c>
      <c r="U1155" s="3">
        <v>0</v>
      </c>
    </row>
    <row r="1156" spans="1:21" x14ac:dyDescent="0.35">
      <c r="A1156" t="s">
        <v>976</v>
      </c>
      <c r="B1156" t="s">
        <v>384</v>
      </c>
      <c r="C1156" t="s">
        <v>385</v>
      </c>
      <c r="D1156">
        <v>2012</v>
      </c>
      <c r="E1156">
        <v>217</v>
      </c>
      <c r="F1156" t="s">
        <v>600</v>
      </c>
      <c r="G1156" t="s">
        <v>829</v>
      </c>
      <c r="H1156" t="s">
        <v>977</v>
      </c>
      <c r="K1156" t="s">
        <v>378</v>
      </c>
      <c r="L1156" t="s">
        <v>874</v>
      </c>
      <c r="M1156" t="s">
        <v>348</v>
      </c>
      <c r="N1156" t="s">
        <v>538</v>
      </c>
      <c r="O1156" t="s">
        <v>762</v>
      </c>
      <c r="P1156" t="s">
        <v>978</v>
      </c>
      <c r="Q1156" t="s">
        <v>230</v>
      </c>
      <c r="R1156">
        <v>30</v>
      </c>
      <c r="S1156" s="3">
        <v>1.29</v>
      </c>
      <c r="T1156" s="3">
        <v>1</v>
      </c>
      <c r="U1156" s="3">
        <v>0</v>
      </c>
    </row>
    <row r="1157" spans="1:21" x14ac:dyDescent="0.35">
      <c r="A1157" t="s">
        <v>976</v>
      </c>
      <c r="B1157" t="s">
        <v>384</v>
      </c>
      <c r="C1157" t="s">
        <v>385</v>
      </c>
      <c r="D1157">
        <v>2012</v>
      </c>
      <c r="E1157">
        <v>217</v>
      </c>
      <c r="F1157" t="s">
        <v>600</v>
      </c>
      <c r="G1157" t="s">
        <v>829</v>
      </c>
      <c r="H1157" t="s">
        <v>977</v>
      </c>
      <c r="K1157" t="s">
        <v>378</v>
      </c>
      <c r="L1157" t="s">
        <v>874</v>
      </c>
      <c r="M1157" t="s">
        <v>348</v>
      </c>
      <c r="N1157" t="s">
        <v>538</v>
      </c>
      <c r="O1157" t="s">
        <v>762</v>
      </c>
      <c r="P1157" t="s">
        <v>978</v>
      </c>
      <c r="Q1157" t="s">
        <v>230</v>
      </c>
      <c r="R1157">
        <v>40</v>
      </c>
      <c r="S1157" s="3">
        <v>1.36</v>
      </c>
      <c r="T1157" s="3">
        <v>1.5</v>
      </c>
      <c r="U1157" s="3">
        <v>0</v>
      </c>
    </row>
    <row r="1158" spans="1:21" x14ac:dyDescent="0.35">
      <c r="A1158" t="s">
        <v>976</v>
      </c>
      <c r="B1158" t="s">
        <v>384</v>
      </c>
      <c r="C1158" t="s">
        <v>385</v>
      </c>
      <c r="D1158">
        <v>2012</v>
      </c>
      <c r="E1158">
        <v>217</v>
      </c>
      <c r="F1158" t="s">
        <v>600</v>
      </c>
      <c r="G1158" t="s">
        <v>829</v>
      </c>
      <c r="H1158" t="s">
        <v>977</v>
      </c>
      <c r="K1158" t="s">
        <v>378</v>
      </c>
      <c r="L1158" t="s">
        <v>874</v>
      </c>
      <c r="M1158" t="s">
        <v>348</v>
      </c>
      <c r="N1158" t="s">
        <v>538</v>
      </c>
      <c r="O1158" t="s">
        <v>762</v>
      </c>
      <c r="P1158" t="s">
        <v>978</v>
      </c>
      <c r="Q1158" t="s">
        <v>230</v>
      </c>
      <c r="R1158">
        <v>50</v>
      </c>
      <c r="S1158" s="3">
        <v>1.33</v>
      </c>
      <c r="T1158" s="3">
        <v>2</v>
      </c>
      <c r="U1158" s="3">
        <v>0</v>
      </c>
    </row>
    <row r="1159" spans="1:21" x14ac:dyDescent="0.35">
      <c r="A1159" t="s">
        <v>976</v>
      </c>
      <c r="B1159" t="s">
        <v>384</v>
      </c>
      <c r="C1159" t="s">
        <v>385</v>
      </c>
      <c r="D1159">
        <v>2012</v>
      </c>
      <c r="E1159">
        <v>217</v>
      </c>
      <c r="F1159" t="s">
        <v>600</v>
      </c>
      <c r="G1159" t="s">
        <v>829</v>
      </c>
      <c r="H1159" t="s">
        <v>977</v>
      </c>
      <c r="K1159" t="s">
        <v>378</v>
      </c>
      <c r="L1159" t="s">
        <v>874</v>
      </c>
      <c r="M1159" t="s">
        <v>348</v>
      </c>
      <c r="N1159" t="s">
        <v>538</v>
      </c>
      <c r="O1159" t="s">
        <v>762</v>
      </c>
      <c r="P1159" t="s">
        <v>978</v>
      </c>
      <c r="Q1159" t="s">
        <v>230</v>
      </c>
      <c r="R1159">
        <v>60</v>
      </c>
      <c r="S1159" s="3">
        <v>1.24</v>
      </c>
      <c r="T1159" s="3">
        <v>2</v>
      </c>
      <c r="U1159" s="3">
        <v>0</v>
      </c>
    </row>
    <row r="1160" spans="1:21" x14ac:dyDescent="0.35">
      <c r="A1160" t="s">
        <v>976</v>
      </c>
      <c r="B1160" t="s">
        <v>384</v>
      </c>
      <c r="C1160" t="s">
        <v>385</v>
      </c>
      <c r="D1160">
        <v>2012</v>
      </c>
      <c r="E1160">
        <v>217</v>
      </c>
      <c r="F1160" t="s">
        <v>600</v>
      </c>
      <c r="G1160" t="s">
        <v>829</v>
      </c>
      <c r="H1160" t="s">
        <v>977</v>
      </c>
      <c r="K1160" t="s">
        <v>378</v>
      </c>
      <c r="L1160" t="s">
        <v>874</v>
      </c>
      <c r="M1160" t="s">
        <v>348</v>
      </c>
      <c r="N1160" t="s">
        <v>538</v>
      </c>
      <c r="O1160" t="s">
        <v>762</v>
      </c>
      <c r="P1160" t="s">
        <v>978</v>
      </c>
      <c r="Q1160" t="s">
        <v>230</v>
      </c>
      <c r="R1160">
        <v>0</v>
      </c>
      <c r="S1160" s="3">
        <v>1.55</v>
      </c>
      <c r="T1160" s="3">
        <v>0</v>
      </c>
      <c r="U1160" s="3">
        <v>0</v>
      </c>
    </row>
    <row r="1161" spans="1:21" x14ac:dyDescent="0.35">
      <c r="A1161" t="s">
        <v>976</v>
      </c>
      <c r="B1161" t="s">
        <v>384</v>
      </c>
      <c r="C1161" t="s">
        <v>385</v>
      </c>
      <c r="D1161">
        <v>2012</v>
      </c>
      <c r="E1161">
        <v>217</v>
      </c>
      <c r="F1161" t="s">
        <v>600</v>
      </c>
      <c r="G1161" t="s">
        <v>829</v>
      </c>
      <c r="H1161" t="s">
        <v>977</v>
      </c>
      <c r="K1161" t="s">
        <v>378</v>
      </c>
      <c r="L1161" t="s">
        <v>874</v>
      </c>
      <c r="M1161" t="s">
        <v>348</v>
      </c>
      <c r="N1161" t="s">
        <v>538</v>
      </c>
      <c r="O1161" t="s">
        <v>762</v>
      </c>
      <c r="P1161" t="s">
        <v>978</v>
      </c>
      <c r="Q1161" t="s">
        <v>230</v>
      </c>
      <c r="R1161">
        <v>60</v>
      </c>
      <c r="S1161" s="3">
        <v>1.35</v>
      </c>
      <c r="T1161" s="3">
        <v>3</v>
      </c>
      <c r="U1161" s="3">
        <v>-7</v>
      </c>
    </row>
    <row r="1162" spans="1:21" x14ac:dyDescent="0.35">
      <c r="A1162" t="s">
        <v>976</v>
      </c>
      <c r="B1162" t="s">
        <v>384</v>
      </c>
      <c r="C1162" t="s">
        <v>385</v>
      </c>
      <c r="D1162">
        <v>2012</v>
      </c>
      <c r="E1162">
        <v>217</v>
      </c>
      <c r="F1162" t="s">
        <v>600</v>
      </c>
      <c r="G1162" t="s">
        <v>829</v>
      </c>
      <c r="H1162" t="s">
        <v>977</v>
      </c>
      <c r="K1162" t="s">
        <v>378</v>
      </c>
      <c r="L1162" t="s">
        <v>874</v>
      </c>
      <c r="M1162" t="s">
        <v>348</v>
      </c>
      <c r="N1162" t="s">
        <v>538</v>
      </c>
      <c r="O1162" t="s">
        <v>762</v>
      </c>
      <c r="P1162" t="s">
        <v>978</v>
      </c>
      <c r="Q1162" t="s">
        <v>230</v>
      </c>
      <c r="R1162">
        <v>70</v>
      </c>
      <c r="S1162" s="3">
        <v>1.27</v>
      </c>
      <c r="T1162" s="3">
        <v>3.5</v>
      </c>
      <c r="U1162" s="3">
        <v>-8.8000000000000007</v>
      </c>
    </row>
    <row r="1163" spans="1:21" x14ac:dyDescent="0.35">
      <c r="A1163" t="s">
        <v>976</v>
      </c>
      <c r="B1163" t="s">
        <v>384</v>
      </c>
      <c r="C1163" t="s">
        <v>385</v>
      </c>
      <c r="D1163">
        <v>2012</v>
      </c>
      <c r="E1163">
        <v>217</v>
      </c>
      <c r="F1163" t="s">
        <v>600</v>
      </c>
      <c r="G1163" t="s">
        <v>829</v>
      </c>
      <c r="H1163" t="s">
        <v>977</v>
      </c>
      <c r="K1163" t="s">
        <v>378</v>
      </c>
      <c r="L1163" t="s">
        <v>874</v>
      </c>
      <c r="M1163" t="s">
        <v>348</v>
      </c>
      <c r="N1163" t="s">
        <v>538</v>
      </c>
      <c r="O1163" t="s">
        <v>762</v>
      </c>
      <c r="P1163" t="s">
        <v>978</v>
      </c>
      <c r="Q1163" t="s">
        <v>230</v>
      </c>
      <c r="R1163">
        <v>80</v>
      </c>
      <c r="S1163" s="3">
        <v>1.63</v>
      </c>
      <c r="T1163" s="3">
        <v>4</v>
      </c>
      <c r="U1163" s="3">
        <v>-11</v>
      </c>
    </row>
    <row r="1164" spans="1:21" x14ac:dyDescent="0.35">
      <c r="A1164" t="s">
        <v>976</v>
      </c>
      <c r="B1164" t="s">
        <v>384</v>
      </c>
      <c r="C1164" t="s">
        <v>385</v>
      </c>
      <c r="D1164">
        <v>2012</v>
      </c>
      <c r="E1164">
        <v>217</v>
      </c>
      <c r="F1164" t="s">
        <v>600</v>
      </c>
      <c r="G1164" t="s">
        <v>829</v>
      </c>
      <c r="H1164" t="s">
        <v>977</v>
      </c>
      <c r="K1164" t="s">
        <v>378</v>
      </c>
      <c r="L1164" t="s">
        <v>874</v>
      </c>
      <c r="M1164" t="s">
        <v>348</v>
      </c>
      <c r="N1164" t="s">
        <v>538</v>
      </c>
      <c r="O1164" t="s">
        <v>762</v>
      </c>
      <c r="P1164" t="s">
        <v>978</v>
      </c>
      <c r="Q1164" t="s">
        <v>230</v>
      </c>
      <c r="R1164">
        <v>90</v>
      </c>
      <c r="S1164" s="3">
        <v>1.98</v>
      </c>
      <c r="T1164" s="3">
        <v>4.5</v>
      </c>
      <c r="U1164" s="3">
        <v>-13.2</v>
      </c>
    </row>
    <row r="1165" spans="1:21" x14ac:dyDescent="0.35">
      <c r="A1165" t="s">
        <v>976</v>
      </c>
      <c r="B1165" t="s">
        <v>384</v>
      </c>
      <c r="C1165" t="s">
        <v>385</v>
      </c>
      <c r="D1165">
        <v>2012</v>
      </c>
      <c r="E1165">
        <v>217</v>
      </c>
      <c r="F1165" t="s">
        <v>600</v>
      </c>
      <c r="G1165" t="s">
        <v>829</v>
      </c>
      <c r="H1165" t="s">
        <v>977</v>
      </c>
      <c r="K1165" t="s">
        <v>378</v>
      </c>
      <c r="L1165" t="s">
        <v>874</v>
      </c>
      <c r="M1165" t="s">
        <v>348</v>
      </c>
      <c r="N1165" t="s">
        <v>538</v>
      </c>
      <c r="O1165" t="s">
        <v>762</v>
      </c>
      <c r="P1165" t="s">
        <v>978</v>
      </c>
      <c r="Q1165" t="s">
        <v>230</v>
      </c>
      <c r="R1165">
        <v>100</v>
      </c>
      <c r="S1165" s="3">
        <v>2.1800000000000002</v>
      </c>
      <c r="T1165" s="3">
        <v>4.5999999999999996</v>
      </c>
      <c r="U1165" s="3">
        <v>-15</v>
      </c>
    </row>
    <row r="1166" spans="1:21" x14ac:dyDescent="0.35">
      <c r="A1166" t="s">
        <v>976</v>
      </c>
      <c r="B1166" t="s">
        <v>384</v>
      </c>
      <c r="C1166" t="s">
        <v>385</v>
      </c>
      <c r="D1166">
        <v>2012</v>
      </c>
      <c r="E1166">
        <v>217</v>
      </c>
      <c r="F1166" t="s">
        <v>600</v>
      </c>
      <c r="G1166" t="s">
        <v>829</v>
      </c>
      <c r="H1166" t="s">
        <v>977</v>
      </c>
      <c r="K1166" t="s">
        <v>394</v>
      </c>
      <c r="M1166" t="s">
        <v>348</v>
      </c>
      <c r="N1166" t="s">
        <v>538</v>
      </c>
      <c r="O1166" t="s">
        <v>762</v>
      </c>
      <c r="P1166" t="s">
        <v>978</v>
      </c>
      <c r="Q1166" t="s">
        <v>230</v>
      </c>
      <c r="R1166">
        <v>0</v>
      </c>
      <c r="S1166" s="3">
        <v>1.83</v>
      </c>
      <c r="T1166" s="3">
        <v>0</v>
      </c>
      <c r="U1166" s="3">
        <v>0</v>
      </c>
    </row>
    <row r="1167" spans="1:21" x14ac:dyDescent="0.35">
      <c r="A1167" t="s">
        <v>976</v>
      </c>
      <c r="B1167" t="s">
        <v>384</v>
      </c>
      <c r="C1167" t="s">
        <v>385</v>
      </c>
      <c r="D1167">
        <v>2012</v>
      </c>
      <c r="E1167">
        <v>217</v>
      </c>
      <c r="F1167" t="s">
        <v>600</v>
      </c>
      <c r="G1167" t="s">
        <v>829</v>
      </c>
      <c r="H1167" t="s">
        <v>977</v>
      </c>
      <c r="K1167" t="s">
        <v>394</v>
      </c>
      <c r="M1167" t="s">
        <v>348</v>
      </c>
      <c r="N1167" t="s">
        <v>538</v>
      </c>
      <c r="O1167" t="s">
        <v>762</v>
      </c>
      <c r="P1167" t="s">
        <v>978</v>
      </c>
      <c r="Q1167" t="s">
        <v>230</v>
      </c>
      <c r="R1167">
        <v>40</v>
      </c>
      <c r="S1167" s="3">
        <v>1.88</v>
      </c>
      <c r="T1167" s="3">
        <v>3.3</v>
      </c>
      <c r="U1167" s="3">
        <v>-7</v>
      </c>
    </row>
    <row r="1168" spans="1:21" x14ac:dyDescent="0.35">
      <c r="A1168" t="s">
        <v>976</v>
      </c>
      <c r="B1168" t="s">
        <v>384</v>
      </c>
      <c r="C1168" t="s">
        <v>385</v>
      </c>
      <c r="D1168">
        <v>2012</v>
      </c>
      <c r="E1168">
        <v>217</v>
      </c>
      <c r="F1168" t="s">
        <v>600</v>
      </c>
      <c r="G1168" t="s">
        <v>829</v>
      </c>
      <c r="H1168" t="s">
        <v>977</v>
      </c>
      <c r="K1168" t="s">
        <v>394</v>
      </c>
      <c r="M1168" t="s">
        <v>348</v>
      </c>
      <c r="N1168" t="s">
        <v>538</v>
      </c>
      <c r="O1168" t="s">
        <v>762</v>
      </c>
      <c r="P1168" t="s">
        <v>978</v>
      </c>
      <c r="Q1168" t="s">
        <v>230</v>
      </c>
      <c r="R1168">
        <v>50</v>
      </c>
      <c r="S1168" s="3">
        <v>1.82</v>
      </c>
      <c r="T1168" s="3">
        <v>4</v>
      </c>
      <c r="U1168" s="3">
        <v>-7</v>
      </c>
    </row>
    <row r="1169" spans="1:21" x14ac:dyDescent="0.35">
      <c r="A1169" t="s">
        <v>976</v>
      </c>
      <c r="B1169" t="s">
        <v>384</v>
      </c>
      <c r="C1169" t="s">
        <v>385</v>
      </c>
      <c r="D1169">
        <v>2012</v>
      </c>
      <c r="E1169">
        <v>217</v>
      </c>
      <c r="F1169" t="s">
        <v>600</v>
      </c>
      <c r="G1169" t="s">
        <v>829</v>
      </c>
      <c r="H1169" t="s">
        <v>977</v>
      </c>
      <c r="K1169" t="s">
        <v>394</v>
      </c>
      <c r="M1169" t="s">
        <v>348</v>
      </c>
      <c r="N1169" t="s">
        <v>538</v>
      </c>
      <c r="O1169" t="s">
        <v>762</v>
      </c>
      <c r="P1169" t="s">
        <v>978</v>
      </c>
      <c r="Q1169" t="s">
        <v>230</v>
      </c>
      <c r="R1169">
        <v>60</v>
      </c>
      <c r="S1169" s="3">
        <v>1.97</v>
      </c>
      <c r="T1169" s="3">
        <v>4.5</v>
      </c>
      <c r="U1169">
        <v>-8</v>
      </c>
    </row>
    <row r="1170" spans="1:21" x14ac:dyDescent="0.35">
      <c r="A1170" t="s">
        <v>976</v>
      </c>
      <c r="B1170" t="s">
        <v>384</v>
      </c>
      <c r="C1170" t="s">
        <v>385</v>
      </c>
      <c r="D1170">
        <v>2012</v>
      </c>
      <c r="E1170">
        <v>217</v>
      </c>
      <c r="F1170" t="s">
        <v>600</v>
      </c>
      <c r="G1170" t="s">
        <v>829</v>
      </c>
      <c r="H1170" t="s">
        <v>977</v>
      </c>
      <c r="K1170" t="s">
        <v>394</v>
      </c>
      <c r="M1170" t="s">
        <v>348</v>
      </c>
      <c r="N1170" t="s">
        <v>538</v>
      </c>
      <c r="O1170" t="s">
        <v>762</v>
      </c>
      <c r="P1170" t="s">
        <v>978</v>
      </c>
      <c r="Q1170" t="s">
        <v>230</v>
      </c>
      <c r="R1170">
        <v>70</v>
      </c>
      <c r="S1170" s="3">
        <v>2.16</v>
      </c>
      <c r="T1170" s="3">
        <v>5.0999999999999996</v>
      </c>
      <c r="U1170" s="3">
        <v>-10.3</v>
      </c>
    </row>
    <row r="1171" spans="1:21" x14ac:dyDescent="0.35">
      <c r="A1171" t="s">
        <v>976</v>
      </c>
      <c r="B1171" t="s">
        <v>384</v>
      </c>
      <c r="C1171" t="s">
        <v>385</v>
      </c>
      <c r="D1171">
        <v>2012</v>
      </c>
      <c r="E1171">
        <v>217</v>
      </c>
      <c r="F1171" t="s">
        <v>600</v>
      </c>
      <c r="G1171" t="s">
        <v>829</v>
      </c>
      <c r="H1171" t="s">
        <v>977</v>
      </c>
      <c r="K1171" t="s">
        <v>394</v>
      </c>
      <c r="M1171" t="s">
        <v>348</v>
      </c>
      <c r="N1171" t="s">
        <v>538</v>
      </c>
      <c r="O1171" t="s">
        <v>762</v>
      </c>
      <c r="P1171" t="s">
        <v>978</v>
      </c>
      <c r="Q1171" t="s">
        <v>230</v>
      </c>
      <c r="R1171">
        <v>80</v>
      </c>
      <c r="S1171" s="3">
        <v>2.38</v>
      </c>
      <c r="T1171" s="3">
        <v>5.0999999999999996</v>
      </c>
      <c r="U1171" s="3">
        <v>-10.9</v>
      </c>
    </row>
    <row r="1172" spans="1:21" x14ac:dyDescent="0.35">
      <c r="A1172" t="s">
        <v>976</v>
      </c>
      <c r="B1172" t="s">
        <v>384</v>
      </c>
      <c r="C1172" t="s">
        <v>385</v>
      </c>
      <c r="D1172">
        <v>2012</v>
      </c>
      <c r="E1172">
        <v>217</v>
      </c>
      <c r="F1172" t="s">
        <v>600</v>
      </c>
      <c r="G1172" t="s">
        <v>829</v>
      </c>
      <c r="H1172" t="s">
        <v>977</v>
      </c>
      <c r="K1172" t="s">
        <v>378</v>
      </c>
      <c r="L1172" t="s">
        <v>574</v>
      </c>
      <c r="M1172" t="s">
        <v>348</v>
      </c>
      <c r="N1172" t="s">
        <v>538</v>
      </c>
      <c r="O1172" t="s">
        <v>762</v>
      </c>
      <c r="P1172" t="s">
        <v>978</v>
      </c>
      <c r="Q1172" t="s">
        <v>230</v>
      </c>
      <c r="R1172">
        <v>60</v>
      </c>
      <c r="S1172" s="3">
        <v>1.88</v>
      </c>
      <c r="T1172" s="3">
        <v>4.5</v>
      </c>
      <c r="U1172" s="3">
        <v>-8</v>
      </c>
    </row>
    <row r="1173" spans="1:21" x14ac:dyDescent="0.35">
      <c r="A1173" t="s">
        <v>976</v>
      </c>
      <c r="B1173" t="s">
        <v>384</v>
      </c>
      <c r="C1173" t="s">
        <v>385</v>
      </c>
      <c r="D1173">
        <v>2012</v>
      </c>
      <c r="E1173">
        <v>217</v>
      </c>
      <c r="F1173" t="s">
        <v>600</v>
      </c>
      <c r="G1173" t="s">
        <v>829</v>
      </c>
      <c r="H1173" t="s">
        <v>977</v>
      </c>
      <c r="K1173" t="s">
        <v>378</v>
      </c>
      <c r="L1173" t="s">
        <v>574</v>
      </c>
      <c r="M1173" t="s">
        <v>348</v>
      </c>
      <c r="N1173" t="s">
        <v>538</v>
      </c>
      <c r="O1173" t="s">
        <v>762</v>
      </c>
      <c r="P1173" t="s">
        <v>978</v>
      </c>
      <c r="Q1173" t="s">
        <v>230</v>
      </c>
      <c r="R1173">
        <v>70</v>
      </c>
      <c r="S1173" s="3">
        <v>1.88</v>
      </c>
      <c r="T1173" s="3">
        <v>5.0999999999999996</v>
      </c>
      <c r="U1173" s="3">
        <v>-8.9</v>
      </c>
    </row>
    <row r="1174" spans="1:21" x14ac:dyDescent="0.35">
      <c r="A1174" t="s">
        <v>495</v>
      </c>
      <c r="B1174" t="s">
        <v>981</v>
      </c>
      <c r="C1174" t="s">
        <v>441</v>
      </c>
      <c r="D1174">
        <v>2013</v>
      </c>
      <c r="E1174">
        <v>218</v>
      </c>
      <c r="F1174" t="s">
        <v>600</v>
      </c>
      <c r="G1174" t="s">
        <v>829</v>
      </c>
      <c r="H1174" t="s">
        <v>833</v>
      </c>
      <c r="K1174" t="s">
        <v>394</v>
      </c>
      <c r="M1174" t="s">
        <v>348</v>
      </c>
      <c r="N1174" t="s">
        <v>538</v>
      </c>
      <c r="O1174" t="s">
        <v>980</v>
      </c>
      <c r="P1174" t="s">
        <v>979</v>
      </c>
      <c r="Q1174" t="s">
        <v>230</v>
      </c>
      <c r="R1174">
        <v>0</v>
      </c>
      <c r="S1174" s="3">
        <v>1.25</v>
      </c>
      <c r="T1174" s="3">
        <v>0</v>
      </c>
    </row>
    <row r="1175" spans="1:21" x14ac:dyDescent="0.35">
      <c r="A1175" t="s">
        <v>495</v>
      </c>
      <c r="B1175" t="s">
        <v>981</v>
      </c>
      <c r="C1175" t="s">
        <v>441</v>
      </c>
      <c r="D1175">
        <v>2013</v>
      </c>
      <c r="E1175">
        <v>218</v>
      </c>
      <c r="F1175" t="s">
        <v>600</v>
      </c>
      <c r="G1175" t="s">
        <v>829</v>
      </c>
      <c r="H1175" t="s">
        <v>833</v>
      </c>
      <c r="K1175" t="s">
        <v>394</v>
      </c>
      <c r="M1175" t="s">
        <v>348</v>
      </c>
      <c r="N1175" t="s">
        <v>538</v>
      </c>
      <c r="O1175" t="s">
        <v>980</v>
      </c>
      <c r="P1175" t="s">
        <v>979</v>
      </c>
      <c r="Q1175" t="s">
        <v>230</v>
      </c>
      <c r="R1175">
        <v>10</v>
      </c>
      <c r="S1175" s="3">
        <v>1.32</v>
      </c>
      <c r="T1175" s="3">
        <v>0.5</v>
      </c>
    </row>
    <row r="1176" spans="1:21" x14ac:dyDescent="0.35">
      <c r="A1176" t="s">
        <v>495</v>
      </c>
      <c r="B1176" t="s">
        <v>981</v>
      </c>
      <c r="C1176" t="s">
        <v>441</v>
      </c>
      <c r="D1176">
        <v>2013</v>
      </c>
      <c r="E1176">
        <v>218</v>
      </c>
      <c r="F1176" t="s">
        <v>600</v>
      </c>
      <c r="G1176" t="s">
        <v>829</v>
      </c>
      <c r="H1176" t="s">
        <v>833</v>
      </c>
      <c r="K1176" t="s">
        <v>394</v>
      </c>
      <c r="M1176" t="s">
        <v>348</v>
      </c>
      <c r="N1176" t="s">
        <v>538</v>
      </c>
      <c r="O1176" t="s">
        <v>980</v>
      </c>
      <c r="P1176" t="s">
        <v>979</v>
      </c>
      <c r="Q1176" t="s">
        <v>230</v>
      </c>
      <c r="R1176">
        <v>20</v>
      </c>
      <c r="S1176" s="3">
        <v>1.33</v>
      </c>
      <c r="T1176" s="3">
        <v>1</v>
      </c>
    </row>
    <row r="1177" spans="1:21" x14ac:dyDescent="0.35">
      <c r="A1177" t="s">
        <v>495</v>
      </c>
      <c r="B1177" t="s">
        <v>981</v>
      </c>
      <c r="C1177" t="s">
        <v>441</v>
      </c>
      <c r="D1177">
        <v>2013</v>
      </c>
      <c r="E1177">
        <v>218</v>
      </c>
      <c r="F1177" t="s">
        <v>600</v>
      </c>
      <c r="G1177" t="s">
        <v>829</v>
      </c>
      <c r="H1177" t="s">
        <v>833</v>
      </c>
      <c r="K1177" t="s">
        <v>394</v>
      </c>
      <c r="M1177" t="s">
        <v>348</v>
      </c>
      <c r="N1177" t="s">
        <v>538</v>
      </c>
      <c r="O1177" t="s">
        <v>980</v>
      </c>
      <c r="P1177" t="s">
        <v>979</v>
      </c>
      <c r="Q1177" t="s">
        <v>230</v>
      </c>
      <c r="R1177">
        <v>30</v>
      </c>
      <c r="S1177" s="3">
        <v>1.33</v>
      </c>
      <c r="T1177" s="3">
        <v>1.5</v>
      </c>
    </row>
    <row r="1178" spans="1:21" x14ac:dyDescent="0.35">
      <c r="A1178" t="s">
        <v>495</v>
      </c>
      <c r="B1178" t="s">
        <v>981</v>
      </c>
      <c r="C1178" t="s">
        <v>441</v>
      </c>
      <c r="D1178">
        <v>2013</v>
      </c>
      <c r="E1178">
        <v>218</v>
      </c>
      <c r="F1178" t="s">
        <v>600</v>
      </c>
      <c r="G1178" t="s">
        <v>829</v>
      </c>
      <c r="H1178" t="s">
        <v>833</v>
      </c>
      <c r="K1178" t="s">
        <v>394</v>
      </c>
      <c r="M1178" t="s">
        <v>348</v>
      </c>
      <c r="N1178" t="s">
        <v>538</v>
      </c>
      <c r="O1178" t="s">
        <v>980</v>
      </c>
      <c r="P1178" t="s">
        <v>979</v>
      </c>
      <c r="Q1178" t="s">
        <v>230</v>
      </c>
      <c r="R1178">
        <v>40</v>
      </c>
      <c r="S1178" s="3">
        <v>1.47</v>
      </c>
      <c r="T1178" s="3">
        <v>2.1</v>
      </c>
    </row>
    <row r="1179" spans="1:21" x14ac:dyDescent="0.35">
      <c r="A1179" t="s">
        <v>723</v>
      </c>
      <c r="B1179" t="s">
        <v>609</v>
      </c>
      <c r="C1179" t="s">
        <v>692</v>
      </c>
      <c r="D1179">
        <v>2016</v>
      </c>
      <c r="E1179">
        <v>219</v>
      </c>
      <c r="F1179" t="s">
        <v>600</v>
      </c>
      <c r="G1179" t="s">
        <v>829</v>
      </c>
      <c r="H1179" t="s">
        <v>868</v>
      </c>
      <c r="K1179" t="s">
        <v>378</v>
      </c>
      <c r="L1179" t="s">
        <v>574</v>
      </c>
      <c r="M1179" t="s">
        <v>348</v>
      </c>
      <c r="N1179" t="s">
        <v>173</v>
      </c>
      <c r="O1179" t="s">
        <v>725</v>
      </c>
      <c r="P1179" t="s">
        <v>724</v>
      </c>
      <c r="Q1179" t="s">
        <v>467</v>
      </c>
      <c r="R1179">
        <v>0</v>
      </c>
      <c r="S1179" s="3">
        <v>1.69</v>
      </c>
      <c r="T1179" s="3">
        <v>0</v>
      </c>
      <c r="U1179" s="3">
        <v>0</v>
      </c>
    </row>
    <row r="1180" spans="1:21" x14ac:dyDescent="0.35">
      <c r="A1180" t="s">
        <v>723</v>
      </c>
      <c r="B1180" t="s">
        <v>609</v>
      </c>
      <c r="C1180" t="s">
        <v>692</v>
      </c>
      <c r="D1180">
        <v>2016</v>
      </c>
      <c r="E1180">
        <v>219</v>
      </c>
      <c r="F1180" t="s">
        <v>600</v>
      </c>
      <c r="G1180" t="s">
        <v>829</v>
      </c>
      <c r="H1180" t="s">
        <v>868</v>
      </c>
      <c r="K1180" t="s">
        <v>378</v>
      </c>
      <c r="L1180" t="s">
        <v>574</v>
      </c>
      <c r="M1180" t="s">
        <v>348</v>
      </c>
      <c r="N1180" t="s">
        <v>173</v>
      </c>
      <c r="O1180" t="s">
        <v>725</v>
      </c>
      <c r="P1180" t="s">
        <v>724</v>
      </c>
      <c r="Q1180" t="s">
        <v>467</v>
      </c>
      <c r="R1180">
        <v>25</v>
      </c>
      <c r="S1180" s="3">
        <v>1.75</v>
      </c>
      <c r="T1180" s="3">
        <v>0.8</v>
      </c>
      <c r="U1180" s="3">
        <v>-3</v>
      </c>
    </row>
    <row r="1181" spans="1:21" x14ac:dyDescent="0.35">
      <c r="A1181" t="s">
        <v>723</v>
      </c>
      <c r="B1181" t="s">
        <v>609</v>
      </c>
      <c r="C1181" t="s">
        <v>692</v>
      </c>
      <c r="D1181">
        <v>2016</v>
      </c>
      <c r="E1181">
        <v>219</v>
      </c>
      <c r="F1181" t="s">
        <v>600</v>
      </c>
      <c r="G1181" t="s">
        <v>829</v>
      </c>
      <c r="H1181" t="s">
        <v>868</v>
      </c>
      <c r="K1181" t="s">
        <v>378</v>
      </c>
      <c r="L1181" t="s">
        <v>574</v>
      </c>
      <c r="M1181" t="s">
        <v>348</v>
      </c>
      <c r="N1181" t="s">
        <v>173</v>
      </c>
      <c r="O1181" t="s">
        <v>725</v>
      </c>
      <c r="P1181" t="s">
        <v>724</v>
      </c>
      <c r="Q1181" t="s">
        <v>467</v>
      </c>
      <c r="R1181">
        <v>50</v>
      </c>
      <c r="S1181" s="3">
        <v>1.85</v>
      </c>
      <c r="T1181" s="3">
        <v>1.8</v>
      </c>
      <c r="U1181" s="3">
        <v>-6.8</v>
      </c>
    </row>
    <row r="1182" spans="1:21" x14ac:dyDescent="0.35">
      <c r="A1182" t="s">
        <v>723</v>
      </c>
      <c r="B1182" t="s">
        <v>609</v>
      </c>
      <c r="C1182" t="s">
        <v>692</v>
      </c>
      <c r="D1182">
        <v>2016</v>
      </c>
      <c r="E1182">
        <v>219</v>
      </c>
      <c r="F1182" t="s">
        <v>600</v>
      </c>
      <c r="G1182" t="s">
        <v>829</v>
      </c>
      <c r="H1182" t="s">
        <v>868</v>
      </c>
      <c r="K1182" t="s">
        <v>378</v>
      </c>
      <c r="L1182" t="s">
        <v>574</v>
      </c>
      <c r="M1182" t="s">
        <v>348</v>
      </c>
      <c r="N1182" t="s">
        <v>173</v>
      </c>
      <c r="O1182" t="s">
        <v>725</v>
      </c>
      <c r="P1182" t="s">
        <v>724</v>
      </c>
      <c r="Q1182" t="s">
        <v>467</v>
      </c>
      <c r="R1182">
        <v>75</v>
      </c>
      <c r="S1182" s="3">
        <v>2.0299999999999998</v>
      </c>
      <c r="T1182" s="3">
        <v>1.8</v>
      </c>
      <c r="U1182">
        <v>-11.8</v>
      </c>
    </row>
    <row r="1183" spans="1:21" x14ac:dyDescent="0.35">
      <c r="A1183" t="s">
        <v>723</v>
      </c>
      <c r="B1183" t="s">
        <v>609</v>
      </c>
      <c r="C1183" t="s">
        <v>692</v>
      </c>
      <c r="D1183">
        <v>2016</v>
      </c>
      <c r="E1183">
        <v>219</v>
      </c>
      <c r="F1183" t="s">
        <v>600</v>
      </c>
      <c r="G1183" t="s">
        <v>829</v>
      </c>
      <c r="H1183" t="s">
        <v>868</v>
      </c>
      <c r="K1183" t="s">
        <v>378</v>
      </c>
      <c r="L1183" t="s">
        <v>574</v>
      </c>
      <c r="M1183" t="s">
        <v>348</v>
      </c>
      <c r="N1183" t="s">
        <v>173</v>
      </c>
      <c r="O1183" t="s">
        <v>725</v>
      </c>
      <c r="P1183" t="s">
        <v>724</v>
      </c>
      <c r="Q1183" t="s">
        <v>467</v>
      </c>
      <c r="R1183">
        <v>100</v>
      </c>
      <c r="S1183" s="3">
        <v>1.98</v>
      </c>
      <c r="T1183" s="3">
        <v>2.8</v>
      </c>
      <c r="U1183" s="3">
        <v>-1.58</v>
      </c>
    </row>
    <row r="1184" spans="1:21" x14ac:dyDescent="0.35">
      <c r="A1184" t="s">
        <v>984</v>
      </c>
      <c r="B1184" t="s">
        <v>398</v>
      </c>
      <c r="C1184" t="s">
        <v>370</v>
      </c>
      <c r="D1184">
        <v>2015</v>
      </c>
      <c r="E1184">
        <v>220</v>
      </c>
      <c r="F1184" t="s">
        <v>600</v>
      </c>
      <c r="G1184" t="s">
        <v>829</v>
      </c>
      <c r="H1184" t="s">
        <v>832</v>
      </c>
      <c r="K1184" t="s">
        <v>394</v>
      </c>
      <c r="M1184" t="s">
        <v>348</v>
      </c>
      <c r="N1184" t="s">
        <v>538</v>
      </c>
      <c r="O1184" t="s">
        <v>983</v>
      </c>
      <c r="P1184" t="s">
        <v>982</v>
      </c>
      <c r="Q1184" t="s">
        <v>520</v>
      </c>
      <c r="R1184">
        <v>0</v>
      </c>
      <c r="S1184" s="3">
        <v>1.23</v>
      </c>
      <c r="T1184" s="3">
        <f>0</f>
        <v>0</v>
      </c>
      <c r="U1184" s="3">
        <v>0</v>
      </c>
    </row>
    <row r="1185" spans="1:21" x14ac:dyDescent="0.35">
      <c r="A1185" t="s">
        <v>984</v>
      </c>
      <c r="B1185" t="s">
        <v>398</v>
      </c>
      <c r="C1185" t="s">
        <v>370</v>
      </c>
      <c r="D1185">
        <v>2015</v>
      </c>
      <c r="E1185">
        <v>220</v>
      </c>
      <c r="F1185" t="s">
        <v>600</v>
      </c>
      <c r="G1185" t="s">
        <v>829</v>
      </c>
      <c r="H1185" t="s">
        <v>832</v>
      </c>
      <c r="K1185" t="s">
        <v>394</v>
      </c>
      <c r="M1185" t="s">
        <v>348</v>
      </c>
      <c r="N1185" t="s">
        <v>538</v>
      </c>
      <c r="O1185" t="s">
        <v>983</v>
      </c>
      <c r="P1185" t="s">
        <v>982</v>
      </c>
      <c r="Q1185" t="s">
        <v>520</v>
      </c>
      <c r="R1185">
        <v>20</v>
      </c>
      <c r="S1185" s="3">
        <f>1/0.78</f>
        <v>1.2820512820512819</v>
      </c>
      <c r="T1185" s="3">
        <v>0.6</v>
      </c>
      <c r="U1185" s="3">
        <v>-0.11</v>
      </c>
    </row>
    <row r="1186" spans="1:21" x14ac:dyDescent="0.35">
      <c r="A1186" t="s">
        <v>984</v>
      </c>
      <c r="B1186" t="s">
        <v>398</v>
      </c>
      <c r="C1186" t="s">
        <v>370</v>
      </c>
      <c r="D1186">
        <v>2015</v>
      </c>
      <c r="E1186">
        <v>220</v>
      </c>
      <c r="F1186" t="s">
        <v>600</v>
      </c>
      <c r="G1186" t="s">
        <v>829</v>
      </c>
      <c r="H1186" t="s">
        <v>832</v>
      </c>
      <c r="K1186" t="s">
        <v>394</v>
      </c>
      <c r="M1186" t="s">
        <v>348</v>
      </c>
      <c r="N1186" t="s">
        <v>538</v>
      </c>
      <c r="O1186" t="s">
        <v>983</v>
      </c>
      <c r="P1186" t="s">
        <v>982</v>
      </c>
      <c r="Q1186" t="s">
        <v>520</v>
      </c>
      <c r="R1186">
        <v>20</v>
      </c>
      <c r="S1186" s="3">
        <f>1/0.72</f>
        <v>1.3888888888888888</v>
      </c>
      <c r="T1186" s="3">
        <v>1.1000000000000001</v>
      </c>
      <c r="U1186" s="3">
        <v>-0.23</v>
      </c>
    </row>
    <row r="1187" spans="1:21" x14ac:dyDescent="0.35">
      <c r="A1187" t="s">
        <v>984</v>
      </c>
      <c r="B1187" t="s">
        <v>398</v>
      </c>
      <c r="C1187" t="s">
        <v>370</v>
      </c>
      <c r="D1187">
        <v>2015</v>
      </c>
      <c r="E1187">
        <v>220</v>
      </c>
      <c r="F1187" t="s">
        <v>600</v>
      </c>
      <c r="G1187" t="s">
        <v>829</v>
      </c>
      <c r="H1187" t="s">
        <v>832</v>
      </c>
      <c r="K1187" t="s">
        <v>394</v>
      </c>
      <c r="M1187" t="s">
        <v>348</v>
      </c>
      <c r="N1187" t="s">
        <v>538</v>
      </c>
      <c r="O1187" t="s">
        <v>983</v>
      </c>
      <c r="P1187" t="s">
        <v>982</v>
      </c>
      <c r="Q1187" t="s">
        <v>520</v>
      </c>
      <c r="R1187">
        <v>30</v>
      </c>
      <c r="S1187" s="3">
        <f>1/0.63</f>
        <v>1.5873015873015872</v>
      </c>
      <c r="T1187" s="3">
        <v>1.7</v>
      </c>
      <c r="U1187" s="3">
        <v>-0.34</v>
      </c>
    </row>
    <row r="1188" spans="1:21" x14ac:dyDescent="0.35">
      <c r="A1188" t="s">
        <v>984</v>
      </c>
      <c r="B1188" t="s">
        <v>398</v>
      </c>
      <c r="C1188" t="s">
        <v>370</v>
      </c>
      <c r="D1188">
        <v>2015</v>
      </c>
      <c r="E1188">
        <v>220</v>
      </c>
      <c r="F1188" t="s">
        <v>600</v>
      </c>
      <c r="G1188" t="s">
        <v>829</v>
      </c>
      <c r="H1188" t="s">
        <v>868</v>
      </c>
      <c r="K1188" t="s">
        <v>394</v>
      </c>
      <c r="M1188" t="s">
        <v>348</v>
      </c>
      <c r="N1188" t="s">
        <v>538</v>
      </c>
      <c r="O1188" t="s">
        <v>983</v>
      </c>
      <c r="P1188" t="s">
        <v>982</v>
      </c>
      <c r="Q1188" t="s">
        <v>520</v>
      </c>
      <c r="R1188">
        <v>0</v>
      </c>
      <c r="S1188" s="3">
        <f>1/0.78</f>
        <v>1.2820512820512819</v>
      </c>
      <c r="T1188" s="3">
        <v>0</v>
      </c>
      <c r="U1188" s="3">
        <v>0</v>
      </c>
    </row>
    <row r="1189" spans="1:21" x14ac:dyDescent="0.35">
      <c r="A1189" t="s">
        <v>984</v>
      </c>
      <c r="B1189" t="s">
        <v>398</v>
      </c>
      <c r="C1189" t="s">
        <v>370</v>
      </c>
      <c r="D1189">
        <v>2015</v>
      </c>
      <c r="E1189">
        <v>220</v>
      </c>
      <c r="F1189" t="s">
        <v>600</v>
      </c>
      <c r="G1189" t="s">
        <v>829</v>
      </c>
      <c r="H1189" t="s">
        <v>868</v>
      </c>
      <c r="K1189" t="s">
        <v>394</v>
      </c>
      <c r="M1189" t="s">
        <v>348</v>
      </c>
      <c r="N1189" t="s">
        <v>538</v>
      </c>
      <c r="O1189" t="s">
        <v>983</v>
      </c>
      <c r="P1189" t="s">
        <v>982</v>
      </c>
      <c r="Q1189" t="s">
        <v>520</v>
      </c>
      <c r="R1189">
        <v>20</v>
      </c>
      <c r="S1189" s="3">
        <f>1/0.81</f>
        <v>1.2345679012345678</v>
      </c>
      <c r="T1189" s="3">
        <v>0.6</v>
      </c>
      <c r="U1189" s="3">
        <v>-0.1</v>
      </c>
    </row>
    <row r="1190" spans="1:21" x14ac:dyDescent="0.35">
      <c r="A1190" t="s">
        <v>984</v>
      </c>
      <c r="B1190" t="s">
        <v>398</v>
      </c>
      <c r="C1190" t="s">
        <v>370</v>
      </c>
      <c r="D1190">
        <v>2015</v>
      </c>
      <c r="E1190">
        <v>220</v>
      </c>
      <c r="F1190" t="s">
        <v>600</v>
      </c>
      <c r="G1190" t="s">
        <v>829</v>
      </c>
      <c r="H1190" t="s">
        <v>868</v>
      </c>
      <c r="K1190" t="s">
        <v>394</v>
      </c>
      <c r="M1190" t="s">
        <v>348</v>
      </c>
      <c r="N1190" t="s">
        <v>538</v>
      </c>
      <c r="O1190" t="s">
        <v>983</v>
      </c>
      <c r="P1190" t="s">
        <v>982</v>
      </c>
      <c r="Q1190" t="s">
        <v>520</v>
      </c>
      <c r="R1190">
        <v>20</v>
      </c>
      <c r="S1190" s="3">
        <f>1/0.77</f>
        <v>1.2987012987012987</v>
      </c>
      <c r="T1190" s="3">
        <v>1.1000000000000001</v>
      </c>
      <c r="U1190" s="3">
        <v>-0.19</v>
      </c>
    </row>
    <row r="1191" spans="1:21" x14ac:dyDescent="0.35">
      <c r="A1191" t="s">
        <v>984</v>
      </c>
      <c r="B1191" t="s">
        <v>398</v>
      </c>
      <c r="C1191" t="s">
        <v>370</v>
      </c>
      <c r="D1191">
        <v>2015</v>
      </c>
      <c r="E1191">
        <v>220</v>
      </c>
      <c r="F1191" t="s">
        <v>600</v>
      </c>
      <c r="G1191" t="s">
        <v>829</v>
      </c>
      <c r="H1191" t="s">
        <v>868</v>
      </c>
      <c r="K1191" t="s">
        <v>394</v>
      </c>
      <c r="M1191" t="s">
        <v>348</v>
      </c>
      <c r="N1191" t="s">
        <v>538</v>
      </c>
      <c r="O1191" t="s">
        <v>983</v>
      </c>
      <c r="P1191" t="s">
        <v>982</v>
      </c>
      <c r="Q1191" t="s">
        <v>520</v>
      </c>
      <c r="R1191">
        <v>30</v>
      </c>
      <c r="S1191" s="3">
        <f>1/0.75</f>
        <v>1.3333333333333333</v>
      </c>
      <c r="T1191" s="3">
        <v>1.7</v>
      </c>
      <c r="U1191" s="3">
        <v>-0.28999999999999998</v>
      </c>
    </row>
    <row r="1192" spans="1:21" x14ac:dyDescent="0.35">
      <c r="A1192" t="s">
        <v>984</v>
      </c>
      <c r="B1192" t="s">
        <v>398</v>
      </c>
      <c r="C1192" t="s">
        <v>370</v>
      </c>
      <c r="D1192">
        <v>2015</v>
      </c>
      <c r="E1192">
        <v>220</v>
      </c>
      <c r="F1192" t="s">
        <v>600</v>
      </c>
      <c r="G1192" t="s">
        <v>829</v>
      </c>
      <c r="H1192" t="s">
        <v>868</v>
      </c>
      <c r="K1192" t="s">
        <v>394</v>
      </c>
      <c r="M1192" t="s">
        <v>348</v>
      </c>
      <c r="N1192" t="s">
        <v>538</v>
      </c>
      <c r="O1192" t="s">
        <v>983</v>
      </c>
      <c r="P1192" t="s">
        <v>982</v>
      </c>
      <c r="Q1192" t="s">
        <v>520</v>
      </c>
      <c r="R1192">
        <v>40</v>
      </c>
      <c r="S1192" s="3">
        <f>1/0.62</f>
        <v>1.6129032258064517</v>
      </c>
      <c r="T1192" s="3">
        <v>2.2000000000000002</v>
      </c>
      <c r="U1192" s="3">
        <v>-0.39</v>
      </c>
    </row>
    <row r="1193" spans="1:21" x14ac:dyDescent="0.35">
      <c r="A1193" t="s">
        <v>985</v>
      </c>
      <c r="B1193" t="s">
        <v>522</v>
      </c>
      <c r="C1193" t="s">
        <v>456</v>
      </c>
      <c r="D1193">
        <v>2012</v>
      </c>
      <c r="E1193">
        <v>221</v>
      </c>
      <c r="F1193" t="s">
        <v>600</v>
      </c>
      <c r="G1193" t="s">
        <v>829</v>
      </c>
      <c r="H1193" t="s">
        <v>832</v>
      </c>
      <c r="K1193" t="s">
        <v>378</v>
      </c>
      <c r="L1193" t="s">
        <v>377</v>
      </c>
      <c r="M1193" t="s">
        <v>348</v>
      </c>
      <c r="N1193" t="s">
        <v>538</v>
      </c>
      <c r="O1193" t="s">
        <v>986</v>
      </c>
      <c r="P1193" t="s">
        <v>987</v>
      </c>
      <c r="Q1193" t="s">
        <v>230</v>
      </c>
      <c r="R1193">
        <v>0</v>
      </c>
      <c r="S1193" s="3">
        <v>1.28</v>
      </c>
      <c r="T1193" s="3">
        <v>0</v>
      </c>
      <c r="U1193" s="3">
        <v>0</v>
      </c>
    </row>
    <row r="1194" spans="1:21" x14ac:dyDescent="0.35">
      <c r="A1194" t="s">
        <v>985</v>
      </c>
      <c r="B1194" t="s">
        <v>522</v>
      </c>
      <c r="C1194" t="s">
        <v>456</v>
      </c>
      <c r="D1194">
        <v>2012</v>
      </c>
      <c r="E1194">
        <v>221</v>
      </c>
      <c r="F1194" t="s">
        <v>600</v>
      </c>
      <c r="G1194" t="s">
        <v>829</v>
      </c>
      <c r="H1194" t="s">
        <v>832</v>
      </c>
      <c r="K1194" t="s">
        <v>378</v>
      </c>
      <c r="L1194" t="s">
        <v>377</v>
      </c>
      <c r="M1194" t="s">
        <v>348</v>
      </c>
      <c r="N1194" t="s">
        <v>538</v>
      </c>
      <c r="O1194" t="s">
        <v>986</v>
      </c>
      <c r="P1194" t="s">
        <v>987</v>
      </c>
      <c r="Q1194" t="s">
        <v>230</v>
      </c>
      <c r="R1194">
        <v>20</v>
      </c>
      <c r="S1194" s="3">
        <v>1.22</v>
      </c>
      <c r="T1194" s="3">
        <v>0.5</v>
      </c>
      <c r="U1194" s="3">
        <v>0</v>
      </c>
    </row>
    <row r="1195" spans="1:21" x14ac:dyDescent="0.35">
      <c r="A1195" t="s">
        <v>985</v>
      </c>
      <c r="B1195" t="s">
        <v>522</v>
      </c>
      <c r="C1195" t="s">
        <v>456</v>
      </c>
      <c r="D1195">
        <v>2012</v>
      </c>
      <c r="E1195">
        <v>221</v>
      </c>
      <c r="F1195" t="s">
        <v>600</v>
      </c>
      <c r="G1195" t="s">
        <v>829</v>
      </c>
      <c r="H1195" t="s">
        <v>832</v>
      </c>
      <c r="K1195" t="s">
        <v>378</v>
      </c>
      <c r="L1195" t="s">
        <v>377</v>
      </c>
      <c r="M1195" t="s">
        <v>348</v>
      </c>
      <c r="N1195" t="s">
        <v>538</v>
      </c>
      <c r="O1195" t="s">
        <v>986</v>
      </c>
      <c r="P1195" t="s">
        <v>987</v>
      </c>
      <c r="Q1195" t="s">
        <v>230</v>
      </c>
      <c r="R1195">
        <v>40</v>
      </c>
      <c r="S1195" s="3">
        <v>1.24</v>
      </c>
      <c r="T1195" s="3">
        <v>1</v>
      </c>
      <c r="U1195" s="3">
        <v>0</v>
      </c>
    </row>
    <row r="1196" spans="1:21" x14ac:dyDescent="0.35">
      <c r="A1196" t="s">
        <v>985</v>
      </c>
      <c r="B1196" t="s">
        <v>522</v>
      </c>
      <c r="C1196" t="s">
        <v>456</v>
      </c>
      <c r="D1196">
        <v>2012</v>
      </c>
      <c r="E1196">
        <v>221</v>
      </c>
      <c r="F1196" t="s">
        <v>600</v>
      </c>
      <c r="G1196" t="s">
        <v>829</v>
      </c>
      <c r="H1196" t="s">
        <v>832</v>
      </c>
      <c r="K1196" t="s">
        <v>378</v>
      </c>
      <c r="L1196" t="s">
        <v>377</v>
      </c>
      <c r="M1196" t="s">
        <v>348</v>
      </c>
      <c r="N1196" t="s">
        <v>538</v>
      </c>
      <c r="O1196" t="s">
        <v>986</v>
      </c>
      <c r="P1196" t="s">
        <v>987</v>
      </c>
      <c r="Q1196" t="s">
        <v>230</v>
      </c>
      <c r="R1196">
        <v>60</v>
      </c>
      <c r="S1196" s="3">
        <v>1.31</v>
      </c>
      <c r="T1196" s="3">
        <v>1.5</v>
      </c>
      <c r="U1196" s="3">
        <v>0</v>
      </c>
    </row>
    <row r="1197" spans="1:21" x14ac:dyDescent="0.35">
      <c r="A1197" t="s">
        <v>988</v>
      </c>
      <c r="B1197" t="s">
        <v>522</v>
      </c>
      <c r="C1197" t="s">
        <v>989</v>
      </c>
      <c r="D1197">
        <v>2012</v>
      </c>
      <c r="E1197">
        <v>222</v>
      </c>
      <c r="F1197" t="s">
        <v>600</v>
      </c>
      <c r="G1197" t="s">
        <v>829</v>
      </c>
      <c r="H1197" t="s">
        <v>851</v>
      </c>
      <c r="K1197" t="s">
        <v>378</v>
      </c>
      <c r="L1197" t="s">
        <v>991</v>
      </c>
      <c r="M1197" t="s">
        <v>348</v>
      </c>
      <c r="N1197" t="s">
        <v>380</v>
      </c>
      <c r="O1197" t="s">
        <v>413</v>
      </c>
      <c r="P1197" t="s">
        <v>131</v>
      </c>
      <c r="Q1197" t="s">
        <v>230</v>
      </c>
      <c r="R1197">
        <v>0</v>
      </c>
      <c r="S1197" s="3">
        <v>0.98</v>
      </c>
      <c r="T1197" s="3">
        <v>0</v>
      </c>
      <c r="U1197" s="3">
        <v>0</v>
      </c>
    </row>
    <row r="1198" spans="1:21" x14ac:dyDescent="0.35">
      <c r="A1198" t="s">
        <v>988</v>
      </c>
      <c r="B1198" t="s">
        <v>522</v>
      </c>
      <c r="C1198" t="s">
        <v>989</v>
      </c>
      <c r="D1198">
        <v>2012</v>
      </c>
      <c r="E1198">
        <v>222</v>
      </c>
      <c r="F1198" t="s">
        <v>600</v>
      </c>
      <c r="G1198" t="s">
        <v>829</v>
      </c>
      <c r="H1198" t="s">
        <v>851</v>
      </c>
      <c r="K1198" t="s">
        <v>378</v>
      </c>
      <c r="L1198" t="s">
        <v>991</v>
      </c>
      <c r="M1198" t="s">
        <v>348</v>
      </c>
      <c r="N1198" t="s">
        <v>380</v>
      </c>
      <c r="O1198" t="s">
        <v>413</v>
      </c>
      <c r="P1198" t="s">
        <v>131</v>
      </c>
      <c r="Q1198" t="s">
        <v>230</v>
      </c>
      <c r="R1198">
        <v>100</v>
      </c>
      <c r="S1198" s="3">
        <v>1.0900000000000001</v>
      </c>
      <c r="T1198" s="3">
        <v>6.3</v>
      </c>
      <c r="U1198" s="3">
        <v>-5.5</v>
      </c>
    </row>
    <row r="1199" spans="1:21" x14ac:dyDescent="0.35">
      <c r="A1199" t="s">
        <v>988</v>
      </c>
      <c r="B1199" t="s">
        <v>522</v>
      </c>
      <c r="C1199" t="s">
        <v>989</v>
      </c>
      <c r="D1199">
        <v>2012</v>
      </c>
      <c r="E1199">
        <v>222</v>
      </c>
      <c r="F1199" t="s">
        <v>600</v>
      </c>
      <c r="G1199" t="s">
        <v>829</v>
      </c>
      <c r="H1199" t="s">
        <v>851</v>
      </c>
      <c r="K1199" t="s">
        <v>378</v>
      </c>
      <c r="L1199" t="s">
        <v>991</v>
      </c>
      <c r="M1199" t="s">
        <v>348</v>
      </c>
      <c r="N1199" t="s">
        <v>380</v>
      </c>
      <c r="O1199" t="s">
        <v>413</v>
      </c>
      <c r="P1199" t="s">
        <v>131</v>
      </c>
      <c r="Q1199" t="s">
        <v>230</v>
      </c>
      <c r="R1199">
        <v>100</v>
      </c>
      <c r="S1199" s="3">
        <v>1.04</v>
      </c>
      <c r="T1199" s="3">
        <v>6.3</v>
      </c>
      <c r="U1199" s="3">
        <v>-7.5</v>
      </c>
    </row>
    <row r="1200" spans="1:21" x14ac:dyDescent="0.35">
      <c r="A1200" t="s">
        <v>988</v>
      </c>
      <c r="B1200" t="s">
        <v>522</v>
      </c>
      <c r="C1200" t="s">
        <v>989</v>
      </c>
      <c r="D1200">
        <v>2012</v>
      </c>
      <c r="E1200">
        <v>222</v>
      </c>
      <c r="F1200" t="s">
        <v>600</v>
      </c>
      <c r="G1200" t="s">
        <v>829</v>
      </c>
      <c r="H1200" t="s">
        <v>851</v>
      </c>
      <c r="K1200" t="s">
        <v>378</v>
      </c>
      <c r="L1200" t="s">
        <v>990</v>
      </c>
      <c r="M1200" t="s">
        <v>348</v>
      </c>
      <c r="N1200" t="s">
        <v>380</v>
      </c>
      <c r="O1200" t="s">
        <v>413</v>
      </c>
      <c r="P1200" t="s">
        <v>131</v>
      </c>
      <c r="Q1200" t="s">
        <v>230</v>
      </c>
      <c r="R1200">
        <v>100</v>
      </c>
      <c r="S1200" s="3">
        <v>0.97</v>
      </c>
      <c r="T1200" s="3">
        <v>6.3</v>
      </c>
      <c r="U1200" s="3">
        <v>-7.7</v>
      </c>
    </row>
    <row r="1201" spans="1:21" x14ac:dyDescent="0.35">
      <c r="A1201" t="s">
        <v>992</v>
      </c>
      <c r="B1201" t="s">
        <v>522</v>
      </c>
      <c r="C1201" t="s">
        <v>370</v>
      </c>
      <c r="D1201">
        <v>2014</v>
      </c>
      <c r="E1201">
        <v>223</v>
      </c>
      <c r="F1201" t="s">
        <v>600</v>
      </c>
      <c r="G1201" t="s">
        <v>829</v>
      </c>
      <c r="H1201" t="s">
        <v>993</v>
      </c>
      <c r="K1201" t="s">
        <v>394</v>
      </c>
      <c r="M1201" t="s">
        <v>348</v>
      </c>
      <c r="N1201" t="s">
        <v>538</v>
      </c>
      <c r="O1201" t="s">
        <v>884</v>
      </c>
      <c r="P1201" t="s">
        <v>882</v>
      </c>
      <c r="Q1201" t="s">
        <v>230</v>
      </c>
      <c r="R1201">
        <v>0</v>
      </c>
      <c r="S1201" s="3">
        <v>0.84</v>
      </c>
      <c r="T1201" s="3">
        <v>0</v>
      </c>
      <c r="U1201" s="3">
        <v>0</v>
      </c>
    </row>
    <row r="1202" spans="1:21" x14ac:dyDescent="0.35">
      <c r="A1202" t="s">
        <v>992</v>
      </c>
      <c r="B1202" t="s">
        <v>522</v>
      </c>
      <c r="C1202" t="s">
        <v>370</v>
      </c>
      <c r="D1202">
        <v>2014</v>
      </c>
      <c r="E1202">
        <v>223</v>
      </c>
      <c r="F1202" t="s">
        <v>600</v>
      </c>
      <c r="G1202" t="s">
        <v>829</v>
      </c>
      <c r="H1202" t="s">
        <v>993</v>
      </c>
      <c r="K1202" t="s">
        <v>394</v>
      </c>
      <c r="M1202" t="s">
        <v>348</v>
      </c>
      <c r="N1202" t="s">
        <v>538</v>
      </c>
      <c r="O1202" t="s">
        <v>884</v>
      </c>
      <c r="P1202" t="s">
        <v>882</v>
      </c>
      <c r="Q1202" t="s">
        <v>230</v>
      </c>
      <c r="R1202">
        <v>15</v>
      </c>
      <c r="S1202" s="3">
        <v>0.74</v>
      </c>
      <c r="T1202" s="3">
        <v>0.6</v>
      </c>
      <c r="U1202" s="3">
        <v>0</v>
      </c>
    </row>
    <row r="1203" spans="1:21" x14ac:dyDescent="0.35">
      <c r="A1203" t="s">
        <v>992</v>
      </c>
      <c r="B1203" t="s">
        <v>522</v>
      </c>
      <c r="C1203" t="s">
        <v>370</v>
      </c>
      <c r="D1203">
        <v>2014</v>
      </c>
      <c r="E1203">
        <v>223</v>
      </c>
      <c r="F1203" t="s">
        <v>600</v>
      </c>
      <c r="G1203" t="s">
        <v>829</v>
      </c>
      <c r="H1203" t="s">
        <v>993</v>
      </c>
      <c r="K1203" t="s">
        <v>394</v>
      </c>
      <c r="M1203" t="s">
        <v>348</v>
      </c>
      <c r="N1203" t="s">
        <v>538</v>
      </c>
      <c r="O1203" t="s">
        <v>884</v>
      </c>
      <c r="P1203" t="s">
        <v>882</v>
      </c>
      <c r="Q1203" t="s">
        <v>230</v>
      </c>
      <c r="R1203">
        <v>30</v>
      </c>
      <c r="S1203" s="3">
        <v>0.72</v>
      </c>
      <c r="T1203" s="3">
        <v>1.4</v>
      </c>
      <c r="U1203" s="3">
        <v>0</v>
      </c>
    </row>
    <row r="1204" spans="1:21" x14ac:dyDescent="0.35">
      <c r="A1204" t="s">
        <v>992</v>
      </c>
      <c r="B1204" t="s">
        <v>522</v>
      </c>
      <c r="C1204" t="s">
        <v>370</v>
      </c>
      <c r="D1204">
        <v>2014</v>
      </c>
      <c r="E1204">
        <v>223</v>
      </c>
      <c r="F1204" t="s">
        <v>600</v>
      </c>
      <c r="G1204" t="s">
        <v>829</v>
      </c>
      <c r="H1204" t="s">
        <v>993</v>
      </c>
      <c r="K1204" t="s">
        <v>394</v>
      </c>
      <c r="M1204" t="s">
        <v>348</v>
      </c>
      <c r="N1204" t="s">
        <v>538</v>
      </c>
      <c r="O1204" t="s">
        <v>884</v>
      </c>
      <c r="P1204" t="s">
        <v>882</v>
      </c>
      <c r="Q1204" t="s">
        <v>230</v>
      </c>
      <c r="R1204">
        <v>50</v>
      </c>
      <c r="S1204" s="3">
        <v>0.78</v>
      </c>
      <c r="T1204" s="3">
        <v>2.2000000000000002</v>
      </c>
      <c r="U1204" s="3">
        <v>0</v>
      </c>
    </row>
    <row r="1205" spans="1:21" x14ac:dyDescent="0.35">
      <c r="A1205" t="s">
        <v>992</v>
      </c>
      <c r="B1205" t="s">
        <v>522</v>
      </c>
      <c r="C1205" t="s">
        <v>370</v>
      </c>
      <c r="D1205">
        <v>2014</v>
      </c>
      <c r="E1205">
        <v>223</v>
      </c>
      <c r="F1205" t="s">
        <v>600</v>
      </c>
      <c r="G1205" t="s">
        <v>829</v>
      </c>
      <c r="H1205" t="s">
        <v>993</v>
      </c>
      <c r="K1205" t="s">
        <v>394</v>
      </c>
      <c r="M1205" t="s">
        <v>348</v>
      </c>
      <c r="N1205" t="s">
        <v>538</v>
      </c>
      <c r="O1205" t="s">
        <v>884</v>
      </c>
      <c r="P1205" t="s">
        <v>882</v>
      </c>
      <c r="Q1205" t="s">
        <v>230</v>
      </c>
      <c r="R1205">
        <v>70</v>
      </c>
      <c r="S1205" s="3">
        <v>0.85</v>
      </c>
      <c r="T1205" s="3">
        <v>3.2</v>
      </c>
      <c r="U1205" s="3">
        <v>0</v>
      </c>
    </row>
    <row r="1206" spans="1:21" x14ac:dyDescent="0.35">
      <c r="A1206" t="s">
        <v>992</v>
      </c>
      <c r="B1206" t="s">
        <v>522</v>
      </c>
      <c r="C1206" t="s">
        <v>370</v>
      </c>
      <c r="D1206">
        <v>2014</v>
      </c>
      <c r="E1206">
        <v>223</v>
      </c>
      <c r="F1206" t="s">
        <v>600</v>
      </c>
      <c r="G1206" t="s">
        <v>829</v>
      </c>
      <c r="H1206" t="s">
        <v>993</v>
      </c>
      <c r="K1206" t="s">
        <v>394</v>
      </c>
      <c r="M1206" t="s">
        <v>348</v>
      </c>
      <c r="N1206" t="s">
        <v>538</v>
      </c>
      <c r="O1206" t="s">
        <v>884</v>
      </c>
      <c r="P1206" t="s">
        <v>882</v>
      </c>
      <c r="Q1206" t="s">
        <v>230</v>
      </c>
      <c r="R1206">
        <v>85</v>
      </c>
      <c r="S1206" s="3">
        <v>0.92</v>
      </c>
      <c r="T1206" s="3">
        <v>4.5</v>
      </c>
      <c r="U1206" s="3">
        <v>0</v>
      </c>
    </row>
    <row r="1207" spans="1:21" x14ac:dyDescent="0.35">
      <c r="A1207" t="s">
        <v>992</v>
      </c>
      <c r="B1207" t="s">
        <v>522</v>
      </c>
      <c r="C1207" t="s">
        <v>370</v>
      </c>
      <c r="D1207">
        <v>2014</v>
      </c>
      <c r="E1207">
        <v>223</v>
      </c>
      <c r="F1207" t="s">
        <v>600</v>
      </c>
      <c r="G1207" t="s">
        <v>829</v>
      </c>
      <c r="H1207" t="s">
        <v>993</v>
      </c>
      <c r="K1207" t="s">
        <v>394</v>
      </c>
      <c r="M1207" t="s">
        <v>348</v>
      </c>
      <c r="N1207" t="s">
        <v>538</v>
      </c>
      <c r="O1207" t="s">
        <v>884</v>
      </c>
      <c r="P1207" t="s">
        <v>882</v>
      </c>
      <c r="Q1207" t="s">
        <v>230</v>
      </c>
      <c r="R1207">
        <v>100</v>
      </c>
      <c r="S1207" s="3">
        <v>0.97</v>
      </c>
      <c r="T1207" s="3">
        <v>5.7</v>
      </c>
      <c r="U1207" s="3">
        <v>0</v>
      </c>
    </row>
    <row r="1208" spans="1:21" x14ac:dyDescent="0.35">
      <c r="A1208" t="s">
        <v>994</v>
      </c>
      <c r="B1208" t="s">
        <v>522</v>
      </c>
      <c r="C1208" t="s">
        <v>385</v>
      </c>
      <c r="D1208">
        <v>2013</v>
      </c>
      <c r="E1208">
        <v>224</v>
      </c>
      <c r="F1208" t="s">
        <v>600</v>
      </c>
      <c r="G1208" t="s">
        <v>829</v>
      </c>
      <c r="H1208" t="s">
        <v>964</v>
      </c>
      <c r="K1208" t="s">
        <v>478</v>
      </c>
      <c r="L1208" t="s">
        <v>995</v>
      </c>
      <c r="M1208" t="s">
        <v>348</v>
      </c>
      <c r="N1208" t="s">
        <v>538</v>
      </c>
      <c r="O1208" t="s">
        <v>705</v>
      </c>
      <c r="P1208" s="2" t="s">
        <v>706</v>
      </c>
      <c r="Q1208" s="2" t="s">
        <v>230</v>
      </c>
      <c r="R1208">
        <v>0</v>
      </c>
      <c r="S1208" s="3">
        <v>2.4</v>
      </c>
      <c r="T1208" s="3">
        <v>0</v>
      </c>
      <c r="U1208" s="3">
        <v>0</v>
      </c>
    </row>
    <row r="1209" spans="1:21" x14ac:dyDescent="0.35">
      <c r="A1209" t="s">
        <v>994</v>
      </c>
      <c r="B1209" t="s">
        <v>522</v>
      </c>
      <c r="C1209" t="s">
        <v>385</v>
      </c>
      <c r="D1209">
        <v>2013</v>
      </c>
      <c r="E1209">
        <v>224</v>
      </c>
      <c r="F1209" t="s">
        <v>600</v>
      </c>
      <c r="G1209" t="s">
        <v>829</v>
      </c>
      <c r="H1209" t="s">
        <v>964</v>
      </c>
      <c r="K1209" t="s">
        <v>478</v>
      </c>
      <c r="L1209" t="s">
        <v>995</v>
      </c>
      <c r="M1209" t="s">
        <v>348</v>
      </c>
      <c r="N1209" t="s">
        <v>538</v>
      </c>
      <c r="O1209" t="s">
        <v>705</v>
      </c>
      <c r="P1209" s="2" t="s">
        <v>706</v>
      </c>
      <c r="Q1209" s="2" t="s">
        <v>230</v>
      </c>
      <c r="R1209">
        <v>68</v>
      </c>
      <c r="S1209" s="3">
        <v>2.5</v>
      </c>
      <c r="T1209" s="3">
        <v>2.2999999999999998</v>
      </c>
      <c r="U1209" s="3">
        <v>0</v>
      </c>
    </row>
    <row r="1210" spans="1:21" x14ac:dyDescent="0.35">
      <c r="A1210" t="s">
        <v>994</v>
      </c>
      <c r="B1210" t="s">
        <v>522</v>
      </c>
      <c r="C1210" t="s">
        <v>385</v>
      </c>
      <c r="D1210">
        <v>2013</v>
      </c>
      <c r="E1210">
        <v>224</v>
      </c>
      <c r="F1210" t="s">
        <v>600</v>
      </c>
      <c r="G1210" t="s">
        <v>829</v>
      </c>
      <c r="H1210" t="s">
        <v>964</v>
      </c>
      <c r="K1210" t="s">
        <v>478</v>
      </c>
      <c r="L1210" t="s">
        <v>995</v>
      </c>
      <c r="M1210" t="s">
        <v>348</v>
      </c>
      <c r="N1210" t="s">
        <v>538</v>
      </c>
      <c r="O1210" t="s">
        <v>705</v>
      </c>
      <c r="P1210" s="2" t="s">
        <v>706</v>
      </c>
      <c r="Q1210" s="2" t="s">
        <v>230</v>
      </c>
      <c r="R1210">
        <v>68</v>
      </c>
      <c r="S1210" s="3">
        <v>2.2999999999999998</v>
      </c>
      <c r="T1210" s="3">
        <v>2.4</v>
      </c>
      <c r="U1210" s="3">
        <v>0</v>
      </c>
    </row>
    <row r="1211" spans="1:21" x14ac:dyDescent="0.35">
      <c r="A1211" t="s">
        <v>994</v>
      </c>
      <c r="B1211" t="s">
        <v>522</v>
      </c>
      <c r="C1211" t="s">
        <v>385</v>
      </c>
      <c r="D1211">
        <v>2013</v>
      </c>
      <c r="E1211">
        <v>224</v>
      </c>
      <c r="F1211" t="s">
        <v>600</v>
      </c>
      <c r="G1211" t="s">
        <v>829</v>
      </c>
      <c r="H1211" t="s">
        <v>964</v>
      </c>
      <c r="K1211" t="s">
        <v>478</v>
      </c>
      <c r="L1211" t="s">
        <v>995</v>
      </c>
      <c r="M1211" t="s">
        <v>348</v>
      </c>
      <c r="N1211" t="s">
        <v>538</v>
      </c>
      <c r="O1211" t="s">
        <v>705</v>
      </c>
      <c r="P1211" s="2" t="s">
        <v>706</v>
      </c>
      <c r="Q1211" s="2" t="s">
        <v>230</v>
      </c>
      <c r="R1211">
        <v>77</v>
      </c>
      <c r="S1211" s="3">
        <v>2.5</v>
      </c>
      <c r="T1211" s="3">
        <v>2.7</v>
      </c>
      <c r="U1211" s="3">
        <v>0</v>
      </c>
    </row>
    <row r="1212" spans="1:21" x14ac:dyDescent="0.35">
      <c r="A1212" t="s">
        <v>996</v>
      </c>
      <c r="B1212" t="s">
        <v>522</v>
      </c>
      <c r="C1212" t="s">
        <v>770</v>
      </c>
      <c r="D1212">
        <v>2008</v>
      </c>
      <c r="E1212">
        <v>225</v>
      </c>
      <c r="F1212" t="s">
        <v>600</v>
      </c>
      <c r="G1212" t="s">
        <v>829</v>
      </c>
      <c r="H1212" t="s">
        <v>851</v>
      </c>
      <c r="K1212" t="s">
        <v>378</v>
      </c>
      <c r="L1212" t="s">
        <v>574</v>
      </c>
      <c r="M1212" t="s">
        <v>348</v>
      </c>
      <c r="N1212" t="s">
        <v>538</v>
      </c>
      <c r="O1212" t="s">
        <v>973</v>
      </c>
      <c r="P1212" t="s">
        <v>972</v>
      </c>
      <c r="Q1212" s="2" t="s">
        <v>230</v>
      </c>
      <c r="R1212">
        <v>0</v>
      </c>
      <c r="S1212" s="3">
        <v>2.3199999999999998</v>
      </c>
      <c r="T1212" s="3">
        <v>0</v>
      </c>
    </row>
    <row r="1213" spans="1:21" x14ac:dyDescent="0.35">
      <c r="A1213" t="s">
        <v>996</v>
      </c>
      <c r="B1213" t="s">
        <v>522</v>
      </c>
      <c r="C1213" t="s">
        <v>770</v>
      </c>
      <c r="D1213">
        <v>2008</v>
      </c>
      <c r="E1213">
        <v>225</v>
      </c>
      <c r="F1213" t="s">
        <v>600</v>
      </c>
      <c r="G1213" t="s">
        <v>829</v>
      </c>
      <c r="H1213" t="s">
        <v>851</v>
      </c>
      <c r="K1213" t="s">
        <v>378</v>
      </c>
      <c r="L1213" t="s">
        <v>574</v>
      </c>
      <c r="M1213" t="s">
        <v>348</v>
      </c>
      <c r="N1213" t="s">
        <v>538</v>
      </c>
      <c r="O1213" t="s">
        <v>973</v>
      </c>
      <c r="P1213" t="s">
        <v>972</v>
      </c>
      <c r="Q1213" s="2" t="s">
        <v>230</v>
      </c>
      <c r="R1213">
        <v>100</v>
      </c>
      <c r="S1213" s="3">
        <v>30.8</v>
      </c>
      <c r="T1213" s="3">
        <v>4</v>
      </c>
    </row>
    <row r="1214" spans="1:21" x14ac:dyDescent="0.35">
      <c r="A1214" t="s">
        <v>996</v>
      </c>
      <c r="B1214" t="s">
        <v>522</v>
      </c>
      <c r="C1214" t="s">
        <v>770</v>
      </c>
      <c r="D1214">
        <v>2008</v>
      </c>
      <c r="E1214">
        <v>225</v>
      </c>
      <c r="F1214" t="s">
        <v>600</v>
      </c>
      <c r="G1214" t="s">
        <v>829</v>
      </c>
      <c r="H1214" t="s">
        <v>851</v>
      </c>
      <c r="K1214" t="s">
        <v>378</v>
      </c>
      <c r="L1214" t="s">
        <v>785</v>
      </c>
      <c r="M1214" t="s">
        <v>348</v>
      </c>
      <c r="N1214" t="s">
        <v>538</v>
      </c>
      <c r="O1214" t="s">
        <v>973</v>
      </c>
      <c r="P1214" t="s">
        <v>972</v>
      </c>
      <c r="Q1214" s="2" t="s">
        <v>230</v>
      </c>
      <c r="R1214">
        <v>100</v>
      </c>
      <c r="S1214" s="3">
        <v>2.56</v>
      </c>
      <c r="T1214" s="3">
        <v>4</v>
      </c>
    </row>
    <row r="1215" spans="1:21" x14ac:dyDescent="0.35">
      <c r="A1215" t="s">
        <v>997</v>
      </c>
      <c r="B1215" t="s">
        <v>998</v>
      </c>
      <c r="C1215" t="s">
        <v>399</v>
      </c>
      <c r="D1215">
        <v>2009</v>
      </c>
      <c r="E1215">
        <v>226</v>
      </c>
      <c r="F1215" t="s">
        <v>600</v>
      </c>
      <c r="G1215" t="s">
        <v>829</v>
      </c>
      <c r="H1215" t="s">
        <v>832</v>
      </c>
      <c r="K1215" t="s">
        <v>394</v>
      </c>
      <c r="M1215" t="s">
        <v>348</v>
      </c>
      <c r="N1215" t="s">
        <v>538</v>
      </c>
      <c r="O1215" t="s">
        <v>818</v>
      </c>
      <c r="P1215" t="s">
        <v>819</v>
      </c>
      <c r="Q1215" s="2" t="s">
        <v>230</v>
      </c>
      <c r="R1215">
        <v>0</v>
      </c>
      <c r="S1215" s="3">
        <v>2.15</v>
      </c>
      <c r="T1215" s="3">
        <v>0</v>
      </c>
      <c r="U1215" s="3">
        <v>0</v>
      </c>
    </row>
    <row r="1216" spans="1:21" x14ac:dyDescent="0.35">
      <c r="A1216" t="s">
        <v>997</v>
      </c>
      <c r="B1216" t="s">
        <v>998</v>
      </c>
      <c r="C1216" t="s">
        <v>399</v>
      </c>
      <c r="D1216">
        <v>2009</v>
      </c>
      <c r="E1216">
        <v>226</v>
      </c>
      <c r="F1216" t="s">
        <v>600</v>
      </c>
      <c r="G1216" t="s">
        <v>829</v>
      </c>
      <c r="H1216" t="s">
        <v>832</v>
      </c>
      <c r="K1216" t="s">
        <v>394</v>
      </c>
      <c r="M1216" t="s">
        <v>348</v>
      </c>
      <c r="N1216" t="s">
        <v>538</v>
      </c>
      <c r="O1216" t="s">
        <v>818</v>
      </c>
      <c r="P1216" t="s">
        <v>819</v>
      </c>
      <c r="Q1216" s="2" t="s">
        <v>230</v>
      </c>
      <c r="R1216">
        <v>25</v>
      </c>
      <c r="S1216" s="3">
        <v>2.39</v>
      </c>
      <c r="T1216" s="3">
        <v>0.7</v>
      </c>
      <c r="U1216" s="3">
        <v>-4.7</v>
      </c>
    </row>
    <row r="1217" spans="1:21" x14ac:dyDescent="0.35">
      <c r="A1217" t="s">
        <v>997</v>
      </c>
      <c r="B1217" t="s">
        <v>998</v>
      </c>
      <c r="C1217" t="s">
        <v>399</v>
      </c>
      <c r="D1217">
        <v>2009</v>
      </c>
      <c r="E1217">
        <v>226</v>
      </c>
      <c r="F1217" t="s">
        <v>600</v>
      </c>
      <c r="G1217" t="s">
        <v>829</v>
      </c>
      <c r="H1217" t="s">
        <v>832</v>
      </c>
      <c r="K1217" t="s">
        <v>394</v>
      </c>
      <c r="M1217" t="s">
        <v>348</v>
      </c>
      <c r="N1217" t="s">
        <v>538</v>
      </c>
      <c r="O1217" t="s">
        <v>818</v>
      </c>
      <c r="P1217" t="s">
        <v>819</v>
      </c>
      <c r="Q1217" s="2" t="s">
        <v>230</v>
      </c>
      <c r="R1217">
        <v>50</v>
      </c>
      <c r="S1217" s="3">
        <v>3.07</v>
      </c>
      <c r="T1217" s="3">
        <v>1.4</v>
      </c>
      <c r="U1217" s="3">
        <v>-9.9</v>
      </c>
    </row>
    <row r="1218" spans="1:21" x14ac:dyDescent="0.35">
      <c r="A1218" t="s">
        <v>1000</v>
      </c>
      <c r="B1218" t="s">
        <v>473</v>
      </c>
      <c r="C1218" t="s">
        <v>385</v>
      </c>
      <c r="D1218">
        <v>2012</v>
      </c>
      <c r="E1218">
        <v>227</v>
      </c>
      <c r="F1218" t="s">
        <v>863</v>
      </c>
      <c r="G1218" t="s">
        <v>829</v>
      </c>
      <c r="H1218" t="s">
        <v>832</v>
      </c>
      <c r="I1218" t="s">
        <v>317</v>
      </c>
      <c r="J1218" t="s">
        <v>999</v>
      </c>
      <c r="K1218" t="s">
        <v>378</v>
      </c>
      <c r="L1218" t="s">
        <v>574</v>
      </c>
      <c r="M1218" t="s">
        <v>348</v>
      </c>
      <c r="N1218" t="s">
        <v>417</v>
      </c>
      <c r="O1218" t="s">
        <v>103</v>
      </c>
      <c r="P1218" t="s">
        <v>102</v>
      </c>
      <c r="Q1218" s="2" t="s">
        <v>230</v>
      </c>
      <c r="R1218">
        <v>0</v>
      </c>
      <c r="S1218" s="3">
        <v>1.58</v>
      </c>
      <c r="T1218" s="3">
        <v>0</v>
      </c>
      <c r="U1218" s="3">
        <v>0</v>
      </c>
    </row>
    <row r="1219" spans="1:21" x14ac:dyDescent="0.35">
      <c r="A1219" t="s">
        <v>1000</v>
      </c>
      <c r="B1219" t="s">
        <v>473</v>
      </c>
      <c r="C1219" t="s">
        <v>385</v>
      </c>
      <c r="D1219">
        <v>2012</v>
      </c>
      <c r="E1219">
        <v>227</v>
      </c>
      <c r="F1219" t="s">
        <v>863</v>
      </c>
      <c r="G1219" t="s">
        <v>829</v>
      </c>
      <c r="H1219" t="s">
        <v>832</v>
      </c>
      <c r="I1219" t="s">
        <v>317</v>
      </c>
      <c r="J1219" t="s">
        <v>999</v>
      </c>
      <c r="K1219" t="s">
        <v>378</v>
      </c>
      <c r="L1219" t="s">
        <v>574</v>
      </c>
      <c r="M1219" t="s">
        <v>348</v>
      </c>
      <c r="N1219" t="s">
        <v>417</v>
      </c>
      <c r="O1219" t="s">
        <v>103</v>
      </c>
      <c r="P1219" t="s">
        <v>102</v>
      </c>
      <c r="Q1219" s="2" t="s">
        <v>230</v>
      </c>
      <c r="R1219">
        <v>100</v>
      </c>
      <c r="S1219" s="3">
        <v>3.02</v>
      </c>
      <c r="T1219" s="3">
        <v>0.05</v>
      </c>
      <c r="U1219" s="3">
        <v>-14.16</v>
      </c>
    </row>
    <row r="1220" spans="1:21" x14ac:dyDescent="0.35">
      <c r="A1220" t="s">
        <v>1000</v>
      </c>
      <c r="B1220" t="s">
        <v>473</v>
      </c>
      <c r="C1220" t="s">
        <v>385</v>
      </c>
      <c r="D1220">
        <v>2012</v>
      </c>
      <c r="E1220">
        <v>227</v>
      </c>
      <c r="F1220" t="s">
        <v>863</v>
      </c>
      <c r="G1220" t="s">
        <v>829</v>
      </c>
      <c r="H1220" t="s">
        <v>832</v>
      </c>
      <c r="I1220" t="s">
        <v>317</v>
      </c>
      <c r="J1220" t="s">
        <v>999</v>
      </c>
      <c r="K1220" t="s">
        <v>378</v>
      </c>
      <c r="L1220" t="s">
        <v>574</v>
      </c>
      <c r="M1220" t="s">
        <v>348</v>
      </c>
      <c r="N1220" t="s">
        <v>417</v>
      </c>
      <c r="O1220" t="s">
        <v>103</v>
      </c>
      <c r="P1220" t="s">
        <v>102</v>
      </c>
      <c r="Q1220" s="2" t="s">
        <v>230</v>
      </c>
      <c r="R1220">
        <v>100</v>
      </c>
      <c r="S1220" s="3">
        <v>3.56</v>
      </c>
      <c r="T1220" s="3">
        <v>0.05</v>
      </c>
      <c r="U1220" s="3">
        <v>-14.26</v>
      </c>
    </row>
    <row r="1221" spans="1:21" x14ac:dyDescent="0.35">
      <c r="A1221" t="s">
        <v>1000</v>
      </c>
      <c r="B1221" t="s">
        <v>473</v>
      </c>
      <c r="C1221" t="s">
        <v>385</v>
      </c>
      <c r="D1221">
        <v>2012</v>
      </c>
      <c r="E1221">
        <v>227</v>
      </c>
      <c r="F1221" t="s">
        <v>863</v>
      </c>
      <c r="G1221" t="s">
        <v>829</v>
      </c>
      <c r="H1221" t="s">
        <v>832</v>
      </c>
      <c r="I1221" t="s">
        <v>317</v>
      </c>
      <c r="J1221" t="s">
        <v>999</v>
      </c>
      <c r="K1221" t="s">
        <v>378</v>
      </c>
      <c r="L1221" t="s">
        <v>574</v>
      </c>
      <c r="M1221" t="s">
        <v>348</v>
      </c>
      <c r="N1221" t="s">
        <v>417</v>
      </c>
      <c r="O1221" t="s">
        <v>103</v>
      </c>
      <c r="P1221" t="s">
        <v>102</v>
      </c>
      <c r="Q1221" s="2" t="s">
        <v>230</v>
      </c>
      <c r="R1221">
        <v>100</v>
      </c>
      <c r="S1221" s="3">
        <v>2.5499999999999998</v>
      </c>
      <c r="T1221" s="3">
        <v>0.05</v>
      </c>
      <c r="U1221" s="3">
        <v>-11.9</v>
      </c>
    </row>
    <row r="1222" spans="1:21" x14ac:dyDescent="0.35">
      <c r="A1222" t="s">
        <v>1000</v>
      </c>
      <c r="B1222" t="s">
        <v>473</v>
      </c>
      <c r="C1222" t="s">
        <v>385</v>
      </c>
      <c r="D1222">
        <v>2012</v>
      </c>
      <c r="E1222">
        <v>227</v>
      </c>
      <c r="F1222" t="s">
        <v>863</v>
      </c>
      <c r="G1222" t="s">
        <v>829</v>
      </c>
      <c r="H1222" t="s">
        <v>832</v>
      </c>
      <c r="I1222" t="s">
        <v>317</v>
      </c>
      <c r="J1222" t="s">
        <v>999</v>
      </c>
      <c r="K1222" t="s">
        <v>378</v>
      </c>
      <c r="L1222" t="s">
        <v>574</v>
      </c>
      <c r="M1222" t="s">
        <v>348</v>
      </c>
      <c r="N1222" t="s">
        <v>417</v>
      </c>
      <c r="O1222" t="s">
        <v>103</v>
      </c>
      <c r="P1222" t="s">
        <v>102</v>
      </c>
      <c r="Q1222" s="2" t="s">
        <v>230</v>
      </c>
      <c r="R1222">
        <v>100</v>
      </c>
      <c r="S1222" s="3">
        <v>2.52</v>
      </c>
      <c r="T1222" s="3">
        <v>0.05</v>
      </c>
      <c r="U1222" s="3">
        <v>-10.78</v>
      </c>
    </row>
    <row r="1223" spans="1:21" x14ac:dyDescent="0.35">
      <c r="A1223" t="s">
        <v>1000</v>
      </c>
      <c r="B1223" t="s">
        <v>473</v>
      </c>
      <c r="C1223" t="s">
        <v>385</v>
      </c>
      <c r="D1223">
        <v>2012</v>
      </c>
      <c r="E1223">
        <v>227</v>
      </c>
      <c r="F1223" t="s">
        <v>863</v>
      </c>
      <c r="G1223" t="s">
        <v>829</v>
      </c>
      <c r="H1223" t="s">
        <v>832</v>
      </c>
      <c r="I1223" t="s">
        <v>317</v>
      </c>
      <c r="J1223" t="s">
        <v>999</v>
      </c>
      <c r="K1223" t="s">
        <v>378</v>
      </c>
      <c r="L1223" t="s">
        <v>574</v>
      </c>
      <c r="M1223" t="s">
        <v>348</v>
      </c>
      <c r="N1223" t="s">
        <v>417</v>
      </c>
      <c r="O1223" t="s">
        <v>103</v>
      </c>
      <c r="P1223" t="s">
        <v>102</v>
      </c>
      <c r="Q1223" s="2" t="s">
        <v>230</v>
      </c>
      <c r="R1223">
        <v>100</v>
      </c>
      <c r="S1223" s="3">
        <v>3.47</v>
      </c>
      <c r="T1223" s="3">
        <v>0.05</v>
      </c>
      <c r="U1223" s="3">
        <v>-11.02</v>
      </c>
    </row>
    <row r="1224" spans="1:21" x14ac:dyDescent="0.35">
      <c r="A1224" t="s">
        <v>1000</v>
      </c>
      <c r="B1224" t="s">
        <v>473</v>
      </c>
      <c r="C1224" t="s">
        <v>385</v>
      </c>
      <c r="D1224">
        <v>2012</v>
      </c>
      <c r="E1224">
        <v>227</v>
      </c>
      <c r="F1224" t="s">
        <v>863</v>
      </c>
      <c r="G1224" t="s">
        <v>829</v>
      </c>
      <c r="H1224" t="s">
        <v>832</v>
      </c>
      <c r="I1224" t="s">
        <v>317</v>
      </c>
      <c r="J1224" t="s">
        <v>999</v>
      </c>
      <c r="K1224" t="s">
        <v>378</v>
      </c>
      <c r="L1224" t="s">
        <v>574</v>
      </c>
      <c r="M1224" t="s">
        <v>348</v>
      </c>
      <c r="N1224" t="s">
        <v>417</v>
      </c>
      <c r="O1224" t="s">
        <v>103</v>
      </c>
      <c r="P1224" t="s">
        <v>102</v>
      </c>
      <c r="Q1224" s="2" t="s">
        <v>230</v>
      </c>
      <c r="R1224">
        <v>100</v>
      </c>
      <c r="S1224" s="3">
        <v>3.38</v>
      </c>
      <c r="T1224" s="3">
        <v>0.05</v>
      </c>
      <c r="U1224" s="3">
        <v>-13.85</v>
      </c>
    </row>
    <row r="1225" spans="1:21" x14ac:dyDescent="0.35">
      <c r="A1225" t="s">
        <v>1000</v>
      </c>
      <c r="B1225" t="s">
        <v>473</v>
      </c>
      <c r="C1225" t="s">
        <v>385</v>
      </c>
      <c r="D1225">
        <v>2012</v>
      </c>
      <c r="E1225">
        <v>227</v>
      </c>
      <c r="F1225" t="s">
        <v>863</v>
      </c>
      <c r="G1225" t="s">
        <v>829</v>
      </c>
      <c r="H1225" t="s">
        <v>832</v>
      </c>
      <c r="I1225" t="s">
        <v>317</v>
      </c>
      <c r="J1225" t="s">
        <v>999</v>
      </c>
      <c r="K1225" t="s">
        <v>378</v>
      </c>
      <c r="L1225" t="s">
        <v>574</v>
      </c>
      <c r="M1225" t="s">
        <v>348</v>
      </c>
      <c r="N1225" t="s">
        <v>417</v>
      </c>
      <c r="O1225" t="s">
        <v>103</v>
      </c>
      <c r="P1225" t="s">
        <v>102</v>
      </c>
      <c r="Q1225" s="2" t="s">
        <v>230</v>
      </c>
      <c r="R1225">
        <v>100</v>
      </c>
      <c r="S1225" s="3">
        <v>2.59</v>
      </c>
      <c r="T1225" s="3">
        <v>0.05</v>
      </c>
      <c r="U1225" s="3">
        <v>-11.71</v>
      </c>
    </row>
    <row r="1226" spans="1:21" x14ac:dyDescent="0.35">
      <c r="A1226" t="s">
        <v>1000</v>
      </c>
      <c r="B1226" t="s">
        <v>473</v>
      </c>
      <c r="C1226" t="s">
        <v>385</v>
      </c>
      <c r="D1226">
        <v>2012</v>
      </c>
      <c r="E1226">
        <v>227</v>
      </c>
      <c r="F1226" t="s">
        <v>863</v>
      </c>
      <c r="G1226" t="s">
        <v>829</v>
      </c>
      <c r="H1226" t="s">
        <v>832</v>
      </c>
      <c r="I1226" t="s">
        <v>317</v>
      </c>
      <c r="J1226" t="s">
        <v>999</v>
      </c>
      <c r="K1226" t="s">
        <v>378</v>
      </c>
      <c r="L1226" t="s">
        <v>574</v>
      </c>
      <c r="M1226" t="s">
        <v>348</v>
      </c>
      <c r="N1226" t="s">
        <v>417</v>
      </c>
      <c r="O1226" t="s">
        <v>103</v>
      </c>
      <c r="P1226" t="s">
        <v>102</v>
      </c>
      <c r="Q1226" s="2" t="s">
        <v>230</v>
      </c>
      <c r="R1226">
        <v>100</v>
      </c>
      <c r="S1226" s="3">
        <v>2.06</v>
      </c>
      <c r="T1226" s="3">
        <v>0.05</v>
      </c>
      <c r="U1226" s="3">
        <v>-11.25</v>
      </c>
    </row>
    <row r="1227" spans="1:21" x14ac:dyDescent="0.35">
      <c r="A1227" t="s">
        <v>1002</v>
      </c>
      <c r="B1227" t="s">
        <v>384</v>
      </c>
      <c r="C1227" t="s">
        <v>385</v>
      </c>
      <c r="D1227">
        <v>2014</v>
      </c>
      <c r="E1227">
        <v>228</v>
      </c>
      <c r="F1227" t="s">
        <v>600</v>
      </c>
      <c r="G1227" t="s">
        <v>829</v>
      </c>
      <c r="H1227" t="s">
        <v>832</v>
      </c>
      <c r="K1227" t="s">
        <v>378</v>
      </c>
      <c r="L1227" t="s">
        <v>785</v>
      </c>
      <c r="M1227" t="s">
        <v>348</v>
      </c>
      <c r="N1227" t="s">
        <v>538</v>
      </c>
      <c r="O1227" t="s">
        <v>1001</v>
      </c>
      <c r="P1227" t="s">
        <v>787</v>
      </c>
      <c r="Q1227" s="2" t="s">
        <v>230</v>
      </c>
      <c r="R1227">
        <v>0</v>
      </c>
      <c r="S1227" s="3">
        <v>1.17</v>
      </c>
      <c r="T1227" s="3">
        <v>0</v>
      </c>
      <c r="U1227" s="3">
        <v>0</v>
      </c>
    </row>
    <row r="1228" spans="1:21" x14ac:dyDescent="0.35">
      <c r="A1228" t="s">
        <v>1002</v>
      </c>
      <c r="B1228" t="s">
        <v>384</v>
      </c>
      <c r="C1228" t="s">
        <v>385</v>
      </c>
      <c r="D1228">
        <v>2014</v>
      </c>
      <c r="E1228">
        <v>228</v>
      </c>
      <c r="F1228" t="s">
        <v>600</v>
      </c>
      <c r="G1228" t="s">
        <v>829</v>
      </c>
      <c r="H1228" t="s">
        <v>851</v>
      </c>
      <c r="K1228" t="s">
        <v>378</v>
      </c>
      <c r="L1228" t="s">
        <v>785</v>
      </c>
      <c r="M1228" t="s">
        <v>348</v>
      </c>
      <c r="N1228" t="s">
        <v>538</v>
      </c>
      <c r="O1228" t="s">
        <v>1001</v>
      </c>
      <c r="P1228" t="s">
        <v>787</v>
      </c>
      <c r="Q1228" s="2" t="s">
        <v>230</v>
      </c>
      <c r="R1228">
        <v>50</v>
      </c>
      <c r="S1228" s="3">
        <v>1.21</v>
      </c>
      <c r="T1228" s="3">
        <v>0</v>
      </c>
      <c r="U1228" s="3">
        <v>9.9</v>
      </c>
    </row>
    <row r="1229" spans="1:21" x14ac:dyDescent="0.35">
      <c r="A1229" t="s">
        <v>1002</v>
      </c>
      <c r="B1229" t="s">
        <v>384</v>
      </c>
      <c r="C1229" t="s">
        <v>385</v>
      </c>
      <c r="D1229">
        <v>2014</v>
      </c>
      <c r="E1229">
        <v>228</v>
      </c>
      <c r="F1229" t="s">
        <v>600</v>
      </c>
      <c r="G1229" t="s">
        <v>829</v>
      </c>
      <c r="H1229" t="s">
        <v>832</v>
      </c>
      <c r="K1229" t="s">
        <v>378</v>
      </c>
      <c r="L1229" t="s">
        <v>785</v>
      </c>
      <c r="M1229" t="s">
        <v>348</v>
      </c>
      <c r="N1229" t="s">
        <v>538</v>
      </c>
      <c r="O1229" t="s">
        <v>1001</v>
      </c>
      <c r="P1229" t="s">
        <v>787</v>
      </c>
      <c r="Q1229" s="2" t="s">
        <v>230</v>
      </c>
      <c r="R1229">
        <v>50</v>
      </c>
      <c r="S1229" s="3">
        <v>1.22</v>
      </c>
      <c r="T1229" s="3">
        <v>0</v>
      </c>
      <c r="U1229" s="3">
        <v>-0.4</v>
      </c>
    </row>
    <row r="1230" spans="1:21" x14ac:dyDescent="0.35">
      <c r="A1230" t="s">
        <v>1002</v>
      </c>
      <c r="B1230" t="s">
        <v>384</v>
      </c>
      <c r="C1230" t="s">
        <v>385</v>
      </c>
      <c r="D1230">
        <v>2014</v>
      </c>
      <c r="E1230">
        <v>228</v>
      </c>
      <c r="F1230" t="s">
        <v>600</v>
      </c>
      <c r="G1230" t="s">
        <v>829</v>
      </c>
      <c r="H1230" t="s">
        <v>1003</v>
      </c>
      <c r="K1230" t="s">
        <v>378</v>
      </c>
      <c r="L1230" t="s">
        <v>785</v>
      </c>
      <c r="M1230" t="s">
        <v>348</v>
      </c>
      <c r="N1230" t="s">
        <v>538</v>
      </c>
      <c r="O1230" t="s">
        <v>1001</v>
      </c>
      <c r="P1230" t="s">
        <v>787</v>
      </c>
      <c r="Q1230" s="2" t="s">
        <v>230</v>
      </c>
      <c r="R1230">
        <v>50</v>
      </c>
      <c r="S1230" s="3">
        <v>1.3</v>
      </c>
      <c r="T1230" s="3">
        <v>0</v>
      </c>
      <c r="U1230" s="3">
        <v>-6.8</v>
      </c>
    </row>
    <row r="1231" spans="1:21" x14ac:dyDescent="0.35">
      <c r="A1231" t="s">
        <v>1002</v>
      </c>
      <c r="B1231" t="s">
        <v>384</v>
      </c>
      <c r="C1231" t="s">
        <v>385</v>
      </c>
      <c r="D1231">
        <v>2014</v>
      </c>
      <c r="E1231">
        <v>228</v>
      </c>
      <c r="F1231" t="s">
        <v>600</v>
      </c>
      <c r="G1231" t="s">
        <v>829</v>
      </c>
      <c r="H1231" t="s">
        <v>832</v>
      </c>
      <c r="K1231" t="s">
        <v>378</v>
      </c>
      <c r="L1231" t="s">
        <v>785</v>
      </c>
      <c r="M1231" t="s">
        <v>348</v>
      </c>
      <c r="N1231" t="s">
        <v>538</v>
      </c>
      <c r="O1231" t="s">
        <v>1001</v>
      </c>
      <c r="P1231" t="s">
        <v>787</v>
      </c>
      <c r="Q1231" s="2" t="s">
        <v>230</v>
      </c>
      <c r="R1231">
        <v>100</v>
      </c>
      <c r="S1231" s="3">
        <v>1.48</v>
      </c>
      <c r="T1231" s="3">
        <v>0</v>
      </c>
      <c r="U1231" s="3">
        <v>-0.2</v>
      </c>
    </row>
    <row r="1232" spans="1:21" x14ac:dyDescent="0.35">
      <c r="A1232" t="s">
        <v>1002</v>
      </c>
      <c r="B1232" t="s">
        <v>384</v>
      </c>
      <c r="C1232" t="s">
        <v>385</v>
      </c>
      <c r="D1232">
        <v>2014</v>
      </c>
      <c r="E1232">
        <v>228</v>
      </c>
      <c r="F1232" t="s">
        <v>600</v>
      </c>
      <c r="G1232" t="s">
        <v>829</v>
      </c>
      <c r="H1232" t="s">
        <v>1003</v>
      </c>
      <c r="K1232" t="s">
        <v>378</v>
      </c>
      <c r="L1232" t="s">
        <v>785</v>
      </c>
      <c r="M1232" t="s">
        <v>348</v>
      </c>
      <c r="N1232" t="s">
        <v>538</v>
      </c>
      <c r="O1232" t="s">
        <v>1001</v>
      </c>
      <c r="P1232" t="s">
        <v>787</v>
      </c>
      <c r="Q1232" s="2" t="s">
        <v>230</v>
      </c>
      <c r="R1232">
        <v>100</v>
      </c>
      <c r="S1232" s="3">
        <v>1.6</v>
      </c>
      <c r="T1232" s="3">
        <v>0</v>
      </c>
      <c r="U1232" s="3">
        <v>-5.0999999999999996</v>
      </c>
    </row>
    <row r="1233" spans="1:21" x14ac:dyDescent="0.35">
      <c r="A1233" t="s">
        <v>1002</v>
      </c>
      <c r="B1233" t="s">
        <v>384</v>
      </c>
      <c r="C1233" t="s">
        <v>385</v>
      </c>
      <c r="D1233">
        <v>2014</v>
      </c>
      <c r="E1233">
        <v>228</v>
      </c>
      <c r="F1233" t="s">
        <v>600</v>
      </c>
      <c r="G1233" t="s">
        <v>829</v>
      </c>
      <c r="H1233" t="s">
        <v>832</v>
      </c>
      <c r="K1233" t="s">
        <v>378</v>
      </c>
      <c r="L1233" t="s">
        <v>785</v>
      </c>
      <c r="M1233" t="s">
        <v>348</v>
      </c>
      <c r="N1233" t="s">
        <v>538</v>
      </c>
      <c r="O1233" t="s">
        <v>866</v>
      </c>
      <c r="P1233" t="s">
        <v>865</v>
      </c>
      <c r="Q1233" s="2" t="s">
        <v>230</v>
      </c>
      <c r="R1233">
        <v>0</v>
      </c>
      <c r="S1233" s="3">
        <v>1</v>
      </c>
      <c r="T1233" s="3">
        <v>0</v>
      </c>
      <c r="U1233" s="3">
        <v>0</v>
      </c>
    </row>
    <row r="1234" spans="1:21" x14ac:dyDescent="0.35">
      <c r="A1234" t="s">
        <v>1002</v>
      </c>
      <c r="B1234" t="s">
        <v>384</v>
      </c>
      <c r="C1234" t="s">
        <v>385</v>
      </c>
      <c r="D1234">
        <v>2014</v>
      </c>
      <c r="E1234">
        <v>228</v>
      </c>
      <c r="F1234" t="s">
        <v>600</v>
      </c>
      <c r="G1234" t="s">
        <v>829</v>
      </c>
      <c r="H1234" t="s">
        <v>832</v>
      </c>
      <c r="K1234" t="s">
        <v>378</v>
      </c>
      <c r="L1234" t="s">
        <v>785</v>
      </c>
      <c r="M1234" t="s">
        <v>348</v>
      </c>
      <c r="N1234" t="s">
        <v>538</v>
      </c>
      <c r="O1234" t="s">
        <v>866</v>
      </c>
      <c r="P1234" t="s">
        <v>865</v>
      </c>
      <c r="Q1234" s="2" t="s">
        <v>230</v>
      </c>
      <c r="R1234">
        <v>50</v>
      </c>
      <c r="S1234" s="3">
        <v>1</v>
      </c>
      <c r="T1234" s="3">
        <v>0</v>
      </c>
      <c r="U1234" s="3">
        <v>3.5</v>
      </c>
    </row>
    <row r="1235" spans="1:21" x14ac:dyDescent="0.35">
      <c r="A1235" t="s">
        <v>1002</v>
      </c>
      <c r="B1235" t="s">
        <v>384</v>
      </c>
      <c r="C1235" t="s">
        <v>385</v>
      </c>
      <c r="D1235">
        <v>2014</v>
      </c>
      <c r="E1235">
        <v>228</v>
      </c>
      <c r="F1235" t="s">
        <v>600</v>
      </c>
      <c r="G1235" t="s">
        <v>829</v>
      </c>
      <c r="H1235" t="s">
        <v>1003</v>
      </c>
      <c r="K1235" t="s">
        <v>378</v>
      </c>
      <c r="L1235" t="s">
        <v>785</v>
      </c>
      <c r="M1235" t="s">
        <v>348</v>
      </c>
      <c r="N1235" t="s">
        <v>538</v>
      </c>
      <c r="O1235" t="s">
        <v>866</v>
      </c>
      <c r="P1235" t="s">
        <v>865</v>
      </c>
      <c r="Q1235" s="2" t="s">
        <v>230</v>
      </c>
      <c r="R1235">
        <v>50</v>
      </c>
      <c r="S1235" s="3">
        <v>1</v>
      </c>
      <c r="T1235" s="3">
        <v>0</v>
      </c>
      <c r="U1235" s="3">
        <v>4.5</v>
      </c>
    </row>
    <row r="1236" spans="1:21" x14ac:dyDescent="0.35">
      <c r="A1236" t="s">
        <v>1002</v>
      </c>
      <c r="B1236" t="s">
        <v>384</v>
      </c>
      <c r="C1236" t="s">
        <v>385</v>
      </c>
      <c r="D1236">
        <v>2014</v>
      </c>
      <c r="E1236">
        <v>228</v>
      </c>
      <c r="F1236" t="s">
        <v>600</v>
      </c>
      <c r="G1236" t="s">
        <v>829</v>
      </c>
      <c r="H1236" t="s">
        <v>832</v>
      </c>
      <c r="K1236" t="s">
        <v>378</v>
      </c>
      <c r="L1236" t="s">
        <v>785</v>
      </c>
      <c r="M1236" t="s">
        <v>348</v>
      </c>
      <c r="N1236" t="s">
        <v>538</v>
      </c>
      <c r="O1236" t="s">
        <v>866</v>
      </c>
      <c r="P1236" t="s">
        <v>865</v>
      </c>
      <c r="Q1236" s="2" t="s">
        <v>230</v>
      </c>
      <c r="R1236">
        <v>75</v>
      </c>
      <c r="S1236" s="3">
        <v>1.03</v>
      </c>
      <c r="T1236" s="3">
        <v>0</v>
      </c>
      <c r="U1236" s="3">
        <v>1.6</v>
      </c>
    </row>
    <row r="1237" spans="1:21" x14ac:dyDescent="0.35">
      <c r="A1237" t="s">
        <v>1002</v>
      </c>
      <c r="B1237" t="s">
        <v>384</v>
      </c>
      <c r="C1237" t="s">
        <v>385</v>
      </c>
      <c r="D1237">
        <v>2014</v>
      </c>
      <c r="E1237">
        <v>228</v>
      </c>
      <c r="F1237" t="s">
        <v>600</v>
      </c>
      <c r="G1237" t="s">
        <v>829</v>
      </c>
      <c r="H1237" t="s">
        <v>1003</v>
      </c>
      <c r="K1237" t="s">
        <v>378</v>
      </c>
      <c r="L1237" t="s">
        <v>785</v>
      </c>
      <c r="M1237" t="s">
        <v>348</v>
      </c>
      <c r="N1237" t="s">
        <v>538</v>
      </c>
      <c r="O1237" t="s">
        <v>866</v>
      </c>
      <c r="P1237" t="s">
        <v>865</v>
      </c>
      <c r="Q1237" s="2" t="s">
        <v>230</v>
      </c>
      <c r="R1237">
        <v>75</v>
      </c>
      <c r="S1237" s="3">
        <v>1.07</v>
      </c>
      <c r="T1237" s="3">
        <v>0</v>
      </c>
      <c r="U1237" s="3">
        <v>3.3</v>
      </c>
    </row>
    <row r="1238" spans="1:21" x14ac:dyDescent="0.35">
      <c r="A1238" t="s">
        <v>809</v>
      </c>
      <c r="B1238" t="s">
        <v>455</v>
      </c>
      <c r="C1238" t="s">
        <v>533</v>
      </c>
      <c r="D1238">
        <v>2015</v>
      </c>
      <c r="E1238">
        <v>229</v>
      </c>
      <c r="F1238" t="s">
        <v>600</v>
      </c>
      <c r="G1238" t="s">
        <v>829</v>
      </c>
      <c r="H1238" t="s">
        <v>832</v>
      </c>
      <c r="K1238" t="s">
        <v>378</v>
      </c>
      <c r="L1238" t="s">
        <v>447</v>
      </c>
      <c r="M1238" t="s">
        <v>348</v>
      </c>
      <c r="N1238" t="s">
        <v>538</v>
      </c>
      <c r="O1238" t="s">
        <v>810</v>
      </c>
      <c r="P1238" t="s">
        <v>1004</v>
      </c>
      <c r="Q1238" s="2" t="s">
        <v>230</v>
      </c>
      <c r="R1238">
        <v>0</v>
      </c>
      <c r="S1238" s="3">
        <v>0.86</v>
      </c>
      <c r="T1238" s="3">
        <v>0</v>
      </c>
      <c r="U1238" s="3"/>
    </row>
    <row r="1239" spans="1:21" x14ac:dyDescent="0.35">
      <c r="A1239" t="s">
        <v>809</v>
      </c>
      <c r="B1239" t="s">
        <v>455</v>
      </c>
      <c r="C1239" t="s">
        <v>533</v>
      </c>
      <c r="D1239">
        <v>2015</v>
      </c>
      <c r="E1239">
        <v>229</v>
      </c>
      <c r="F1239" t="s">
        <v>600</v>
      </c>
      <c r="G1239" t="s">
        <v>829</v>
      </c>
      <c r="H1239" t="s">
        <v>832</v>
      </c>
      <c r="K1239" t="s">
        <v>378</v>
      </c>
      <c r="L1239" t="s">
        <v>447</v>
      </c>
      <c r="M1239" t="s">
        <v>348</v>
      </c>
      <c r="N1239" t="s">
        <v>538</v>
      </c>
      <c r="O1239" t="s">
        <v>810</v>
      </c>
      <c r="P1239" t="s">
        <v>1004</v>
      </c>
      <c r="Q1239" s="2" t="s">
        <v>230</v>
      </c>
      <c r="R1239">
        <v>20</v>
      </c>
      <c r="S1239" s="3">
        <v>0.91</v>
      </c>
      <c r="T1239" s="3">
        <v>0.8</v>
      </c>
    </row>
    <row r="1240" spans="1:21" x14ac:dyDescent="0.35">
      <c r="A1240" t="s">
        <v>809</v>
      </c>
      <c r="B1240" t="s">
        <v>455</v>
      </c>
      <c r="C1240" t="s">
        <v>533</v>
      </c>
      <c r="D1240">
        <v>2015</v>
      </c>
      <c r="E1240">
        <v>229</v>
      </c>
      <c r="F1240" t="s">
        <v>600</v>
      </c>
      <c r="G1240" t="s">
        <v>829</v>
      </c>
      <c r="H1240" t="s">
        <v>832</v>
      </c>
      <c r="K1240" t="s">
        <v>378</v>
      </c>
      <c r="L1240" t="s">
        <v>447</v>
      </c>
      <c r="M1240" t="s">
        <v>348</v>
      </c>
      <c r="N1240" t="s">
        <v>538</v>
      </c>
      <c r="O1240" t="s">
        <v>810</v>
      </c>
      <c r="P1240" t="s">
        <v>1004</v>
      </c>
      <c r="Q1240" s="2" t="s">
        <v>230</v>
      </c>
      <c r="R1240">
        <v>32</v>
      </c>
      <c r="S1240" s="3">
        <v>0.96</v>
      </c>
      <c r="T1240" s="3">
        <v>1.4</v>
      </c>
    </row>
    <row r="1241" spans="1:21" x14ac:dyDescent="0.35">
      <c r="A1241" t="s">
        <v>1002</v>
      </c>
      <c r="B1241" t="s">
        <v>473</v>
      </c>
      <c r="C1241" t="s">
        <v>385</v>
      </c>
      <c r="D1241">
        <v>2011</v>
      </c>
      <c r="E1241">
        <v>230</v>
      </c>
      <c r="F1241" t="s">
        <v>600</v>
      </c>
      <c r="G1241" t="s">
        <v>829</v>
      </c>
      <c r="H1241" t="s">
        <v>1005</v>
      </c>
      <c r="K1241" t="s">
        <v>378</v>
      </c>
      <c r="L1241" t="s">
        <v>377</v>
      </c>
      <c r="M1241" t="s">
        <v>348</v>
      </c>
      <c r="N1241" t="s">
        <v>538</v>
      </c>
      <c r="O1241" t="s">
        <v>705</v>
      </c>
      <c r="P1241" t="s">
        <v>706</v>
      </c>
      <c r="Q1241" s="2" t="s">
        <v>230</v>
      </c>
      <c r="R1241">
        <v>0</v>
      </c>
      <c r="S1241" s="3">
        <v>1.39</v>
      </c>
      <c r="T1241" s="3">
        <v>0</v>
      </c>
      <c r="U1241" s="3">
        <v>0</v>
      </c>
    </row>
    <row r="1242" spans="1:21" x14ac:dyDescent="0.35">
      <c r="A1242" t="s">
        <v>1002</v>
      </c>
      <c r="B1242" t="s">
        <v>473</v>
      </c>
      <c r="C1242" t="s">
        <v>385</v>
      </c>
      <c r="D1242">
        <v>2011</v>
      </c>
      <c r="E1242">
        <v>230</v>
      </c>
      <c r="F1242" t="s">
        <v>600</v>
      </c>
      <c r="G1242" t="s">
        <v>829</v>
      </c>
      <c r="H1242" t="s">
        <v>1005</v>
      </c>
      <c r="K1242" t="s">
        <v>378</v>
      </c>
      <c r="L1242" t="s">
        <v>377</v>
      </c>
      <c r="M1242" t="s">
        <v>348</v>
      </c>
      <c r="N1242" t="s">
        <v>538</v>
      </c>
      <c r="O1242" t="s">
        <v>705</v>
      </c>
      <c r="P1242" t="s">
        <v>706</v>
      </c>
      <c r="Q1242" s="2" t="s">
        <v>230</v>
      </c>
      <c r="R1242">
        <v>50</v>
      </c>
      <c r="S1242" s="3">
        <v>1.41</v>
      </c>
      <c r="T1242" s="3">
        <v>3.24</v>
      </c>
      <c r="U1242" s="3">
        <v>0.6</v>
      </c>
    </row>
    <row r="1243" spans="1:21" x14ac:dyDescent="0.35">
      <c r="A1243" t="s">
        <v>1002</v>
      </c>
      <c r="B1243" t="s">
        <v>473</v>
      </c>
      <c r="C1243" t="s">
        <v>385</v>
      </c>
      <c r="D1243">
        <v>2011</v>
      </c>
      <c r="E1243">
        <v>230</v>
      </c>
      <c r="F1243" t="s">
        <v>600</v>
      </c>
      <c r="G1243" t="s">
        <v>829</v>
      </c>
      <c r="H1243" t="s">
        <v>1005</v>
      </c>
      <c r="K1243" t="s">
        <v>378</v>
      </c>
      <c r="L1243" t="s">
        <v>377</v>
      </c>
      <c r="M1243" t="s">
        <v>348</v>
      </c>
      <c r="N1243" t="s">
        <v>538</v>
      </c>
      <c r="O1243" t="s">
        <v>705</v>
      </c>
      <c r="P1243" t="s">
        <v>706</v>
      </c>
      <c r="Q1243" s="2" t="s">
        <v>230</v>
      </c>
      <c r="R1243">
        <v>50</v>
      </c>
      <c r="S1243" s="3">
        <v>1.38</v>
      </c>
      <c r="T1243" s="3">
        <v>3.24</v>
      </c>
      <c r="U1243" s="3">
        <v>-0.4</v>
      </c>
    </row>
    <row r="1244" spans="1:21" x14ac:dyDescent="0.35">
      <c r="A1244" t="s">
        <v>1002</v>
      </c>
      <c r="B1244" t="s">
        <v>473</v>
      </c>
      <c r="C1244" t="s">
        <v>385</v>
      </c>
      <c r="D1244">
        <v>2011</v>
      </c>
      <c r="E1244">
        <v>230</v>
      </c>
      <c r="F1244" t="s">
        <v>600</v>
      </c>
      <c r="G1244" t="s">
        <v>829</v>
      </c>
      <c r="H1244" t="s">
        <v>1005</v>
      </c>
      <c r="K1244" t="s">
        <v>378</v>
      </c>
      <c r="L1244" t="s">
        <v>377</v>
      </c>
      <c r="M1244" t="s">
        <v>348</v>
      </c>
      <c r="N1244" t="s">
        <v>538</v>
      </c>
      <c r="O1244" t="s">
        <v>705</v>
      </c>
      <c r="P1244" t="s">
        <v>706</v>
      </c>
      <c r="Q1244" s="2" t="s">
        <v>230</v>
      </c>
      <c r="R1244">
        <v>100</v>
      </c>
      <c r="S1244" s="3">
        <v>3.3</v>
      </c>
      <c r="T1244" s="3">
        <v>4.59</v>
      </c>
      <c r="U1244" s="3">
        <v>-2.02</v>
      </c>
    </row>
    <row r="1245" spans="1:21" x14ac:dyDescent="0.35">
      <c r="A1245" t="s">
        <v>1002</v>
      </c>
      <c r="B1245" t="s">
        <v>473</v>
      </c>
      <c r="C1245" t="s">
        <v>385</v>
      </c>
      <c r="D1245">
        <v>2011</v>
      </c>
      <c r="E1245">
        <v>230</v>
      </c>
      <c r="F1245" t="s">
        <v>600</v>
      </c>
      <c r="G1245" t="s">
        <v>829</v>
      </c>
      <c r="H1245" t="s">
        <v>1005</v>
      </c>
      <c r="K1245" t="s">
        <v>378</v>
      </c>
      <c r="L1245" t="s">
        <v>377</v>
      </c>
      <c r="M1245" t="s">
        <v>348</v>
      </c>
      <c r="N1245" t="s">
        <v>538</v>
      </c>
      <c r="O1245" t="s">
        <v>705</v>
      </c>
      <c r="P1245" t="s">
        <v>706</v>
      </c>
      <c r="Q1245" s="2" t="s">
        <v>230</v>
      </c>
      <c r="R1245">
        <v>100</v>
      </c>
      <c r="S1245" s="3">
        <v>2.64</v>
      </c>
      <c r="T1245" s="3">
        <v>4.59</v>
      </c>
      <c r="U1245" s="3">
        <v>-2.02</v>
      </c>
    </row>
    <row r="1246" spans="1:21" x14ac:dyDescent="0.35">
      <c r="A1246" t="s">
        <v>383</v>
      </c>
      <c r="B1246" t="s">
        <v>384</v>
      </c>
      <c r="C1246" t="s">
        <v>385</v>
      </c>
      <c r="D1246">
        <v>2010</v>
      </c>
      <c r="E1246">
        <v>231</v>
      </c>
      <c r="F1246" t="s">
        <v>600</v>
      </c>
      <c r="G1246" t="s">
        <v>829</v>
      </c>
      <c r="H1246" t="s">
        <v>851</v>
      </c>
      <c r="K1246" t="s">
        <v>378</v>
      </c>
      <c r="L1246" t="s">
        <v>785</v>
      </c>
      <c r="M1246" t="s">
        <v>348</v>
      </c>
      <c r="N1246" t="s">
        <v>538</v>
      </c>
      <c r="O1246" t="s">
        <v>386</v>
      </c>
      <c r="P1246" t="s">
        <v>182</v>
      </c>
      <c r="Q1246" s="2" t="s">
        <v>230</v>
      </c>
      <c r="R1246">
        <v>0</v>
      </c>
      <c r="S1246" s="3">
        <v>1.4</v>
      </c>
      <c r="T1246" s="3">
        <v>0</v>
      </c>
      <c r="U1246" s="3">
        <v>0</v>
      </c>
    </row>
    <row r="1247" spans="1:21" x14ac:dyDescent="0.35">
      <c r="A1247" t="s">
        <v>383</v>
      </c>
      <c r="B1247" t="s">
        <v>384</v>
      </c>
      <c r="C1247" t="s">
        <v>385</v>
      </c>
      <c r="D1247">
        <v>2010</v>
      </c>
      <c r="E1247">
        <v>231</v>
      </c>
      <c r="F1247" t="s">
        <v>600</v>
      </c>
      <c r="G1247" t="s">
        <v>829</v>
      </c>
      <c r="H1247" t="s">
        <v>851</v>
      </c>
      <c r="K1247" t="s">
        <v>378</v>
      </c>
      <c r="L1247" t="s">
        <v>785</v>
      </c>
      <c r="M1247" t="s">
        <v>348</v>
      </c>
      <c r="N1247" t="s">
        <v>538</v>
      </c>
      <c r="O1247" t="s">
        <v>386</v>
      </c>
      <c r="P1247" t="s">
        <v>182</v>
      </c>
      <c r="Q1247" s="2" t="s">
        <v>230</v>
      </c>
      <c r="R1247">
        <v>28</v>
      </c>
      <c r="S1247" s="3">
        <v>1.26</v>
      </c>
      <c r="T1247" s="3">
        <v>1.3</v>
      </c>
      <c r="U1247" s="3">
        <v>-5.8</v>
      </c>
    </row>
    <row r="1248" spans="1:21" x14ac:dyDescent="0.35">
      <c r="A1248" t="s">
        <v>383</v>
      </c>
      <c r="B1248" t="s">
        <v>384</v>
      </c>
      <c r="C1248" t="s">
        <v>385</v>
      </c>
      <c r="D1248">
        <v>2010</v>
      </c>
      <c r="E1248">
        <v>231</v>
      </c>
      <c r="F1248" t="s">
        <v>600</v>
      </c>
      <c r="G1248" t="s">
        <v>829</v>
      </c>
      <c r="H1248" t="s">
        <v>851</v>
      </c>
      <c r="K1248" t="s">
        <v>378</v>
      </c>
      <c r="L1248" t="s">
        <v>785</v>
      </c>
      <c r="M1248" t="s">
        <v>348</v>
      </c>
      <c r="N1248" t="s">
        <v>538</v>
      </c>
      <c r="O1248" t="s">
        <v>386</v>
      </c>
      <c r="P1248" t="s">
        <v>182</v>
      </c>
      <c r="Q1248" s="2" t="s">
        <v>230</v>
      </c>
      <c r="R1248">
        <v>60</v>
      </c>
      <c r="S1248" s="3">
        <v>1.1299999999999999</v>
      </c>
      <c r="T1248" s="3">
        <v>2.7</v>
      </c>
      <c r="U1248" s="3">
        <v>-11.6</v>
      </c>
    </row>
    <row r="1249" spans="1:21" x14ac:dyDescent="0.35">
      <c r="A1249" t="s">
        <v>383</v>
      </c>
      <c r="B1249" t="s">
        <v>384</v>
      </c>
      <c r="C1249" t="s">
        <v>385</v>
      </c>
      <c r="D1249">
        <v>2010</v>
      </c>
      <c r="E1249">
        <v>231</v>
      </c>
      <c r="F1249" t="s">
        <v>600</v>
      </c>
      <c r="G1249" t="s">
        <v>829</v>
      </c>
      <c r="H1249" t="s">
        <v>851</v>
      </c>
      <c r="K1249" t="s">
        <v>378</v>
      </c>
      <c r="L1249" t="s">
        <v>785</v>
      </c>
      <c r="M1249" t="s">
        <v>348</v>
      </c>
      <c r="N1249" t="s">
        <v>538</v>
      </c>
      <c r="O1249" t="s">
        <v>386</v>
      </c>
      <c r="P1249" t="s">
        <v>182</v>
      </c>
      <c r="Q1249" s="2" t="s">
        <v>230</v>
      </c>
      <c r="R1249">
        <v>80</v>
      </c>
      <c r="S1249" s="3">
        <v>1.17</v>
      </c>
      <c r="T1249" s="3">
        <v>3.5</v>
      </c>
      <c r="U1249" s="3">
        <v>-15.1</v>
      </c>
    </row>
    <row r="1250" spans="1:21" x14ac:dyDescent="0.35">
      <c r="A1250" t="s">
        <v>383</v>
      </c>
      <c r="B1250" t="s">
        <v>384</v>
      </c>
      <c r="C1250" t="s">
        <v>385</v>
      </c>
      <c r="D1250">
        <v>2010</v>
      </c>
      <c r="E1250">
        <v>231</v>
      </c>
      <c r="F1250" t="s">
        <v>600</v>
      </c>
      <c r="G1250" t="s">
        <v>829</v>
      </c>
      <c r="H1250" t="s">
        <v>851</v>
      </c>
      <c r="K1250" t="s">
        <v>378</v>
      </c>
      <c r="L1250" t="s">
        <v>785</v>
      </c>
      <c r="M1250" t="s">
        <v>348</v>
      </c>
      <c r="N1250" t="s">
        <v>538</v>
      </c>
      <c r="O1250" t="s">
        <v>386</v>
      </c>
      <c r="P1250" t="s">
        <v>182</v>
      </c>
      <c r="Q1250" s="2" t="s">
        <v>230</v>
      </c>
      <c r="R1250">
        <v>100</v>
      </c>
      <c r="S1250" s="3">
        <v>1.44</v>
      </c>
      <c r="T1250" s="3">
        <v>4.4000000000000004</v>
      </c>
      <c r="U1250" s="3">
        <v>-5.6</v>
      </c>
    </row>
    <row r="1251" spans="1:21" x14ac:dyDescent="0.35">
      <c r="A1251" t="s">
        <v>383</v>
      </c>
      <c r="B1251" t="s">
        <v>384</v>
      </c>
      <c r="C1251" t="s">
        <v>385</v>
      </c>
      <c r="D1251">
        <v>2010</v>
      </c>
      <c r="E1251">
        <v>231</v>
      </c>
      <c r="F1251" t="s">
        <v>600</v>
      </c>
      <c r="G1251" t="s">
        <v>829</v>
      </c>
      <c r="H1251" t="s">
        <v>851</v>
      </c>
      <c r="K1251" t="s">
        <v>378</v>
      </c>
      <c r="L1251" t="s">
        <v>785</v>
      </c>
      <c r="M1251" t="s">
        <v>348</v>
      </c>
      <c r="N1251" t="s">
        <v>538</v>
      </c>
      <c r="O1251" t="s">
        <v>386</v>
      </c>
      <c r="P1251" t="s">
        <v>182</v>
      </c>
      <c r="Q1251" s="2" t="s">
        <v>230</v>
      </c>
      <c r="R1251">
        <v>0</v>
      </c>
      <c r="S1251" s="3">
        <v>1.42</v>
      </c>
      <c r="U1251" s="3">
        <v>0</v>
      </c>
    </row>
    <row r="1252" spans="1:21" x14ac:dyDescent="0.35">
      <c r="A1252" t="s">
        <v>383</v>
      </c>
      <c r="B1252" t="s">
        <v>384</v>
      </c>
      <c r="C1252" t="s">
        <v>385</v>
      </c>
      <c r="D1252">
        <v>2010</v>
      </c>
      <c r="E1252">
        <v>231</v>
      </c>
      <c r="F1252" t="s">
        <v>600</v>
      </c>
      <c r="G1252" t="s">
        <v>829</v>
      </c>
      <c r="H1252" t="s">
        <v>851</v>
      </c>
      <c r="K1252" t="s">
        <v>378</v>
      </c>
      <c r="L1252" t="s">
        <v>785</v>
      </c>
      <c r="M1252" t="s">
        <v>348</v>
      </c>
      <c r="N1252" t="s">
        <v>538</v>
      </c>
      <c r="O1252" t="s">
        <v>386</v>
      </c>
      <c r="P1252" t="s">
        <v>182</v>
      </c>
      <c r="Q1252" s="2" t="s">
        <v>230</v>
      </c>
      <c r="R1252">
        <v>25</v>
      </c>
      <c r="S1252" s="3">
        <v>1.33</v>
      </c>
      <c r="U1252" s="3">
        <v>1.5</v>
      </c>
    </row>
    <row r="1253" spans="1:21" x14ac:dyDescent="0.35">
      <c r="A1253" t="s">
        <v>383</v>
      </c>
      <c r="B1253" t="s">
        <v>384</v>
      </c>
      <c r="C1253" t="s">
        <v>385</v>
      </c>
      <c r="D1253">
        <v>2010</v>
      </c>
      <c r="E1253">
        <v>231</v>
      </c>
      <c r="F1253" t="s">
        <v>600</v>
      </c>
      <c r="G1253" t="s">
        <v>829</v>
      </c>
      <c r="H1253" t="s">
        <v>851</v>
      </c>
      <c r="K1253" t="s">
        <v>378</v>
      </c>
      <c r="L1253" t="s">
        <v>785</v>
      </c>
      <c r="M1253" t="s">
        <v>348</v>
      </c>
      <c r="N1253" t="s">
        <v>538</v>
      </c>
      <c r="O1253" t="s">
        <v>386</v>
      </c>
      <c r="P1253" t="s">
        <v>182</v>
      </c>
      <c r="Q1253" s="2" t="s">
        <v>230</v>
      </c>
      <c r="R1253">
        <v>50</v>
      </c>
      <c r="S1253" s="3">
        <v>1.1499999999999999</v>
      </c>
      <c r="U1253" s="3">
        <v>0</v>
      </c>
    </row>
    <row r="1254" spans="1:21" x14ac:dyDescent="0.35">
      <c r="A1254" t="s">
        <v>1008</v>
      </c>
      <c r="B1254" t="s">
        <v>398</v>
      </c>
      <c r="C1254" t="s">
        <v>370</v>
      </c>
      <c r="D1254">
        <v>2016</v>
      </c>
      <c r="E1254">
        <v>232</v>
      </c>
      <c r="F1254" t="s">
        <v>600</v>
      </c>
      <c r="G1254" t="s">
        <v>829</v>
      </c>
      <c r="H1254" t="s">
        <v>832</v>
      </c>
      <c r="K1254" t="s">
        <v>394</v>
      </c>
      <c r="L1254" t="s">
        <v>377</v>
      </c>
      <c r="M1254" t="s">
        <v>348</v>
      </c>
      <c r="N1254" t="s">
        <v>31</v>
      </c>
      <c r="O1254" t="s">
        <v>1007</v>
      </c>
      <c r="P1254" t="s">
        <v>1006</v>
      </c>
      <c r="Q1254" s="2" t="s">
        <v>230</v>
      </c>
      <c r="R1254">
        <v>0</v>
      </c>
      <c r="S1254" s="3">
        <v>1.54</v>
      </c>
      <c r="T1254" s="3">
        <v>0</v>
      </c>
      <c r="U1254" s="3">
        <v>0</v>
      </c>
    </row>
    <row r="1255" spans="1:21" x14ac:dyDescent="0.35">
      <c r="A1255" t="s">
        <v>1008</v>
      </c>
      <c r="B1255" t="s">
        <v>398</v>
      </c>
      <c r="C1255" t="s">
        <v>370</v>
      </c>
      <c r="D1255">
        <v>2016</v>
      </c>
      <c r="E1255">
        <v>232</v>
      </c>
      <c r="F1255" t="s">
        <v>600</v>
      </c>
      <c r="G1255" t="s">
        <v>829</v>
      </c>
      <c r="H1255" t="s">
        <v>832</v>
      </c>
      <c r="K1255" t="s">
        <v>394</v>
      </c>
      <c r="L1255" t="s">
        <v>377</v>
      </c>
      <c r="M1255" t="s">
        <v>348</v>
      </c>
      <c r="N1255" t="s">
        <v>31</v>
      </c>
      <c r="O1255" t="s">
        <v>1007</v>
      </c>
      <c r="P1255" t="s">
        <v>1006</v>
      </c>
      <c r="Q1255" s="2" t="s">
        <v>230</v>
      </c>
      <c r="R1255">
        <v>10</v>
      </c>
      <c r="S1255" s="3">
        <v>1.55</v>
      </c>
      <c r="T1255" s="3">
        <v>0.1</v>
      </c>
      <c r="U1255" s="3">
        <v>0</v>
      </c>
    </row>
    <row r="1256" spans="1:21" x14ac:dyDescent="0.35">
      <c r="A1256" t="s">
        <v>1008</v>
      </c>
      <c r="B1256" t="s">
        <v>398</v>
      </c>
      <c r="C1256" t="s">
        <v>370</v>
      </c>
      <c r="D1256">
        <v>2016</v>
      </c>
      <c r="E1256">
        <v>232</v>
      </c>
      <c r="F1256" t="s">
        <v>600</v>
      </c>
      <c r="G1256" t="s">
        <v>829</v>
      </c>
      <c r="H1256" t="s">
        <v>832</v>
      </c>
      <c r="K1256" t="s">
        <v>394</v>
      </c>
      <c r="L1256" t="s">
        <v>377</v>
      </c>
      <c r="M1256" t="s">
        <v>348</v>
      </c>
      <c r="N1256" t="s">
        <v>31</v>
      </c>
      <c r="O1256" t="s">
        <v>1007</v>
      </c>
      <c r="P1256" t="s">
        <v>1006</v>
      </c>
      <c r="Q1256" s="2" t="s">
        <v>230</v>
      </c>
      <c r="R1256">
        <v>20</v>
      </c>
      <c r="S1256" s="3">
        <v>1.62</v>
      </c>
      <c r="T1256" s="3">
        <v>0.2</v>
      </c>
      <c r="U1256" s="3">
        <v>0</v>
      </c>
    </row>
    <row r="1257" spans="1:21" x14ac:dyDescent="0.35">
      <c r="A1257" t="s">
        <v>1008</v>
      </c>
      <c r="B1257" t="s">
        <v>398</v>
      </c>
      <c r="C1257" t="s">
        <v>370</v>
      </c>
      <c r="D1257">
        <v>2016</v>
      </c>
      <c r="E1257">
        <v>232</v>
      </c>
      <c r="F1257" t="s">
        <v>600</v>
      </c>
      <c r="G1257" t="s">
        <v>829</v>
      </c>
      <c r="H1257" t="s">
        <v>832</v>
      </c>
      <c r="K1257" t="s">
        <v>394</v>
      </c>
      <c r="L1257" t="s">
        <v>377</v>
      </c>
      <c r="M1257" t="s">
        <v>348</v>
      </c>
      <c r="N1257" t="s">
        <v>31</v>
      </c>
      <c r="O1257" t="s">
        <v>1007</v>
      </c>
      <c r="P1257" t="s">
        <v>1006</v>
      </c>
      <c r="Q1257" s="2" t="s">
        <v>230</v>
      </c>
      <c r="R1257">
        <v>30</v>
      </c>
      <c r="S1257" s="3">
        <v>1.67</v>
      </c>
      <c r="T1257" s="3">
        <v>0.3</v>
      </c>
      <c r="U1257" s="3">
        <v>0</v>
      </c>
    </row>
    <row r="1258" spans="1:21" x14ac:dyDescent="0.35">
      <c r="A1258" t="s">
        <v>1008</v>
      </c>
      <c r="B1258" t="s">
        <v>398</v>
      </c>
      <c r="C1258" t="s">
        <v>370</v>
      </c>
      <c r="D1258">
        <v>2016</v>
      </c>
      <c r="E1258">
        <v>232</v>
      </c>
      <c r="F1258" t="s">
        <v>600</v>
      </c>
      <c r="G1258" t="s">
        <v>829</v>
      </c>
      <c r="H1258" t="s">
        <v>832</v>
      </c>
      <c r="K1258" t="s">
        <v>394</v>
      </c>
      <c r="L1258" t="s">
        <v>377</v>
      </c>
      <c r="M1258" t="s">
        <v>348</v>
      </c>
      <c r="N1258" t="s">
        <v>31</v>
      </c>
      <c r="O1258" t="s">
        <v>1007</v>
      </c>
      <c r="P1258" t="s">
        <v>1006</v>
      </c>
      <c r="Q1258" s="2" t="s">
        <v>230</v>
      </c>
      <c r="R1258">
        <v>40</v>
      </c>
      <c r="S1258" s="3">
        <v>1.66</v>
      </c>
      <c r="T1258" s="3">
        <v>0.4</v>
      </c>
      <c r="U1258" s="3">
        <v>0</v>
      </c>
    </row>
    <row r="1259" spans="1:21" x14ac:dyDescent="0.35">
      <c r="A1259" t="s">
        <v>1008</v>
      </c>
      <c r="B1259" t="s">
        <v>398</v>
      </c>
      <c r="C1259" t="s">
        <v>370</v>
      </c>
      <c r="D1259">
        <v>2016</v>
      </c>
      <c r="E1259">
        <v>232</v>
      </c>
      <c r="F1259" t="s">
        <v>600</v>
      </c>
      <c r="G1259" t="s">
        <v>829</v>
      </c>
      <c r="H1259" t="s">
        <v>832</v>
      </c>
      <c r="K1259" t="s">
        <v>394</v>
      </c>
      <c r="L1259" t="s">
        <v>377</v>
      </c>
      <c r="M1259" t="s">
        <v>348</v>
      </c>
      <c r="N1259" t="s">
        <v>31</v>
      </c>
      <c r="O1259" t="s">
        <v>1007</v>
      </c>
      <c r="P1259" t="s">
        <v>1006</v>
      </c>
      <c r="Q1259" s="2" t="s">
        <v>230</v>
      </c>
      <c r="R1259">
        <v>50</v>
      </c>
      <c r="S1259" s="3">
        <v>1.65</v>
      </c>
      <c r="T1259" s="3">
        <v>0.5</v>
      </c>
      <c r="U1259" s="3">
        <v>0</v>
      </c>
    </row>
    <row r="1260" spans="1:21" x14ac:dyDescent="0.35">
      <c r="A1260" t="s">
        <v>1008</v>
      </c>
      <c r="B1260" t="s">
        <v>398</v>
      </c>
      <c r="C1260" t="s">
        <v>370</v>
      </c>
      <c r="D1260">
        <v>2016</v>
      </c>
      <c r="E1260">
        <v>232</v>
      </c>
      <c r="F1260" t="s">
        <v>600</v>
      </c>
      <c r="G1260" t="s">
        <v>829</v>
      </c>
      <c r="H1260" t="s">
        <v>832</v>
      </c>
      <c r="K1260" t="s">
        <v>394</v>
      </c>
      <c r="L1260" t="s">
        <v>377</v>
      </c>
      <c r="M1260" t="s">
        <v>348</v>
      </c>
      <c r="N1260" t="s">
        <v>31</v>
      </c>
      <c r="O1260" t="s">
        <v>1007</v>
      </c>
      <c r="P1260" t="s">
        <v>1006</v>
      </c>
      <c r="Q1260" s="2" t="s">
        <v>230</v>
      </c>
      <c r="R1260">
        <v>60</v>
      </c>
      <c r="S1260" s="3">
        <v>1.76</v>
      </c>
      <c r="T1260" s="3">
        <v>0.6</v>
      </c>
      <c r="U1260" s="3">
        <v>0</v>
      </c>
    </row>
    <row r="1261" spans="1:21" x14ac:dyDescent="0.35">
      <c r="A1261" t="s">
        <v>1008</v>
      </c>
      <c r="B1261" t="s">
        <v>398</v>
      </c>
      <c r="C1261" t="s">
        <v>370</v>
      </c>
      <c r="D1261">
        <v>2016</v>
      </c>
      <c r="E1261">
        <v>232</v>
      </c>
      <c r="F1261" t="s">
        <v>600</v>
      </c>
      <c r="G1261" t="s">
        <v>829</v>
      </c>
      <c r="H1261" t="s">
        <v>832</v>
      </c>
      <c r="K1261" t="s">
        <v>378</v>
      </c>
      <c r="L1261" t="s">
        <v>377</v>
      </c>
      <c r="M1261" t="s">
        <v>348</v>
      </c>
      <c r="N1261" t="s">
        <v>31</v>
      </c>
      <c r="O1261" t="s">
        <v>1007</v>
      </c>
      <c r="P1261" t="s">
        <v>1006</v>
      </c>
      <c r="Q1261" s="2" t="s">
        <v>230</v>
      </c>
      <c r="R1261">
        <v>60</v>
      </c>
      <c r="S1261" s="3">
        <v>1.65</v>
      </c>
      <c r="T1261" s="3">
        <v>0.6</v>
      </c>
      <c r="U1261" s="3">
        <v>0</v>
      </c>
    </row>
    <row r="1262" spans="1:21" x14ac:dyDescent="0.35">
      <c r="A1262" t="s">
        <v>1009</v>
      </c>
      <c r="B1262" t="s">
        <v>522</v>
      </c>
      <c r="C1262" t="s">
        <v>385</v>
      </c>
      <c r="D1262">
        <v>2014</v>
      </c>
      <c r="E1262">
        <v>233</v>
      </c>
      <c r="F1262" t="s">
        <v>600</v>
      </c>
      <c r="G1262" t="s">
        <v>829</v>
      </c>
      <c r="H1262" t="s">
        <v>832</v>
      </c>
      <c r="K1262" t="s">
        <v>378</v>
      </c>
      <c r="L1262" t="s">
        <v>1010</v>
      </c>
      <c r="M1262" t="s">
        <v>348</v>
      </c>
      <c r="N1262" t="s">
        <v>538</v>
      </c>
      <c r="O1262" t="s">
        <v>705</v>
      </c>
      <c r="P1262" t="s">
        <v>706</v>
      </c>
      <c r="Q1262" s="2" t="s">
        <v>230</v>
      </c>
      <c r="R1262">
        <v>0</v>
      </c>
      <c r="S1262" s="3">
        <v>1.2</v>
      </c>
      <c r="T1262" s="3">
        <v>0</v>
      </c>
      <c r="U1262" s="3">
        <v>0</v>
      </c>
    </row>
    <row r="1263" spans="1:21" x14ac:dyDescent="0.35">
      <c r="A1263" t="s">
        <v>1009</v>
      </c>
      <c r="B1263" t="s">
        <v>522</v>
      </c>
      <c r="C1263" t="s">
        <v>385</v>
      </c>
      <c r="D1263">
        <v>2014</v>
      </c>
      <c r="E1263">
        <v>233</v>
      </c>
      <c r="F1263" t="s">
        <v>600</v>
      </c>
      <c r="G1263" t="s">
        <v>829</v>
      </c>
      <c r="H1263" t="s">
        <v>832</v>
      </c>
      <c r="K1263" t="s">
        <v>378</v>
      </c>
      <c r="L1263" t="s">
        <v>1010</v>
      </c>
      <c r="M1263" t="s">
        <v>348</v>
      </c>
      <c r="N1263" t="s">
        <v>538</v>
      </c>
      <c r="O1263" t="s">
        <v>705</v>
      </c>
      <c r="P1263" t="s">
        <v>706</v>
      </c>
      <c r="Q1263" s="2" t="s">
        <v>230</v>
      </c>
      <c r="R1263">
        <v>50</v>
      </c>
      <c r="S1263" s="3">
        <v>1.23</v>
      </c>
      <c r="T1263" s="3">
        <v>2.5</v>
      </c>
      <c r="U1263" s="3">
        <v>-12.3</v>
      </c>
    </row>
    <row r="1264" spans="1:21" x14ac:dyDescent="0.35">
      <c r="A1264" t="s">
        <v>1009</v>
      </c>
      <c r="B1264" t="s">
        <v>522</v>
      </c>
      <c r="C1264" t="s">
        <v>385</v>
      </c>
      <c r="D1264">
        <v>2014</v>
      </c>
      <c r="E1264">
        <v>233</v>
      </c>
      <c r="F1264" t="s">
        <v>600</v>
      </c>
      <c r="G1264" t="s">
        <v>829</v>
      </c>
      <c r="H1264" t="s">
        <v>832</v>
      </c>
      <c r="K1264" t="s">
        <v>378</v>
      </c>
      <c r="L1264" t="s">
        <v>1010</v>
      </c>
      <c r="M1264" t="s">
        <v>348</v>
      </c>
      <c r="N1264" t="s">
        <v>538</v>
      </c>
      <c r="O1264" t="s">
        <v>705</v>
      </c>
      <c r="P1264" t="s">
        <v>706</v>
      </c>
      <c r="Q1264" s="2" t="s">
        <v>230</v>
      </c>
      <c r="R1264">
        <v>60</v>
      </c>
      <c r="S1264" s="3">
        <v>1.33</v>
      </c>
      <c r="T1264" s="3">
        <v>4.4000000000000004</v>
      </c>
      <c r="U1264" s="3">
        <v>-14.9</v>
      </c>
    </row>
    <row r="1265" spans="1:21" x14ac:dyDescent="0.35">
      <c r="A1265" t="s">
        <v>1009</v>
      </c>
      <c r="B1265" t="s">
        <v>522</v>
      </c>
      <c r="C1265" t="s">
        <v>385</v>
      </c>
      <c r="D1265">
        <v>2014</v>
      </c>
      <c r="E1265">
        <v>233</v>
      </c>
      <c r="F1265" t="s">
        <v>600</v>
      </c>
      <c r="G1265" t="s">
        <v>829</v>
      </c>
      <c r="H1265" t="s">
        <v>832</v>
      </c>
      <c r="K1265" t="s">
        <v>378</v>
      </c>
      <c r="L1265" t="s">
        <v>1010</v>
      </c>
      <c r="M1265" t="s">
        <v>348</v>
      </c>
      <c r="N1265" t="s">
        <v>538</v>
      </c>
      <c r="O1265" t="s">
        <v>705</v>
      </c>
      <c r="P1265" t="s">
        <v>706</v>
      </c>
      <c r="Q1265" s="2" t="s">
        <v>230</v>
      </c>
      <c r="R1265">
        <v>70</v>
      </c>
      <c r="S1265" s="3">
        <v>1.31</v>
      </c>
      <c r="T1265" s="3">
        <v>5.3</v>
      </c>
      <c r="U1265" s="3">
        <v>-19.899999999999999</v>
      </c>
    </row>
    <row r="1266" spans="1:21" x14ac:dyDescent="0.35">
      <c r="A1266" t="s">
        <v>1009</v>
      </c>
      <c r="B1266" t="s">
        <v>522</v>
      </c>
      <c r="C1266" t="s">
        <v>385</v>
      </c>
      <c r="D1266">
        <v>2014</v>
      </c>
      <c r="E1266">
        <v>233</v>
      </c>
      <c r="F1266" t="s">
        <v>600</v>
      </c>
      <c r="G1266" t="s">
        <v>829</v>
      </c>
      <c r="H1266" t="s">
        <v>832</v>
      </c>
      <c r="K1266" t="s">
        <v>378</v>
      </c>
      <c r="L1266" t="s">
        <v>1010</v>
      </c>
      <c r="M1266" t="s">
        <v>348</v>
      </c>
      <c r="N1266" t="s">
        <v>538</v>
      </c>
      <c r="O1266" t="s">
        <v>705</v>
      </c>
      <c r="P1266" t="s">
        <v>706</v>
      </c>
      <c r="Q1266" s="2" t="s">
        <v>230</v>
      </c>
      <c r="R1266">
        <v>40</v>
      </c>
      <c r="S1266" s="3">
        <v>1.37</v>
      </c>
      <c r="T1266" s="3">
        <v>4.3</v>
      </c>
      <c r="U1266" s="3">
        <v>-13</v>
      </c>
    </row>
    <row r="1267" spans="1:21" x14ac:dyDescent="0.35">
      <c r="A1267" t="s">
        <v>1009</v>
      </c>
      <c r="B1267" t="s">
        <v>522</v>
      </c>
      <c r="C1267" t="s">
        <v>385</v>
      </c>
      <c r="D1267">
        <v>2014</v>
      </c>
      <c r="E1267">
        <v>233</v>
      </c>
      <c r="F1267" t="s">
        <v>600</v>
      </c>
      <c r="G1267" t="s">
        <v>829</v>
      </c>
      <c r="H1267" t="s">
        <v>832</v>
      </c>
      <c r="K1267" t="s">
        <v>378</v>
      </c>
      <c r="L1267" t="s">
        <v>1010</v>
      </c>
      <c r="M1267" t="s">
        <v>348</v>
      </c>
      <c r="N1267" t="s">
        <v>538</v>
      </c>
      <c r="O1267" t="s">
        <v>705</v>
      </c>
      <c r="P1267" t="s">
        <v>706</v>
      </c>
      <c r="Q1267" s="2" t="s">
        <v>230</v>
      </c>
      <c r="R1267">
        <v>50</v>
      </c>
      <c r="S1267" s="3">
        <v>1.48</v>
      </c>
      <c r="T1267" s="3">
        <v>1.7</v>
      </c>
      <c r="U1267" s="3">
        <v>-15.6</v>
      </c>
    </row>
    <row r="1268" spans="1:21" x14ac:dyDescent="0.35">
      <c r="A1268" t="s">
        <v>1009</v>
      </c>
      <c r="B1268" t="s">
        <v>522</v>
      </c>
      <c r="C1268" t="s">
        <v>385</v>
      </c>
      <c r="D1268">
        <v>2014</v>
      </c>
      <c r="E1268">
        <v>233</v>
      </c>
      <c r="F1268" t="s">
        <v>600</v>
      </c>
      <c r="G1268" t="s">
        <v>829</v>
      </c>
      <c r="H1268" t="s">
        <v>832</v>
      </c>
      <c r="K1268" t="s">
        <v>378</v>
      </c>
      <c r="L1268" t="s">
        <v>1010</v>
      </c>
      <c r="M1268" t="s">
        <v>348</v>
      </c>
      <c r="N1268" t="s">
        <v>538</v>
      </c>
      <c r="O1268" t="s">
        <v>705</v>
      </c>
      <c r="P1268" t="s">
        <v>706</v>
      </c>
      <c r="Q1268" s="2" t="s">
        <v>230</v>
      </c>
      <c r="R1268">
        <v>60</v>
      </c>
      <c r="S1268" s="3">
        <v>1.53</v>
      </c>
      <c r="T1268" s="3">
        <v>1.9</v>
      </c>
      <c r="U1268" s="3">
        <v>-19</v>
      </c>
    </row>
    <row r="1269" spans="1:21" x14ac:dyDescent="0.35">
      <c r="A1269" t="s">
        <v>1011</v>
      </c>
      <c r="B1269" t="s">
        <v>468</v>
      </c>
      <c r="C1269" t="s">
        <v>370</v>
      </c>
      <c r="D1269">
        <v>2015</v>
      </c>
      <c r="E1269">
        <v>234</v>
      </c>
      <c r="F1269" t="s">
        <v>600</v>
      </c>
      <c r="G1269" t="s">
        <v>829</v>
      </c>
      <c r="H1269" t="s">
        <v>851</v>
      </c>
      <c r="K1269" t="s">
        <v>394</v>
      </c>
      <c r="M1269" t="s">
        <v>348</v>
      </c>
      <c r="N1269" t="s">
        <v>538</v>
      </c>
      <c r="O1269" t="s">
        <v>912</v>
      </c>
      <c r="P1269" t="s">
        <v>902</v>
      </c>
      <c r="Q1269" s="2" t="s">
        <v>229</v>
      </c>
      <c r="R1269">
        <v>0</v>
      </c>
      <c r="S1269" s="3">
        <v>1.43</v>
      </c>
      <c r="T1269" s="3">
        <v>0</v>
      </c>
      <c r="U1269" s="3">
        <v>0</v>
      </c>
    </row>
    <row r="1270" spans="1:21" x14ac:dyDescent="0.35">
      <c r="A1270" t="s">
        <v>1011</v>
      </c>
      <c r="B1270" t="s">
        <v>468</v>
      </c>
      <c r="C1270" t="s">
        <v>370</v>
      </c>
      <c r="D1270">
        <v>2015</v>
      </c>
      <c r="E1270">
        <v>234</v>
      </c>
      <c r="F1270" t="s">
        <v>600</v>
      </c>
      <c r="G1270" t="s">
        <v>829</v>
      </c>
      <c r="H1270" t="s">
        <v>851</v>
      </c>
      <c r="K1270" t="s">
        <v>394</v>
      </c>
      <c r="M1270" t="s">
        <v>348</v>
      </c>
      <c r="N1270" t="s">
        <v>538</v>
      </c>
      <c r="O1270" t="s">
        <v>912</v>
      </c>
      <c r="P1270" t="s">
        <v>902</v>
      </c>
      <c r="Q1270" s="2" t="s">
        <v>229</v>
      </c>
      <c r="R1270">
        <v>20</v>
      </c>
      <c r="S1270" s="3">
        <v>1.53</v>
      </c>
      <c r="T1270" s="3">
        <v>0.5</v>
      </c>
      <c r="U1270" s="3">
        <v>0</v>
      </c>
    </row>
    <row r="1271" spans="1:21" x14ac:dyDescent="0.35">
      <c r="A1271" t="s">
        <v>1011</v>
      </c>
      <c r="B1271" t="s">
        <v>468</v>
      </c>
      <c r="C1271" t="s">
        <v>370</v>
      </c>
      <c r="D1271">
        <v>2015</v>
      </c>
      <c r="E1271">
        <v>234</v>
      </c>
      <c r="F1271" t="s">
        <v>600</v>
      </c>
      <c r="G1271" t="s">
        <v>829</v>
      </c>
      <c r="H1271" t="s">
        <v>851</v>
      </c>
      <c r="K1271" t="s">
        <v>394</v>
      </c>
      <c r="M1271" t="s">
        <v>348</v>
      </c>
      <c r="N1271" t="s">
        <v>538</v>
      </c>
      <c r="O1271" t="s">
        <v>912</v>
      </c>
      <c r="P1271" t="s">
        <v>902</v>
      </c>
      <c r="Q1271" s="2" t="s">
        <v>229</v>
      </c>
      <c r="R1271">
        <v>40</v>
      </c>
      <c r="S1271" s="3">
        <v>1.58</v>
      </c>
      <c r="T1271" s="3">
        <v>1.1000000000000001</v>
      </c>
      <c r="U1271" s="3">
        <v>-0.2</v>
      </c>
    </row>
    <row r="1272" spans="1:21" x14ac:dyDescent="0.35">
      <c r="A1272" t="s">
        <v>1011</v>
      </c>
      <c r="B1272" t="s">
        <v>468</v>
      </c>
      <c r="C1272" t="s">
        <v>370</v>
      </c>
      <c r="D1272">
        <v>2015</v>
      </c>
      <c r="E1272">
        <v>234</v>
      </c>
      <c r="F1272" t="s">
        <v>600</v>
      </c>
      <c r="G1272" t="s">
        <v>829</v>
      </c>
      <c r="H1272" t="s">
        <v>851</v>
      </c>
      <c r="K1272" t="s">
        <v>394</v>
      </c>
      <c r="M1272" t="s">
        <v>348</v>
      </c>
      <c r="N1272" t="s">
        <v>538</v>
      </c>
      <c r="O1272" t="s">
        <v>912</v>
      </c>
      <c r="P1272" t="s">
        <v>902</v>
      </c>
      <c r="Q1272" s="2" t="s">
        <v>229</v>
      </c>
      <c r="R1272">
        <v>60</v>
      </c>
      <c r="S1272" s="3">
        <v>1.66</v>
      </c>
      <c r="T1272" s="3">
        <v>1.5</v>
      </c>
      <c r="U1272" s="3">
        <v>-0.6</v>
      </c>
    </row>
    <row r="1273" spans="1:21" x14ac:dyDescent="0.35">
      <c r="A1273" t="s">
        <v>1011</v>
      </c>
      <c r="B1273" t="s">
        <v>468</v>
      </c>
      <c r="C1273" t="s">
        <v>370</v>
      </c>
      <c r="D1273">
        <v>2015</v>
      </c>
      <c r="E1273">
        <v>234</v>
      </c>
      <c r="F1273" t="s">
        <v>600</v>
      </c>
      <c r="G1273" t="s">
        <v>829</v>
      </c>
      <c r="H1273" t="s">
        <v>851</v>
      </c>
      <c r="K1273" t="s">
        <v>394</v>
      </c>
      <c r="M1273" t="s">
        <v>348</v>
      </c>
      <c r="N1273" t="s">
        <v>538</v>
      </c>
      <c r="O1273" t="s">
        <v>912</v>
      </c>
      <c r="P1273" t="s">
        <v>902</v>
      </c>
      <c r="Q1273" s="2" t="s">
        <v>229</v>
      </c>
      <c r="R1273">
        <v>80</v>
      </c>
      <c r="S1273" s="3">
        <v>1.72</v>
      </c>
      <c r="T1273" s="3">
        <v>2.2000000000000002</v>
      </c>
      <c r="U1273" s="3">
        <v>-1.6</v>
      </c>
    </row>
    <row r="1274" spans="1:21" x14ac:dyDescent="0.35">
      <c r="A1274" t="s">
        <v>1011</v>
      </c>
      <c r="B1274" t="s">
        <v>468</v>
      </c>
      <c r="C1274" t="s">
        <v>370</v>
      </c>
      <c r="D1274">
        <v>2015</v>
      </c>
      <c r="E1274">
        <v>234</v>
      </c>
      <c r="F1274" t="s">
        <v>600</v>
      </c>
      <c r="G1274" t="s">
        <v>829</v>
      </c>
      <c r="H1274" t="s">
        <v>851</v>
      </c>
      <c r="K1274" t="s">
        <v>378</v>
      </c>
      <c r="L1274" t="s">
        <v>393</v>
      </c>
      <c r="M1274" t="s">
        <v>348</v>
      </c>
      <c r="N1274" t="s">
        <v>538</v>
      </c>
      <c r="O1274" t="s">
        <v>912</v>
      </c>
      <c r="P1274" t="s">
        <v>902</v>
      </c>
      <c r="Q1274" s="2" t="s">
        <v>229</v>
      </c>
      <c r="R1274">
        <v>0</v>
      </c>
      <c r="S1274" s="3">
        <v>1.68</v>
      </c>
      <c r="T1274" s="3">
        <v>0</v>
      </c>
      <c r="U1274" s="3">
        <v>0</v>
      </c>
    </row>
    <row r="1275" spans="1:21" x14ac:dyDescent="0.35">
      <c r="A1275" t="s">
        <v>1011</v>
      </c>
      <c r="B1275" t="s">
        <v>468</v>
      </c>
      <c r="C1275" t="s">
        <v>370</v>
      </c>
      <c r="D1275">
        <v>2015</v>
      </c>
      <c r="E1275">
        <v>234</v>
      </c>
      <c r="F1275" t="s">
        <v>600</v>
      </c>
      <c r="G1275" t="s">
        <v>829</v>
      </c>
      <c r="H1275" t="s">
        <v>851</v>
      </c>
      <c r="K1275" t="s">
        <v>378</v>
      </c>
      <c r="L1275" t="s">
        <v>393</v>
      </c>
      <c r="M1275" t="s">
        <v>348</v>
      </c>
      <c r="N1275" t="s">
        <v>538</v>
      </c>
      <c r="O1275" t="s">
        <v>912</v>
      </c>
      <c r="P1275" t="s">
        <v>902</v>
      </c>
      <c r="Q1275" s="2" t="s">
        <v>229</v>
      </c>
      <c r="R1275">
        <v>40</v>
      </c>
      <c r="S1275" s="3">
        <v>1.54</v>
      </c>
      <c r="T1275" s="3">
        <v>1.1000000000000001</v>
      </c>
      <c r="U1275" s="3">
        <v>-0.2</v>
      </c>
    </row>
    <row r="1276" spans="1:21" x14ac:dyDescent="0.35">
      <c r="A1276" t="s">
        <v>1011</v>
      </c>
      <c r="B1276" t="s">
        <v>468</v>
      </c>
      <c r="C1276" t="s">
        <v>370</v>
      </c>
      <c r="D1276">
        <v>2015</v>
      </c>
      <c r="E1276">
        <v>234</v>
      </c>
      <c r="F1276" t="s">
        <v>600</v>
      </c>
      <c r="G1276" t="s">
        <v>829</v>
      </c>
      <c r="H1276" t="s">
        <v>851</v>
      </c>
      <c r="K1276" t="s">
        <v>378</v>
      </c>
      <c r="L1276" t="s">
        <v>393</v>
      </c>
      <c r="M1276" t="s">
        <v>348</v>
      </c>
      <c r="N1276" t="s">
        <v>538</v>
      </c>
      <c r="O1276" t="s">
        <v>912</v>
      </c>
      <c r="P1276" t="s">
        <v>902</v>
      </c>
      <c r="Q1276" s="2" t="s">
        <v>229</v>
      </c>
      <c r="R1276">
        <v>80</v>
      </c>
      <c r="S1276" s="3">
        <v>1.51</v>
      </c>
      <c r="T1276" s="3">
        <v>2.2000000000000002</v>
      </c>
      <c r="U1276" s="3">
        <v>-1.6</v>
      </c>
    </row>
    <row r="1277" spans="1:21" x14ac:dyDescent="0.35">
      <c r="A1277" t="s">
        <v>1012</v>
      </c>
      <c r="B1277" t="s">
        <v>522</v>
      </c>
      <c r="C1277" t="s">
        <v>370</v>
      </c>
      <c r="D1277">
        <v>2016</v>
      </c>
      <c r="E1277">
        <v>235</v>
      </c>
      <c r="F1277" t="s">
        <v>600</v>
      </c>
      <c r="G1277" t="s">
        <v>829</v>
      </c>
      <c r="H1277" t="s">
        <v>964</v>
      </c>
      <c r="K1277" t="s">
        <v>378</v>
      </c>
      <c r="L1277" t="s">
        <v>1013</v>
      </c>
      <c r="M1277" t="s">
        <v>348</v>
      </c>
      <c r="N1277" t="s">
        <v>173</v>
      </c>
      <c r="O1277" t="s">
        <v>439</v>
      </c>
      <c r="P1277" t="s">
        <v>172</v>
      </c>
      <c r="Q1277" s="2" t="s">
        <v>230</v>
      </c>
      <c r="R1277">
        <v>0</v>
      </c>
      <c r="S1277" s="3">
        <v>1.22</v>
      </c>
      <c r="T1277" s="3">
        <v>0</v>
      </c>
      <c r="U1277" s="3">
        <v>0</v>
      </c>
    </row>
    <row r="1278" spans="1:21" x14ac:dyDescent="0.35">
      <c r="A1278" t="s">
        <v>1012</v>
      </c>
      <c r="B1278" t="s">
        <v>522</v>
      </c>
      <c r="C1278" t="s">
        <v>370</v>
      </c>
      <c r="D1278">
        <v>2016</v>
      </c>
      <c r="E1278">
        <v>235</v>
      </c>
      <c r="F1278" t="s">
        <v>600</v>
      </c>
      <c r="G1278" t="s">
        <v>829</v>
      </c>
      <c r="H1278" t="s">
        <v>964</v>
      </c>
      <c r="K1278" t="s">
        <v>378</v>
      </c>
      <c r="L1278" t="s">
        <v>1013</v>
      </c>
      <c r="M1278" t="s">
        <v>348</v>
      </c>
      <c r="N1278" t="s">
        <v>173</v>
      </c>
      <c r="O1278" t="s">
        <v>439</v>
      </c>
      <c r="P1278" t="s">
        <v>172</v>
      </c>
      <c r="Q1278" s="2" t="s">
        <v>230</v>
      </c>
      <c r="R1278">
        <v>20</v>
      </c>
      <c r="S1278" s="3">
        <v>1.22</v>
      </c>
      <c r="T1278" s="3">
        <v>0.25</v>
      </c>
      <c r="U1278" s="3">
        <v>-1.63</v>
      </c>
    </row>
    <row r="1279" spans="1:21" x14ac:dyDescent="0.35">
      <c r="A1279" t="s">
        <v>1012</v>
      </c>
      <c r="B1279" t="s">
        <v>522</v>
      </c>
      <c r="C1279" t="s">
        <v>370</v>
      </c>
      <c r="D1279">
        <v>2016</v>
      </c>
      <c r="E1279">
        <v>235</v>
      </c>
      <c r="F1279" t="s">
        <v>600</v>
      </c>
      <c r="G1279" t="s">
        <v>829</v>
      </c>
      <c r="H1279" t="s">
        <v>964</v>
      </c>
      <c r="K1279" t="s">
        <v>378</v>
      </c>
      <c r="L1279" t="s">
        <v>1013</v>
      </c>
      <c r="M1279" t="s">
        <v>348</v>
      </c>
      <c r="N1279" t="s">
        <v>173</v>
      </c>
      <c r="O1279" t="s">
        <v>439</v>
      </c>
      <c r="P1279" t="s">
        <v>172</v>
      </c>
      <c r="Q1279" s="2" t="s">
        <v>230</v>
      </c>
      <c r="R1279">
        <v>40</v>
      </c>
      <c r="S1279" s="3">
        <v>1.1100000000000001</v>
      </c>
      <c r="T1279" s="3">
        <v>0.45</v>
      </c>
      <c r="U1279" s="3">
        <v>-2.2200000000000002</v>
      </c>
    </row>
    <row r="1280" spans="1:21" x14ac:dyDescent="0.35">
      <c r="A1280" t="s">
        <v>1012</v>
      </c>
      <c r="B1280" t="s">
        <v>522</v>
      </c>
      <c r="C1280" t="s">
        <v>370</v>
      </c>
      <c r="D1280">
        <v>2016</v>
      </c>
      <c r="E1280">
        <v>235</v>
      </c>
      <c r="F1280" t="s">
        <v>600</v>
      </c>
      <c r="G1280" t="s">
        <v>829</v>
      </c>
      <c r="H1280" t="s">
        <v>964</v>
      </c>
      <c r="K1280" t="s">
        <v>378</v>
      </c>
      <c r="L1280" t="s">
        <v>1013</v>
      </c>
      <c r="M1280" t="s">
        <v>348</v>
      </c>
      <c r="N1280" t="s">
        <v>173</v>
      </c>
      <c r="O1280" t="s">
        <v>439</v>
      </c>
      <c r="P1280" t="s">
        <v>172</v>
      </c>
      <c r="Q1280" s="2" t="s">
        <v>230</v>
      </c>
      <c r="R1280">
        <v>60</v>
      </c>
      <c r="S1280" s="3">
        <v>1.0900000000000001</v>
      </c>
      <c r="T1280" s="3">
        <v>0.75</v>
      </c>
      <c r="U1280" s="3">
        <v>-4.82</v>
      </c>
    </row>
    <row r="1281" spans="1:21" x14ac:dyDescent="0.35">
      <c r="A1281" t="s">
        <v>1012</v>
      </c>
      <c r="B1281" t="s">
        <v>522</v>
      </c>
      <c r="C1281" t="s">
        <v>370</v>
      </c>
      <c r="D1281">
        <v>2016</v>
      </c>
      <c r="E1281">
        <v>235</v>
      </c>
      <c r="F1281" t="s">
        <v>600</v>
      </c>
      <c r="G1281" t="s">
        <v>829</v>
      </c>
      <c r="H1281" t="s">
        <v>964</v>
      </c>
      <c r="K1281" t="s">
        <v>378</v>
      </c>
      <c r="L1281" t="s">
        <v>1013</v>
      </c>
      <c r="M1281" t="s">
        <v>348</v>
      </c>
      <c r="N1281" t="s">
        <v>173</v>
      </c>
      <c r="O1281" t="s">
        <v>439</v>
      </c>
      <c r="P1281" t="s">
        <v>172</v>
      </c>
      <c r="Q1281" s="2" t="s">
        <v>230</v>
      </c>
      <c r="R1281">
        <v>80</v>
      </c>
      <c r="S1281" s="3">
        <v>1</v>
      </c>
      <c r="T1281" s="3">
        <v>0.9</v>
      </c>
      <c r="U1281" s="3">
        <v>-6.33</v>
      </c>
    </row>
    <row r="1282" spans="1:21" x14ac:dyDescent="0.35">
      <c r="A1282" t="s">
        <v>1016</v>
      </c>
      <c r="B1282" t="s">
        <v>1017</v>
      </c>
      <c r="C1282" t="s">
        <v>370</v>
      </c>
      <c r="D1282">
        <v>2012</v>
      </c>
      <c r="E1282">
        <v>234</v>
      </c>
      <c r="F1282" t="s">
        <v>600</v>
      </c>
      <c r="G1282" t="s">
        <v>829</v>
      </c>
      <c r="H1282" t="s">
        <v>1018</v>
      </c>
      <c r="K1282" t="s">
        <v>378</v>
      </c>
      <c r="L1282" t="s">
        <v>845</v>
      </c>
      <c r="M1282" t="s">
        <v>348</v>
      </c>
      <c r="N1282" t="s">
        <v>538</v>
      </c>
      <c r="O1282" t="s">
        <v>1015</v>
      </c>
      <c r="P1282" t="s">
        <v>1014</v>
      </c>
      <c r="Q1282" s="2" t="s">
        <v>230</v>
      </c>
      <c r="R1282">
        <v>0</v>
      </c>
      <c r="S1282" s="3">
        <v>1.69</v>
      </c>
      <c r="T1282" s="3">
        <v>0</v>
      </c>
      <c r="U1282" s="3">
        <v>0</v>
      </c>
    </row>
    <row r="1283" spans="1:21" x14ac:dyDescent="0.35">
      <c r="A1283" t="s">
        <v>1016</v>
      </c>
      <c r="B1283" t="s">
        <v>1017</v>
      </c>
      <c r="C1283" t="s">
        <v>370</v>
      </c>
      <c r="D1283">
        <v>2012</v>
      </c>
      <c r="E1283">
        <v>234</v>
      </c>
      <c r="F1283" t="s">
        <v>600</v>
      </c>
      <c r="G1283" t="s">
        <v>829</v>
      </c>
      <c r="H1283" t="s">
        <v>1018</v>
      </c>
      <c r="K1283" t="s">
        <v>378</v>
      </c>
      <c r="L1283" t="s">
        <v>845</v>
      </c>
      <c r="M1283" t="s">
        <v>348</v>
      </c>
      <c r="N1283" t="s">
        <v>538</v>
      </c>
      <c r="O1283" t="s">
        <v>1015</v>
      </c>
      <c r="P1283" t="s">
        <v>1014</v>
      </c>
      <c r="Q1283" s="2" t="s">
        <v>230</v>
      </c>
      <c r="R1283">
        <v>25</v>
      </c>
      <c r="S1283" s="3">
        <v>1.64</v>
      </c>
      <c r="T1283" s="3">
        <v>0.7</v>
      </c>
      <c r="U1283" s="3">
        <v>0</v>
      </c>
    </row>
    <row r="1284" spans="1:21" x14ac:dyDescent="0.35">
      <c r="A1284" t="s">
        <v>1016</v>
      </c>
      <c r="B1284" t="s">
        <v>1017</v>
      </c>
      <c r="C1284" t="s">
        <v>370</v>
      </c>
      <c r="D1284">
        <v>2012</v>
      </c>
      <c r="E1284">
        <v>234</v>
      </c>
      <c r="F1284" t="s">
        <v>600</v>
      </c>
      <c r="G1284" t="s">
        <v>829</v>
      </c>
      <c r="H1284" t="s">
        <v>1018</v>
      </c>
      <c r="K1284" t="s">
        <v>378</v>
      </c>
      <c r="L1284" t="s">
        <v>845</v>
      </c>
      <c r="M1284" t="s">
        <v>348</v>
      </c>
      <c r="N1284" t="s">
        <v>538</v>
      </c>
      <c r="O1284" t="s">
        <v>1015</v>
      </c>
      <c r="P1284" t="s">
        <v>1014</v>
      </c>
      <c r="Q1284" s="2" t="s">
        <v>230</v>
      </c>
      <c r="R1284">
        <v>50</v>
      </c>
      <c r="S1284" s="3">
        <v>1.69</v>
      </c>
      <c r="T1284" s="3">
        <v>1.5</v>
      </c>
      <c r="U1284" s="3">
        <v>0</v>
      </c>
    </row>
    <row r="1285" spans="1:21" x14ac:dyDescent="0.35">
      <c r="A1285" t="s">
        <v>1016</v>
      </c>
      <c r="B1285" t="s">
        <v>1017</v>
      </c>
      <c r="C1285" t="s">
        <v>370</v>
      </c>
      <c r="D1285">
        <v>2012</v>
      </c>
      <c r="E1285">
        <v>234</v>
      </c>
      <c r="F1285" t="s">
        <v>600</v>
      </c>
      <c r="G1285" t="s">
        <v>829</v>
      </c>
      <c r="H1285" t="s">
        <v>1018</v>
      </c>
      <c r="K1285" t="s">
        <v>378</v>
      </c>
      <c r="L1285" t="s">
        <v>845</v>
      </c>
      <c r="M1285" t="s">
        <v>348</v>
      </c>
      <c r="N1285" t="s">
        <v>538</v>
      </c>
      <c r="O1285" t="s">
        <v>1015</v>
      </c>
      <c r="P1285" t="s">
        <v>1014</v>
      </c>
      <c r="Q1285" s="2" t="s">
        <v>230</v>
      </c>
      <c r="R1285">
        <v>62.5</v>
      </c>
      <c r="S1285" s="3">
        <v>1.76</v>
      </c>
      <c r="T1285" s="3">
        <v>1.9</v>
      </c>
      <c r="U1285" s="3">
        <v>0</v>
      </c>
    </row>
    <row r="1286" spans="1:21" x14ac:dyDescent="0.35">
      <c r="A1286" t="s">
        <v>1016</v>
      </c>
      <c r="B1286" t="s">
        <v>1017</v>
      </c>
      <c r="C1286" t="s">
        <v>370</v>
      </c>
      <c r="D1286">
        <v>2012</v>
      </c>
      <c r="E1286">
        <v>234</v>
      </c>
      <c r="F1286" t="s">
        <v>600</v>
      </c>
      <c r="G1286" t="s">
        <v>829</v>
      </c>
      <c r="H1286" t="s">
        <v>1018</v>
      </c>
      <c r="K1286" t="s">
        <v>378</v>
      </c>
      <c r="L1286" t="s">
        <v>845</v>
      </c>
      <c r="M1286" t="s">
        <v>348</v>
      </c>
      <c r="N1286" t="s">
        <v>538</v>
      </c>
      <c r="O1286" t="s">
        <v>1015</v>
      </c>
      <c r="P1286" t="s">
        <v>1014</v>
      </c>
      <c r="Q1286" s="2" t="s">
        <v>230</v>
      </c>
      <c r="R1286">
        <v>75</v>
      </c>
      <c r="S1286" s="3">
        <v>2.13</v>
      </c>
      <c r="T1286" s="3">
        <v>2.2999999999999998</v>
      </c>
      <c r="U1286" s="3">
        <v>0</v>
      </c>
    </row>
    <row r="1287" spans="1:21" x14ac:dyDescent="0.35">
      <c r="A1287" t="s">
        <v>1016</v>
      </c>
      <c r="B1287" t="s">
        <v>1017</v>
      </c>
      <c r="C1287" t="s">
        <v>370</v>
      </c>
      <c r="D1287">
        <v>2012</v>
      </c>
      <c r="E1287">
        <v>234</v>
      </c>
      <c r="F1287" t="s">
        <v>600</v>
      </c>
      <c r="G1287" t="s">
        <v>829</v>
      </c>
      <c r="H1287" t="s">
        <v>1018</v>
      </c>
      <c r="K1287" t="s">
        <v>378</v>
      </c>
      <c r="L1287" t="s">
        <v>845</v>
      </c>
      <c r="M1287" t="s">
        <v>348</v>
      </c>
      <c r="N1287" t="s">
        <v>538</v>
      </c>
      <c r="O1287" t="s">
        <v>1015</v>
      </c>
      <c r="P1287" t="s">
        <v>1014</v>
      </c>
      <c r="Q1287" s="2" t="s">
        <v>230</v>
      </c>
      <c r="R1287">
        <v>87.5</v>
      </c>
      <c r="S1287" s="3">
        <v>2.41</v>
      </c>
      <c r="T1287" s="3">
        <v>2.7</v>
      </c>
      <c r="U1287" s="3">
        <v>0</v>
      </c>
    </row>
    <row r="1288" spans="1:21" x14ac:dyDescent="0.35">
      <c r="A1288" t="s">
        <v>1016</v>
      </c>
      <c r="B1288" t="s">
        <v>1017</v>
      </c>
      <c r="C1288" t="s">
        <v>370</v>
      </c>
      <c r="D1288">
        <v>2012</v>
      </c>
      <c r="E1288">
        <v>234</v>
      </c>
      <c r="F1288" t="s">
        <v>600</v>
      </c>
      <c r="G1288" t="s">
        <v>829</v>
      </c>
      <c r="H1288" t="s">
        <v>1018</v>
      </c>
      <c r="K1288" t="s">
        <v>378</v>
      </c>
      <c r="L1288" t="s">
        <v>845</v>
      </c>
      <c r="M1288" t="s">
        <v>348</v>
      </c>
      <c r="N1288" t="s">
        <v>538</v>
      </c>
      <c r="O1288" t="s">
        <v>1015</v>
      </c>
      <c r="P1288" t="s">
        <v>1014</v>
      </c>
      <c r="Q1288" s="2" t="s">
        <v>230</v>
      </c>
      <c r="R1288">
        <v>100</v>
      </c>
      <c r="S1288" s="3">
        <v>2.73</v>
      </c>
      <c r="T1288" s="3">
        <v>3.1</v>
      </c>
      <c r="U1288" s="3">
        <v>0</v>
      </c>
    </row>
    <row r="1289" spans="1:21" x14ac:dyDescent="0.35">
      <c r="A1289" t="s">
        <v>1016</v>
      </c>
      <c r="B1289" t="s">
        <v>1017</v>
      </c>
      <c r="C1289" t="s">
        <v>370</v>
      </c>
      <c r="D1289">
        <v>2012</v>
      </c>
      <c r="E1289">
        <v>234</v>
      </c>
      <c r="F1289" t="s">
        <v>600</v>
      </c>
      <c r="G1289" t="s">
        <v>829</v>
      </c>
      <c r="H1289" t="s">
        <v>1018</v>
      </c>
      <c r="K1289" t="s">
        <v>378</v>
      </c>
      <c r="L1289" t="s">
        <v>845</v>
      </c>
      <c r="M1289" t="s">
        <v>348</v>
      </c>
      <c r="N1289" t="s">
        <v>538</v>
      </c>
      <c r="O1289" t="s">
        <v>1015</v>
      </c>
      <c r="P1289" t="s">
        <v>1014</v>
      </c>
      <c r="Q1289" s="2" t="s">
        <v>230</v>
      </c>
      <c r="R1289">
        <v>100</v>
      </c>
      <c r="S1289" s="3">
        <v>2.71</v>
      </c>
      <c r="T1289" s="3">
        <v>3.1</v>
      </c>
      <c r="U1289" s="3">
        <v>0</v>
      </c>
    </row>
    <row r="1290" spans="1:21" x14ac:dyDescent="0.35">
      <c r="A1290" t="s">
        <v>1019</v>
      </c>
      <c r="B1290" t="s">
        <v>1020</v>
      </c>
      <c r="C1290" t="s">
        <v>370</v>
      </c>
      <c r="D1290">
        <v>2016</v>
      </c>
      <c r="E1290">
        <v>235</v>
      </c>
      <c r="F1290" t="s">
        <v>600</v>
      </c>
      <c r="G1290" t="s">
        <v>829</v>
      </c>
      <c r="H1290" t="s">
        <v>832</v>
      </c>
      <c r="K1290" t="s">
        <v>394</v>
      </c>
      <c r="M1290" t="s">
        <v>348</v>
      </c>
      <c r="N1290" t="s">
        <v>538</v>
      </c>
      <c r="O1290" t="s">
        <v>149</v>
      </c>
      <c r="P1290" t="s">
        <v>935</v>
      </c>
      <c r="Q1290" s="2" t="s">
        <v>230</v>
      </c>
      <c r="R1290">
        <v>0</v>
      </c>
      <c r="S1290" s="3">
        <f>1/1.5</f>
        <v>0.66666666666666663</v>
      </c>
      <c r="T1290" s="3">
        <v>0</v>
      </c>
      <c r="U1290" s="3">
        <v>0</v>
      </c>
    </row>
    <row r="1291" spans="1:21" x14ac:dyDescent="0.35">
      <c r="A1291" t="s">
        <v>1019</v>
      </c>
      <c r="B1291" t="s">
        <v>1020</v>
      </c>
      <c r="C1291" t="s">
        <v>370</v>
      </c>
      <c r="D1291">
        <v>2016</v>
      </c>
      <c r="E1291">
        <v>235</v>
      </c>
      <c r="F1291" t="s">
        <v>600</v>
      </c>
      <c r="G1291" t="s">
        <v>829</v>
      </c>
      <c r="H1291" t="s">
        <v>832</v>
      </c>
      <c r="K1291" t="s">
        <v>394</v>
      </c>
      <c r="M1291" t="s">
        <v>348</v>
      </c>
      <c r="N1291" t="s">
        <v>538</v>
      </c>
      <c r="O1291" t="s">
        <v>149</v>
      </c>
      <c r="P1291" t="s">
        <v>935</v>
      </c>
      <c r="Q1291" s="2" t="s">
        <v>230</v>
      </c>
      <c r="R1291">
        <v>45</v>
      </c>
      <c r="S1291" s="3">
        <f>1/1.2</f>
        <v>0.83333333333333337</v>
      </c>
      <c r="T1291" s="3">
        <v>2</v>
      </c>
      <c r="U1291" s="3">
        <v>-12.6</v>
      </c>
    </row>
    <row r="1292" spans="1:21" x14ac:dyDescent="0.35">
      <c r="A1292" t="s">
        <v>1019</v>
      </c>
      <c r="B1292" t="s">
        <v>1020</v>
      </c>
      <c r="C1292" t="s">
        <v>370</v>
      </c>
      <c r="D1292">
        <v>2016</v>
      </c>
      <c r="E1292">
        <v>235</v>
      </c>
      <c r="F1292" t="s">
        <v>600</v>
      </c>
      <c r="G1292" t="s">
        <v>829</v>
      </c>
      <c r="H1292" t="s">
        <v>832</v>
      </c>
      <c r="K1292" t="s">
        <v>378</v>
      </c>
      <c r="L1292" t="s">
        <v>863</v>
      </c>
      <c r="M1292" t="s">
        <v>348</v>
      </c>
      <c r="N1292" t="s">
        <v>538</v>
      </c>
      <c r="O1292" t="s">
        <v>149</v>
      </c>
      <c r="P1292" t="s">
        <v>935</v>
      </c>
      <c r="Q1292" s="2" t="s">
        <v>230</v>
      </c>
      <c r="R1292">
        <v>45</v>
      </c>
      <c r="S1292" s="3">
        <f>1/1.3</f>
        <v>0.76923076923076916</v>
      </c>
      <c r="T1292" s="3">
        <v>2</v>
      </c>
      <c r="U1292" s="3">
        <v>-12.6</v>
      </c>
    </row>
    <row r="1293" spans="1:21" x14ac:dyDescent="0.35">
      <c r="A1293" t="s">
        <v>1021</v>
      </c>
      <c r="B1293" t="s">
        <v>522</v>
      </c>
      <c r="C1293" t="s">
        <v>485</v>
      </c>
      <c r="D1293">
        <v>2016</v>
      </c>
      <c r="E1293">
        <v>236</v>
      </c>
      <c r="F1293" t="s">
        <v>600</v>
      </c>
      <c r="G1293" t="s">
        <v>829</v>
      </c>
      <c r="H1293" t="s">
        <v>1022</v>
      </c>
      <c r="K1293" t="s">
        <v>394</v>
      </c>
      <c r="M1293" t="s">
        <v>348</v>
      </c>
      <c r="N1293" t="s">
        <v>538</v>
      </c>
      <c r="O1293" t="s">
        <v>1024</v>
      </c>
      <c r="P1293" t="s">
        <v>1023</v>
      </c>
      <c r="Q1293" s="2" t="s">
        <v>230</v>
      </c>
      <c r="R1293">
        <v>0</v>
      </c>
      <c r="S1293" s="3">
        <v>1.4</v>
      </c>
      <c r="T1293" s="3">
        <v>0</v>
      </c>
      <c r="U1293" s="3">
        <v>0</v>
      </c>
    </row>
    <row r="1294" spans="1:21" x14ac:dyDescent="0.35">
      <c r="A1294" t="s">
        <v>1021</v>
      </c>
      <c r="B1294" t="s">
        <v>522</v>
      </c>
      <c r="C1294" t="s">
        <v>485</v>
      </c>
      <c r="D1294">
        <v>2016</v>
      </c>
      <c r="E1294">
        <v>236</v>
      </c>
      <c r="F1294" t="s">
        <v>600</v>
      </c>
      <c r="G1294" t="s">
        <v>829</v>
      </c>
      <c r="H1294" t="s">
        <v>1022</v>
      </c>
      <c r="K1294" t="s">
        <v>394</v>
      </c>
      <c r="M1294" t="s">
        <v>348</v>
      </c>
      <c r="N1294" t="s">
        <v>538</v>
      </c>
      <c r="O1294" t="s">
        <v>1024</v>
      </c>
      <c r="P1294" t="s">
        <v>1023</v>
      </c>
      <c r="Q1294" s="2" t="s">
        <v>230</v>
      </c>
      <c r="R1294">
        <v>15</v>
      </c>
      <c r="S1294" s="3">
        <v>1.4</v>
      </c>
      <c r="T1294" s="3">
        <v>1</v>
      </c>
      <c r="U1294" s="3">
        <v>-1.5</v>
      </c>
    </row>
    <row r="1295" spans="1:21" x14ac:dyDescent="0.35">
      <c r="A1295" t="s">
        <v>1021</v>
      </c>
      <c r="B1295" t="s">
        <v>522</v>
      </c>
      <c r="C1295" t="s">
        <v>485</v>
      </c>
      <c r="D1295">
        <v>2016</v>
      </c>
      <c r="E1295">
        <v>236</v>
      </c>
      <c r="F1295" t="s">
        <v>600</v>
      </c>
      <c r="G1295" t="s">
        <v>829</v>
      </c>
      <c r="H1295" t="s">
        <v>1022</v>
      </c>
      <c r="K1295" t="s">
        <v>394</v>
      </c>
      <c r="M1295" t="s">
        <v>348</v>
      </c>
      <c r="N1295" t="s">
        <v>538</v>
      </c>
      <c r="O1295" t="s">
        <v>1024</v>
      </c>
      <c r="P1295" t="s">
        <v>1023</v>
      </c>
      <c r="Q1295" s="2" t="s">
        <v>230</v>
      </c>
      <c r="R1295">
        <v>30</v>
      </c>
      <c r="S1295" s="3">
        <v>1.6</v>
      </c>
      <c r="T1295" s="3">
        <v>3</v>
      </c>
      <c r="U1295" s="3">
        <v>-4</v>
      </c>
    </row>
    <row r="1296" spans="1:21" x14ac:dyDescent="0.35">
      <c r="A1296" t="s">
        <v>1021</v>
      </c>
      <c r="B1296" t="s">
        <v>522</v>
      </c>
      <c r="C1296" t="s">
        <v>485</v>
      </c>
      <c r="D1296">
        <v>2016</v>
      </c>
      <c r="E1296">
        <v>236</v>
      </c>
      <c r="F1296" t="s">
        <v>600</v>
      </c>
      <c r="G1296" t="s">
        <v>829</v>
      </c>
      <c r="H1296" t="s">
        <v>1022</v>
      </c>
      <c r="K1296" t="s">
        <v>394</v>
      </c>
      <c r="M1296" t="s">
        <v>348</v>
      </c>
      <c r="N1296" t="s">
        <v>538</v>
      </c>
      <c r="O1296" t="s">
        <v>1024</v>
      </c>
      <c r="P1296" t="s">
        <v>1023</v>
      </c>
      <c r="Q1296" s="2" t="s">
        <v>230</v>
      </c>
      <c r="R1296">
        <v>45</v>
      </c>
      <c r="S1296" s="3">
        <v>1.5</v>
      </c>
      <c r="T1296" s="3">
        <v>4</v>
      </c>
      <c r="U1296" s="3">
        <v>-6</v>
      </c>
    </row>
    <row r="1297" spans="1:21" x14ac:dyDescent="0.35">
      <c r="A1297" t="s">
        <v>1021</v>
      </c>
      <c r="B1297" t="s">
        <v>522</v>
      </c>
      <c r="C1297" t="s">
        <v>485</v>
      </c>
      <c r="D1297">
        <v>2016</v>
      </c>
      <c r="E1297">
        <v>236</v>
      </c>
      <c r="F1297" t="s">
        <v>600</v>
      </c>
      <c r="G1297" t="s">
        <v>829</v>
      </c>
      <c r="H1297" t="s">
        <v>1022</v>
      </c>
      <c r="K1297" t="s">
        <v>394</v>
      </c>
      <c r="M1297" t="s">
        <v>348</v>
      </c>
      <c r="N1297" t="s">
        <v>538</v>
      </c>
      <c r="O1297" t="s">
        <v>1024</v>
      </c>
      <c r="P1297" t="s">
        <v>1023</v>
      </c>
      <c r="Q1297" s="2" t="s">
        <v>230</v>
      </c>
      <c r="R1297">
        <v>60</v>
      </c>
      <c r="S1297" s="3">
        <v>1.7</v>
      </c>
      <c r="T1297" s="3">
        <v>5</v>
      </c>
      <c r="U1297" s="3">
        <v>-10</v>
      </c>
    </row>
    <row r="1298" spans="1:21" x14ac:dyDescent="0.35">
      <c r="A1298" t="s">
        <v>1021</v>
      </c>
      <c r="B1298" t="s">
        <v>522</v>
      </c>
      <c r="C1298" t="s">
        <v>485</v>
      </c>
      <c r="D1298">
        <v>2016</v>
      </c>
      <c r="E1298">
        <v>236</v>
      </c>
      <c r="F1298" t="s">
        <v>600</v>
      </c>
      <c r="G1298" t="s">
        <v>829</v>
      </c>
      <c r="H1298" t="s">
        <v>1022</v>
      </c>
      <c r="K1298" t="s">
        <v>394</v>
      </c>
      <c r="M1298" t="s">
        <v>348</v>
      </c>
      <c r="N1298" t="s">
        <v>538</v>
      </c>
      <c r="O1298" t="s">
        <v>1024</v>
      </c>
      <c r="P1298" t="s">
        <v>1023</v>
      </c>
      <c r="Q1298" s="2" t="s">
        <v>230</v>
      </c>
      <c r="R1298">
        <v>75</v>
      </c>
      <c r="S1298" s="3">
        <v>1.7</v>
      </c>
      <c r="T1298" s="3">
        <v>5.5</v>
      </c>
      <c r="U1298" s="3">
        <v>-14</v>
      </c>
    </row>
    <row r="1299" spans="1:21" x14ac:dyDescent="0.35">
      <c r="A1299" t="s">
        <v>1025</v>
      </c>
      <c r="B1299" t="s">
        <v>522</v>
      </c>
      <c r="C1299" t="s">
        <v>770</v>
      </c>
      <c r="D1299">
        <v>2010</v>
      </c>
      <c r="E1299">
        <v>237</v>
      </c>
      <c r="F1299" t="s">
        <v>600</v>
      </c>
      <c r="G1299" t="s">
        <v>829</v>
      </c>
      <c r="H1299" t="s">
        <v>832</v>
      </c>
      <c r="K1299" t="s">
        <v>378</v>
      </c>
      <c r="L1299" t="s">
        <v>1026</v>
      </c>
      <c r="M1299" t="s">
        <v>348</v>
      </c>
      <c r="N1299" t="s">
        <v>380</v>
      </c>
      <c r="O1299" t="s">
        <v>413</v>
      </c>
      <c r="P1299" t="s">
        <v>131</v>
      </c>
      <c r="Q1299" s="2" t="s">
        <v>229</v>
      </c>
      <c r="R1299">
        <v>0</v>
      </c>
      <c r="S1299" s="3">
        <f>1/0.95</f>
        <v>1.0526315789473684</v>
      </c>
      <c r="T1299" s="3">
        <v>0</v>
      </c>
      <c r="U1299" s="3">
        <v>0</v>
      </c>
    </row>
    <row r="1300" spans="1:21" x14ac:dyDescent="0.35">
      <c r="A1300" t="s">
        <v>1025</v>
      </c>
      <c r="B1300" t="s">
        <v>522</v>
      </c>
      <c r="C1300" t="s">
        <v>770</v>
      </c>
      <c r="D1300">
        <v>2010</v>
      </c>
      <c r="E1300">
        <v>237</v>
      </c>
      <c r="F1300" t="s">
        <v>600</v>
      </c>
      <c r="G1300" t="s">
        <v>829</v>
      </c>
      <c r="H1300" t="s">
        <v>832</v>
      </c>
      <c r="K1300" t="s">
        <v>378</v>
      </c>
      <c r="L1300" t="s">
        <v>1026</v>
      </c>
      <c r="M1300" t="s">
        <v>348</v>
      </c>
      <c r="N1300" t="s">
        <v>380</v>
      </c>
      <c r="O1300" t="s">
        <v>413</v>
      </c>
      <c r="P1300" t="s">
        <v>131</v>
      </c>
      <c r="Q1300" s="2" t="s">
        <v>229</v>
      </c>
      <c r="R1300">
        <v>100</v>
      </c>
      <c r="S1300" s="3">
        <f>1/0.86</f>
        <v>1.1627906976744187</v>
      </c>
      <c r="T1300" s="3">
        <v>3.82</v>
      </c>
      <c r="U1300" s="3">
        <v>2.08</v>
      </c>
    </row>
    <row r="1301" spans="1:21" x14ac:dyDescent="0.35">
      <c r="A1301" t="s">
        <v>1025</v>
      </c>
      <c r="B1301" t="s">
        <v>522</v>
      </c>
      <c r="C1301" t="s">
        <v>770</v>
      </c>
      <c r="D1301">
        <v>2010</v>
      </c>
      <c r="E1301">
        <v>237</v>
      </c>
      <c r="F1301" t="s">
        <v>600</v>
      </c>
      <c r="G1301" t="s">
        <v>829</v>
      </c>
      <c r="H1301" t="s">
        <v>868</v>
      </c>
      <c r="K1301" t="s">
        <v>378</v>
      </c>
      <c r="L1301" t="s">
        <v>1026</v>
      </c>
      <c r="M1301" t="s">
        <v>348</v>
      </c>
      <c r="N1301" t="s">
        <v>380</v>
      </c>
      <c r="O1301" t="s">
        <v>413</v>
      </c>
      <c r="P1301" t="s">
        <v>131</v>
      </c>
      <c r="Q1301" s="2" t="s">
        <v>229</v>
      </c>
      <c r="R1301">
        <v>100</v>
      </c>
      <c r="S1301" s="3">
        <f>1/0.93</f>
        <v>1.075268817204301</v>
      </c>
      <c r="T1301" s="3">
        <v>3.78</v>
      </c>
      <c r="U1301" s="3">
        <v>2.4700000000000002</v>
      </c>
    </row>
    <row r="1302" spans="1:21" x14ac:dyDescent="0.35">
      <c r="A1302" t="s">
        <v>1025</v>
      </c>
      <c r="B1302" t="s">
        <v>522</v>
      </c>
      <c r="C1302" t="s">
        <v>770</v>
      </c>
      <c r="D1302">
        <v>2010</v>
      </c>
      <c r="E1302">
        <v>237</v>
      </c>
      <c r="F1302" t="s">
        <v>600</v>
      </c>
      <c r="G1302" t="s">
        <v>829</v>
      </c>
      <c r="H1302" t="s">
        <v>868</v>
      </c>
      <c r="K1302" t="s">
        <v>378</v>
      </c>
      <c r="L1302" t="s">
        <v>1026</v>
      </c>
      <c r="M1302" t="s">
        <v>348</v>
      </c>
      <c r="N1302" t="s">
        <v>380</v>
      </c>
      <c r="O1302" t="s">
        <v>413</v>
      </c>
      <c r="P1302" t="s">
        <v>131</v>
      </c>
      <c r="Q1302" s="2" t="s">
        <v>229</v>
      </c>
      <c r="R1302">
        <v>100</v>
      </c>
      <c r="S1302" s="3">
        <f>1/0.98</f>
        <v>1.0204081632653061</v>
      </c>
      <c r="T1302" s="3">
        <v>3.62</v>
      </c>
      <c r="U1302" s="3">
        <v>2.39</v>
      </c>
    </row>
    <row r="1303" spans="1:21" x14ac:dyDescent="0.35">
      <c r="A1303" t="s">
        <v>1029</v>
      </c>
      <c r="B1303" t="s">
        <v>455</v>
      </c>
      <c r="C1303" t="s">
        <v>370</v>
      </c>
      <c r="D1303">
        <v>2014</v>
      </c>
      <c r="E1303">
        <v>238</v>
      </c>
      <c r="F1303" t="s">
        <v>600</v>
      </c>
      <c r="G1303" t="s">
        <v>829</v>
      </c>
      <c r="H1303" t="s">
        <v>851</v>
      </c>
      <c r="K1303" t="s">
        <v>394</v>
      </c>
      <c r="M1303" t="s">
        <v>348</v>
      </c>
      <c r="N1303" t="s">
        <v>31</v>
      </c>
      <c r="O1303" t="s">
        <v>1028</v>
      </c>
      <c r="P1303" t="s">
        <v>1027</v>
      </c>
      <c r="Q1303" s="2" t="s">
        <v>230</v>
      </c>
      <c r="R1303">
        <v>0</v>
      </c>
      <c r="S1303" s="3">
        <v>1.29</v>
      </c>
      <c r="T1303" s="3">
        <v>0</v>
      </c>
      <c r="U1303" s="3">
        <v>0</v>
      </c>
    </row>
    <row r="1304" spans="1:21" x14ac:dyDescent="0.35">
      <c r="A1304" t="s">
        <v>1029</v>
      </c>
      <c r="B1304" t="s">
        <v>455</v>
      </c>
      <c r="C1304" t="s">
        <v>370</v>
      </c>
      <c r="D1304">
        <v>2014</v>
      </c>
      <c r="E1304">
        <v>238</v>
      </c>
      <c r="F1304" t="s">
        <v>600</v>
      </c>
      <c r="G1304" t="s">
        <v>829</v>
      </c>
      <c r="H1304" t="s">
        <v>851</v>
      </c>
      <c r="K1304" t="s">
        <v>394</v>
      </c>
      <c r="M1304" t="s">
        <v>348</v>
      </c>
      <c r="N1304" t="s">
        <v>31</v>
      </c>
      <c r="O1304" t="s">
        <v>1028</v>
      </c>
      <c r="P1304" t="s">
        <v>1027</v>
      </c>
      <c r="Q1304" s="2" t="s">
        <v>230</v>
      </c>
      <c r="R1304">
        <v>20</v>
      </c>
      <c r="S1304" s="3">
        <v>1.26</v>
      </c>
      <c r="T1304" s="3">
        <v>0.61</v>
      </c>
      <c r="U1304" s="3">
        <v>-0.14000000000000001</v>
      </c>
    </row>
    <row r="1305" spans="1:21" x14ac:dyDescent="0.35">
      <c r="A1305" t="s">
        <v>1029</v>
      </c>
      <c r="B1305" t="s">
        <v>455</v>
      </c>
      <c r="C1305" t="s">
        <v>370</v>
      </c>
      <c r="D1305">
        <v>2014</v>
      </c>
      <c r="E1305">
        <v>238</v>
      </c>
      <c r="F1305" t="s">
        <v>600</v>
      </c>
      <c r="G1305" t="s">
        <v>829</v>
      </c>
      <c r="H1305" t="s">
        <v>851</v>
      </c>
      <c r="K1305" t="s">
        <v>394</v>
      </c>
      <c r="M1305" t="s">
        <v>348</v>
      </c>
      <c r="N1305" t="s">
        <v>31</v>
      </c>
      <c r="O1305" t="s">
        <v>1028</v>
      </c>
      <c r="P1305" t="s">
        <v>1027</v>
      </c>
      <c r="Q1305" s="2" t="s">
        <v>230</v>
      </c>
      <c r="R1305">
        <v>40</v>
      </c>
      <c r="S1305" s="3">
        <v>1.23</v>
      </c>
      <c r="T1305" s="3">
        <v>1.23</v>
      </c>
      <c r="U1305" s="3">
        <v>-0.28000000000000003</v>
      </c>
    </row>
    <row r="1306" spans="1:21" x14ac:dyDescent="0.35">
      <c r="A1306" t="s">
        <v>1029</v>
      </c>
      <c r="B1306" t="s">
        <v>455</v>
      </c>
      <c r="C1306" t="s">
        <v>370</v>
      </c>
      <c r="D1306">
        <v>2014</v>
      </c>
      <c r="E1306">
        <v>238</v>
      </c>
      <c r="F1306" t="s">
        <v>600</v>
      </c>
      <c r="G1306" t="s">
        <v>829</v>
      </c>
      <c r="H1306" t="s">
        <v>851</v>
      </c>
      <c r="K1306" t="s">
        <v>394</v>
      </c>
      <c r="M1306" t="s">
        <v>348</v>
      </c>
      <c r="N1306" t="s">
        <v>31</v>
      </c>
      <c r="O1306" t="s">
        <v>1028</v>
      </c>
      <c r="P1306" t="s">
        <v>1027</v>
      </c>
      <c r="Q1306" s="2" t="s">
        <v>230</v>
      </c>
      <c r="R1306">
        <v>60</v>
      </c>
      <c r="S1306" s="3">
        <v>1.2</v>
      </c>
      <c r="T1306" s="3">
        <v>1.84</v>
      </c>
      <c r="U1306" s="3">
        <v>-0.42</v>
      </c>
    </row>
    <row r="1307" spans="1:21" x14ac:dyDescent="0.35">
      <c r="A1307" t="s">
        <v>1029</v>
      </c>
      <c r="B1307" t="s">
        <v>455</v>
      </c>
      <c r="C1307" t="s">
        <v>370</v>
      </c>
      <c r="D1307">
        <v>2014</v>
      </c>
      <c r="E1307">
        <v>238</v>
      </c>
      <c r="F1307" t="s">
        <v>600</v>
      </c>
      <c r="G1307" t="s">
        <v>829</v>
      </c>
      <c r="H1307" t="s">
        <v>851</v>
      </c>
      <c r="K1307" t="s">
        <v>394</v>
      </c>
      <c r="M1307" t="s">
        <v>348</v>
      </c>
      <c r="N1307" t="s">
        <v>31</v>
      </c>
      <c r="O1307" t="s">
        <v>1028</v>
      </c>
      <c r="P1307" t="s">
        <v>1027</v>
      </c>
      <c r="Q1307" s="2" t="s">
        <v>230</v>
      </c>
      <c r="R1307">
        <v>80</v>
      </c>
      <c r="S1307" s="3">
        <v>1.2</v>
      </c>
      <c r="T1307" s="3">
        <v>2.44</v>
      </c>
      <c r="U1307" s="3">
        <v>-0.55000000000000004</v>
      </c>
    </row>
    <row r="1308" spans="1:21" x14ac:dyDescent="0.35">
      <c r="A1308" t="s">
        <v>1029</v>
      </c>
      <c r="B1308" t="s">
        <v>455</v>
      </c>
      <c r="C1308" t="s">
        <v>370</v>
      </c>
      <c r="D1308">
        <v>2014</v>
      </c>
      <c r="E1308">
        <v>238</v>
      </c>
      <c r="F1308" t="s">
        <v>600</v>
      </c>
      <c r="G1308" t="s">
        <v>829</v>
      </c>
      <c r="H1308" t="s">
        <v>851</v>
      </c>
      <c r="K1308" t="s">
        <v>394</v>
      </c>
      <c r="M1308" t="s">
        <v>348</v>
      </c>
      <c r="N1308" t="s">
        <v>31</v>
      </c>
      <c r="O1308" t="s">
        <v>1028</v>
      </c>
      <c r="P1308" t="s">
        <v>1027</v>
      </c>
      <c r="Q1308" s="2" t="s">
        <v>230</v>
      </c>
      <c r="R1308">
        <v>100</v>
      </c>
      <c r="S1308" s="3">
        <v>1.2</v>
      </c>
      <c r="T1308" s="3">
        <v>3.06</v>
      </c>
      <c r="U1308" s="3">
        <v>-0.7</v>
      </c>
    </row>
    <row r="1309" spans="1:21" x14ac:dyDescent="0.35">
      <c r="A1309" t="s">
        <v>1030</v>
      </c>
      <c r="B1309" t="s">
        <v>1031</v>
      </c>
      <c r="C1309" t="s">
        <v>370</v>
      </c>
      <c r="D1309">
        <v>2015</v>
      </c>
      <c r="E1309">
        <v>239</v>
      </c>
      <c r="F1309" t="s">
        <v>600</v>
      </c>
      <c r="G1309" t="s">
        <v>829</v>
      </c>
      <c r="H1309" t="s">
        <v>1032</v>
      </c>
      <c r="K1309" t="s">
        <v>378</v>
      </c>
      <c r="L1309" t="s">
        <v>574</v>
      </c>
      <c r="M1309" t="s">
        <v>348</v>
      </c>
      <c r="N1309" t="s">
        <v>173</v>
      </c>
      <c r="O1309" t="s">
        <v>439</v>
      </c>
      <c r="P1309" t="s">
        <v>172</v>
      </c>
      <c r="Q1309" s="2" t="s">
        <v>230</v>
      </c>
      <c r="R1309">
        <v>0</v>
      </c>
      <c r="S1309" s="3">
        <v>1.26</v>
      </c>
      <c r="T1309" s="3">
        <v>0</v>
      </c>
      <c r="U1309" s="3">
        <v>0</v>
      </c>
    </row>
    <row r="1310" spans="1:21" x14ac:dyDescent="0.35">
      <c r="A1310" t="s">
        <v>1030</v>
      </c>
      <c r="B1310" t="s">
        <v>1031</v>
      </c>
      <c r="C1310" t="s">
        <v>370</v>
      </c>
      <c r="D1310">
        <v>2015</v>
      </c>
      <c r="E1310">
        <v>239</v>
      </c>
      <c r="F1310" t="s">
        <v>600</v>
      </c>
      <c r="G1310" t="s">
        <v>829</v>
      </c>
      <c r="H1310" t="s">
        <v>1032</v>
      </c>
      <c r="K1310" t="s">
        <v>378</v>
      </c>
      <c r="L1310" t="s">
        <v>574</v>
      </c>
      <c r="M1310" t="s">
        <v>348</v>
      </c>
      <c r="N1310" t="s">
        <v>173</v>
      </c>
      <c r="O1310" t="s">
        <v>439</v>
      </c>
      <c r="P1310" t="s">
        <v>172</v>
      </c>
      <c r="Q1310" s="2" t="s">
        <v>230</v>
      </c>
      <c r="R1310">
        <v>10</v>
      </c>
      <c r="S1310" s="3">
        <v>1.26</v>
      </c>
      <c r="T1310" s="3">
        <v>0.1</v>
      </c>
      <c r="U1310" s="3">
        <v>0</v>
      </c>
    </row>
    <row r="1311" spans="1:21" x14ac:dyDescent="0.35">
      <c r="A1311" t="s">
        <v>1030</v>
      </c>
      <c r="B1311" t="s">
        <v>1031</v>
      </c>
      <c r="C1311" t="s">
        <v>370</v>
      </c>
      <c r="D1311">
        <v>2015</v>
      </c>
      <c r="E1311">
        <v>239</v>
      </c>
      <c r="F1311" t="s">
        <v>600</v>
      </c>
      <c r="G1311" t="s">
        <v>829</v>
      </c>
      <c r="H1311" t="s">
        <v>1032</v>
      </c>
      <c r="K1311" t="s">
        <v>378</v>
      </c>
      <c r="L1311" t="s">
        <v>574</v>
      </c>
      <c r="M1311" t="s">
        <v>348</v>
      </c>
      <c r="N1311" t="s">
        <v>173</v>
      </c>
      <c r="O1311" t="s">
        <v>439</v>
      </c>
      <c r="P1311" t="s">
        <v>172</v>
      </c>
      <c r="Q1311" s="2" t="s">
        <v>230</v>
      </c>
      <c r="R1311">
        <v>20</v>
      </c>
      <c r="S1311" s="3">
        <v>1.34</v>
      </c>
      <c r="T1311" s="3">
        <v>0.2</v>
      </c>
      <c r="U1311" s="3">
        <v>0</v>
      </c>
    </row>
    <row r="1312" spans="1:21" x14ac:dyDescent="0.35">
      <c r="A1312" t="s">
        <v>1030</v>
      </c>
      <c r="B1312" t="s">
        <v>1031</v>
      </c>
      <c r="C1312" t="s">
        <v>370</v>
      </c>
      <c r="D1312">
        <v>2015</v>
      </c>
      <c r="E1312">
        <v>239</v>
      </c>
      <c r="F1312" t="s">
        <v>600</v>
      </c>
      <c r="G1312" t="s">
        <v>829</v>
      </c>
      <c r="H1312" t="s">
        <v>1032</v>
      </c>
      <c r="K1312" t="s">
        <v>378</v>
      </c>
      <c r="L1312" t="s">
        <v>574</v>
      </c>
      <c r="M1312" t="s">
        <v>348</v>
      </c>
      <c r="N1312" t="s">
        <v>173</v>
      </c>
      <c r="O1312" t="s">
        <v>439</v>
      </c>
      <c r="P1312" t="s">
        <v>172</v>
      </c>
      <c r="Q1312" s="2" t="s">
        <v>230</v>
      </c>
      <c r="R1312">
        <v>30</v>
      </c>
      <c r="S1312" s="3">
        <v>1.37</v>
      </c>
      <c r="T1312" s="3">
        <v>0.3</v>
      </c>
      <c r="U1312" s="3">
        <v>0</v>
      </c>
    </row>
    <row r="1313" spans="1:21" x14ac:dyDescent="0.35">
      <c r="A1313" t="s">
        <v>1030</v>
      </c>
      <c r="B1313" t="s">
        <v>1031</v>
      </c>
      <c r="C1313" t="s">
        <v>370</v>
      </c>
      <c r="D1313">
        <v>2015</v>
      </c>
      <c r="E1313">
        <v>239</v>
      </c>
      <c r="F1313" t="s">
        <v>600</v>
      </c>
      <c r="G1313" t="s">
        <v>829</v>
      </c>
      <c r="H1313" t="s">
        <v>1032</v>
      </c>
      <c r="K1313" t="s">
        <v>378</v>
      </c>
      <c r="L1313" t="s">
        <v>574</v>
      </c>
      <c r="M1313" t="s">
        <v>348</v>
      </c>
      <c r="N1313" t="s">
        <v>173</v>
      </c>
      <c r="O1313" t="s">
        <v>439</v>
      </c>
      <c r="P1313" t="s">
        <v>172</v>
      </c>
      <c r="Q1313" s="2" t="s">
        <v>230</v>
      </c>
      <c r="R1313">
        <v>40</v>
      </c>
      <c r="S1313" s="3">
        <v>1.51</v>
      </c>
      <c r="T1313" s="3">
        <v>0.39</v>
      </c>
      <c r="U1313" s="3">
        <v>0</v>
      </c>
    </row>
    <row r="1314" spans="1:21" x14ac:dyDescent="0.35">
      <c r="A1314" t="s">
        <v>1030</v>
      </c>
      <c r="B1314" t="s">
        <v>1031</v>
      </c>
      <c r="C1314" t="s">
        <v>370</v>
      </c>
      <c r="D1314">
        <v>2015</v>
      </c>
      <c r="E1314">
        <v>239</v>
      </c>
      <c r="F1314" t="s">
        <v>600</v>
      </c>
      <c r="G1314" t="s">
        <v>829</v>
      </c>
      <c r="H1314" t="s">
        <v>1032</v>
      </c>
      <c r="K1314" t="s">
        <v>378</v>
      </c>
      <c r="L1314" t="s">
        <v>574</v>
      </c>
      <c r="M1314" t="s">
        <v>348</v>
      </c>
      <c r="N1314" t="s">
        <v>173</v>
      </c>
      <c r="O1314" t="s">
        <v>439</v>
      </c>
      <c r="P1314" t="s">
        <v>172</v>
      </c>
      <c r="Q1314" s="2" t="s">
        <v>230</v>
      </c>
      <c r="R1314">
        <v>60</v>
      </c>
      <c r="S1314" s="3">
        <v>1.48</v>
      </c>
      <c r="T1314" s="3">
        <v>0.59</v>
      </c>
      <c r="U1314" s="3">
        <v>0</v>
      </c>
    </row>
    <row r="1315" spans="1:21" x14ac:dyDescent="0.35">
      <c r="A1315" t="s">
        <v>1033</v>
      </c>
      <c r="B1315" t="s">
        <v>532</v>
      </c>
      <c r="C1315" t="s">
        <v>370</v>
      </c>
      <c r="D1315">
        <v>2011</v>
      </c>
      <c r="E1315">
        <v>240</v>
      </c>
      <c r="F1315" t="s">
        <v>600</v>
      </c>
      <c r="G1315" t="s">
        <v>829</v>
      </c>
      <c r="H1315" t="s">
        <v>833</v>
      </c>
      <c r="K1315" t="s">
        <v>394</v>
      </c>
      <c r="M1315" t="s">
        <v>348</v>
      </c>
      <c r="N1315" t="s">
        <v>380</v>
      </c>
      <c r="O1315" t="s">
        <v>413</v>
      </c>
      <c r="P1315" t="s">
        <v>131</v>
      </c>
      <c r="Q1315" s="2" t="s">
        <v>230</v>
      </c>
      <c r="R1315">
        <v>0</v>
      </c>
      <c r="S1315" s="3">
        <v>1.29</v>
      </c>
      <c r="T1315" s="3">
        <v>0</v>
      </c>
      <c r="U1315" s="3">
        <v>0</v>
      </c>
    </row>
    <row r="1316" spans="1:21" x14ac:dyDescent="0.35">
      <c r="A1316" t="s">
        <v>1033</v>
      </c>
      <c r="B1316" t="s">
        <v>532</v>
      </c>
      <c r="C1316" t="s">
        <v>370</v>
      </c>
      <c r="D1316">
        <v>2011</v>
      </c>
      <c r="E1316">
        <v>240</v>
      </c>
      <c r="F1316" t="s">
        <v>600</v>
      </c>
      <c r="G1316" t="s">
        <v>829</v>
      </c>
      <c r="H1316" t="s">
        <v>833</v>
      </c>
      <c r="K1316" t="s">
        <v>394</v>
      </c>
      <c r="M1316" t="s">
        <v>348</v>
      </c>
      <c r="N1316" t="s">
        <v>380</v>
      </c>
      <c r="O1316" t="s">
        <v>413</v>
      </c>
      <c r="P1316" t="s">
        <v>131</v>
      </c>
      <c r="Q1316" s="2" t="s">
        <v>230</v>
      </c>
      <c r="R1316">
        <v>20</v>
      </c>
      <c r="S1316" s="3">
        <v>1.19</v>
      </c>
      <c r="T1316" s="3">
        <v>0.25</v>
      </c>
      <c r="U1316" s="3">
        <v>0</v>
      </c>
    </row>
    <row r="1317" spans="1:21" x14ac:dyDescent="0.35">
      <c r="A1317" t="s">
        <v>1033</v>
      </c>
      <c r="B1317" t="s">
        <v>532</v>
      </c>
      <c r="C1317" t="s">
        <v>370</v>
      </c>
      <c r="D1317">
        <v>2011</v>
      </c>
      <c r="E1317">
        <v>240</v>
      </c>
      <c r="F1317" t="s">
        <v>600</v>
      </c>
      <c r="G1317" t="s">
        <v>829</v>
      </c>
      <c r="H1317" t="s">
        <v>833</v>
      </c>
      <c r="K1317" t="s">
        <v>394</v>
      </c>
      <c r="M1317" t="s">
        <v>348</v>
      </c>
      <c r="N1317" t="s">
        <v>380</v>
      </c>
      <c r="O1317" t="s">
        <v>413</v>
      </c>
      <c r="P1317" t="s">
        <v>131</v>
      </c>
      <c r="Q1317" s="2" t="s">
        <v>230</v>
      </c>
      <c r="R1317">
        <v>40</v>
      </c>
      <c r="S1317" s="3">
        <v>1.24</v>
      </c>
      <c r="T1317" s="3">
        <v>0.51</v>
      </c>
      <c r="U1317" s="3">
        <v>0</v>
      </c>
    </row>
    <row r="1318" spans="1:21" x14ac:dyDescent="0.35">
      <c r="A1318" t="s">
        <v>1033</v>
      </c>
      <c r="B1318" t="s">
        <v>532</v>
      </c>
      <c r="C1318" t="s">
        <v>370</v>
      </c>
      <c r="D1318">
        <v>2011</v>
      </c>
      <c r="E1318">
        <v>240</v>
      </c>
      <c r="F1318" t="s">
        <v>600</v>
      </c>
      <c r="G1318" t="s">
        <v>829</v>
      </c>
      <c r="H1318" t="s">
        <v>833</v>
      </c>
      <c r="K1318" t="s">
        <v>394</v>
      </c>
      <c r="M1318" t="s">
        <v>348</v>
      </c>
      <c r="N1318" t="s">
        <v>380</v>
      </c>
      <c r="O1318" t="s">
        <v>413</v>
      </c>
      <c r="P1318" t="s">
        <v>131</v>
      </c>
      <c r="Q1318" s="2" t="s">
        <v>230</v>
      </c>
      <c r="R1318">
        <v>60</v>
      </c>
      <c r="S1318" s="3">
        <v>1.31</v>
      </c>
      <c r="T1318" s="3">
        <v>0.75</v>
      </c>
      <c r="U1318" s="3">
        <v>0</v>
      </c>
    </row>
    <row r="1319" spans="1:21" x14ac:dyDescent="0.35">
      <c r="A1319" t="s">
        <v>1033</v>
      </c>
      <c r="B1319" t="s">
        <v>532</v>
      </c>
      <c r="C1319" t="s">
        <v>370</v>
      </c>
      <c r="D1319">
        <v>2011</v>
      </c>
      <c r="E1319">
        <v>240</v>
      </c>
      <c r="F1319" t="s">
        <v>600</v>
      </c>
      <c r="G1319" t="s">
        <v>829</v>
      </c>
      <c r="H1319" t="s">
        <v>833</v>
      </c>
      <c r="K1319" t="s">
        <v>394</v>
      </c>
      <c r="M1319" t="s">
        <v>348</v>
      </c>
      <c r="N1319" t="s">
        <v>380</v>
      </c>
      <c r="O1319" t="s">
        <v>413</v>
      </c>
      <c r="P1319" t="s">
        <v>131</v>
      </c>
      <c r="Q1319" s="2" t="s">
        <v>230</v>
      </c>
      <c r="R1319">
        <v>80</v>
      </c>
      <c r="S1319" s="3">
        <v>1.56</v>
      </c>
      <c r="T1319" s="3">
        <v>1</v>
      </c>
      <c r="U1319" s="3">
        <v>0</v>
      </c>
    </row>
    <row r="1320" spans="1:21" x14ac:dyDescent="0.35">
      <c r="A1320" t="s">
        <v>1034</v>
      </c>
      <c r="B1320" t="s">
        <v>532</v>
      </c>
      <c r="C1320" t="s">
        <v>370</v>
      </c>
      <c r="D1320">
        <v>2011</v>
      </c>
      <c r="E1320">
        <v>241</v>
      </c>
      <c r="F1320" t="s">
        <v>600</v>
      </c>
      <c r="G1320" t="s">
        <v>829</v>
      </c>
      <c r="H1320" t="s">
        <v>832</v>
      </c>
      <c r="K1320" t="s">
        <v>394</v>
      </c>
      <c r="M1320" t="s">
        <v>348</v>
      </c>
      <c r="N1320" t="s">
        <v>538</v>
      </c>
      <c r="O1320" t="s">
        <v>626</v>
      </c>
      <c r="P1320" t="s">
        <v>124</v>
      </c>
      <c r="Q1320" s="2" t="s">
        <v>230</v>
      </c>
      <c r="R1320">
        <v>0</v>
      </c>
      <c r="S1320" s="3">
        <v>1.1399999999999999</v>
      </c>
      <c r="T1320" s="3">
        <v>0</v>
      </c>
      <c r="U1320" s="3">
        <v>0</v>
      </c>
    </row>
    <row r="1321" spans="1:21" x14ac:dyDescent="0.35">
      <c r="A1321" t="s">
        <v>1034</v>
      </c>
      <c r="B1321" t="s">
        <v>532</v>
      </c>
      <c r="C1321" t="s">
        <v>370</v>
      </c>
      <c r="D1321">
        <v>2011</v>
      </c>
      <c r="E1321">
        <v>241</v>
      </c>
      <c r="F1321" t="s">
        <v>600</v>
      </c>
      <c r="G1321" t="s">
        <v>829</v>
      </c>
      <c r="H1321" t="s">
        <v>832</v>
      </c>
      <c r="K1321" t="s">
        <v>394</v>
      </c>
      <c r="M1321" t="s">
        <v>348</v>
      </c>
      <c r="N1321" t="s">
        <v>538</v>
      </c>
      <c r="O1321" t="s">
        <v>626</v>
      </c>
      <c r="P1321" t="s">
        <v>124</v>
      </c>
      <c r="Q1321" s="2" t="s">
        <v>230</v>
      </c>
      <c r="R1321">
        <v>7</v>
      </c>
      <c r="S1321" s="3">
        <v>1.1599999999999999</v>
      </c>
      <c r="T1321" s="3">
        <v>0.3</v>
      </c>
      <c r="U1321" s="3">
        <v>-1.6</v>
      </c>
    </row>
    <row r="1322" spans="1:21" x14ac:dyDescent="0.35">
      <c r="A1322" t="s">
        <v>1034</v>
      </c>
      <c r="B1322" t="s">
        <v>532</v>
      </c>
      <c r="C1322" t="s">
        <v>370</v>
      </c>
      <c r="D1322">
        <v>2011</v>
      </c>
      <c r="E1322">
        <v>241</v>
      </c>
      <c r="F1322" t="s">
        <v>600</v>
      </c>
      <c r="G1322" t="s">
        <v>829</v>
      </c>
      <c r="H1322" t="s">
        <v>832</v>
      </c>
      <c r="K1322" t="s">
        <v>394</v>
      </c>
      <c r="M1322" t="s">
        <v>348</v>
      </c>
      <c r="N1322" t="s">
        <v>538</v>
      </c>
      <c r="O1322" t="s">
        <v>626</v>
      </c>
      <c r="P1322" t="s">
        <v>124</v>
      </c>
      <c r="Q1322" s="2" t="s">
        <v>230</v>
      </c>
      <c r="R1322">
        <v>18</v>
      </c>
      <c r="S1322" s="3">
        <v>1.21</v>
      </c>
      <c r="T1322" s="3">
        <v>0.8</v>
      </c>
      <c r="U1322" s="3">
        <v>-3.3</v>
      </c>
    </row>
    <row r="1323" spans="1:21" x14ac:dyDescent="0.35">
      <c r="A1323" t="s">
        <v>1034</v>
      </c>
      <c r="B1323" t="s">
        <v>532</v>
      </c>
      <c r="C1323" t="s">
        <v>370</v>
      </c>
      <c r="D1323">
        <v>2011</v>
      </c>
      <c r="E1323">
        <v>241</v>
      </c>
      <c r="F1323" t="s">
        <v>600</v>
      </c>
      <c r="G1323" t="s">
        <v>829</v>
      </c>
      <c r="H1323" t="s">
        <v>832</v>
      </c>
      <c r="K1323" t="s">
        <v>394</v>
      </c>
      <c r="M1323" t="s">
        <v>348</v>
      </c>
      <c r="N1323" t="s">
        <v>538</v>
      </c>
      <c r="O1323" t="s">
        <v>626</v>
      </c>
      <c r="P1323" t="s">
        <v>124</v>
      </c>
      <c r="Q1323" s="2" t="s">
        <v>230</v>
      </c>
      <c r="R1323">
        <v>40</v>
      </c>
      <c r="S1323" s="3">
        <v>1.35</v>
      </c>
      <c r="T1323" s="3">
        <v>1.8</v>
      </c>
      <c r="U1323" s="3">
        <v>-10</v>
      </c>
    </row>
    <row r="1324" spans="1:21" x14ac:dyDescent="0.35">
      <c r="A1324" t="s">
        <v>1035</v>
      </c>
      <c r="B1324" t="s">
        <v>1036</v>
      </c>
      <c r="C1324" t="s">
        <v>533</v>
      </c>
      <c r="D1324">
        <v>2010</v>
      </c>
      <c r="E1324">
        <v>242</v>
      </c>
      <c r="F1324" t="s">
        <v>600</v>
      </c>
      <c r="G1324" t="s">
        <v>829</v>
      </c>
      <c r="H1324" t="s">
        <v>832</v>
      </c>
      <c r="K1324" t="s">
        <v>394</v>
      </c>
      <c r="M1324" t="s">
        <v>348</v>
      </c>
      <c r="N1324" t="s">
        <v>538</v>
      </c>
      <c r="O1324" t="s">
        <v>810</v>
      </c>
      <c r="P1324" t="s">
        <v>811</v>
      </c>
      <c r="Q1324" s="2" t="s">
        <v>230</v>
      </c>
      <c r="R1324">
        <v>0</v>
      </c>
      <c r="S1324" s="3">
        <v>0.86</v>
      </c>
      <c r="T1324" s="3">
        <v>0</v>
      </c>
      <c r="U1324" s="3">
        <v>0</v>
      </c>
    </row>
    <row r="1325" spans="1:21" x14ac:dyDescent="0.35">
      <c r="A1325" t="s">
        <v>1035</v>
      </c>
      <c r="B1325" t="s">
        <v>1036</v>
      </c>
      <c r="C1325" t="s">
        <v>533</v>
      </c>
      <c r="D1325">
        <v>2010</v>
      </c>
      <c r="E1325">
        <v>242</v>
      </c>
      <c r="F1325" t="s">
        <v>600</v>
      </c>
      <c r="G1325" t="s">
        <v>829</v>
      </c>
      <c r="H1325" t="s">
        <v>832</v>
      </c>
      <c r="K1325" t="s">
        <v>394</v>
      </c>
      <c r="M1325" t="s">
        <v>348</v>
      </c>
      <c r="N1325" t="s">
        <v>538</v>
      </c>
      <c r="O1325" t="s">
        <v>810</v>
      </c>
      <c r="P1325" t="s">
        <v>811</v>
      </c>
      <c r="Q1325" s="2" t="s">
        <v>230</v>
      </c>
      <c r="R1325">
        <v>10</v>
      </c>
      <c r="S1325" s="3">
        <v>0.86</v>
      </c>
      <c r="T1325" s="3">
        <v>0.3</v>
      </c>
      <c r="U1325" s="3">
        <v>-3.6</v>
      </c>
    </row>
    <row r="1326" spans="1:21" x14ac:dyDescent="0.35">
      <c r="A1326" t="s">
        <v>1035</v>
      </c>
      <c r="B1326" t="s">
        <v>1036</v>
      </c>
      <c r="C1326" t="s">
        <v>533</v>
      </c>
      <c r="D1326">
        <v>2010</v>
      </c>
      <c r="E1326">
        <v>242</v>
      </c>
      <c r="F1326" t="s">
        <v>600</v>
      </c>
      <c r="G1326" t="s">
        <v>829</v>
      </c>
      <c r="H1326" t="s">
        <v>832</v>
      </c>
      <c r="K1326" t="s">
        <v>394</v>
      </c>
      <c r="M1326" t="s">
        <v>348</v>
      </c>
      <c r="N1326" t="s">
        <v>538</v>
      </c>
      <c r="O1326" t="s">
        <v>810</v>
      </c>
      <c r="P1326" t="s">
        <v>811</v>
      </c>
      <c r="Q1326" s="2" t="s">
        <v>230</v>
      </c>
      <c r="R1326">
        <v>20</v>
      </c>
      <c r="S1326" s="3">
        <v>0.87</v>
      </c>
      <c r="T1326" s="3">
        <v>0.6</v>
      </c>
      <c r="U1326" s="3">
        <v>-7</v>
      </c>
    </row>
    <row r="1327" spans="1:21" x14ac:dyDescent="0.35">
      <c r="A1327" t="s">
        <v>1039</v>
      </c>
      <c r="B1327" t="s">
        <v>468</v>
      </c>
      <c r="C1327" t="s">
        <v>370</v>
      </c>
      <c r="D1327">
        <v>2012</v>
      </c>
      <c r="E1327">
        <v>243</v>
      </c>
      <c r="F1327" t="s">
        <v>600</v>
      </c>
      <c r="G1327" t="s">
        <v>829</v>
      </c>
      <c r="H1327" t="s">
        <v>832</v>
      </c>
      <c r="K1327" t="s">
        <v>394</v>
      </c>
      <c r="M1327" t="s">
        <v>348</v>
      </c>
      <c r="N1327" t="s">
        <v>537</v>
      </c>
      <c r="O1327" t="s">
        <v>1038</v>
      </c>
      <c r="P1327" t="s">
        <v>1037</v>
      </c>
      <c r="Q1327" s="2" t="s">
        <v>230</v>
      </c>
      <c r="R1327">
        <v>0</v>
      </c>
      <c r="S1327" s="3">
        <v>1.46</v>
      </c>
      <c r="T1327" s="3">
        <v>0</v>
      </c>
      <c r="U1327" s="3">
        <v>0</v>
      </c>
    </row>
    <row r="1328" spans="1:21" x14ac:dyDescent="0.35">
      <c r="A1328" t="s">
        <v>1039</v>
      </c>
      <c r="B1328" t="s">
        <v>468</v>
      </c>
      <c r="C1328" t="s">
        <v>370</v>
      </c>
      <c r="D1328">
        <v>2012</v>
      </c>
      <c r="E1328">
        <v>243</v>
      </c>
      <c r="F1328" t="s">
        <v>600</v>
      </c>
      <c r="G1328" t="s">
        <v>829</v>
      </c>
      <c r="H1328" t="s">
        <v>832</v>
      </c>
      <c r="K1328" t="s">
        <v>394</v>
      </c>
      <c r="M1328" t="s">
        <v>348</v>
      </c>
      <c r="N1328" t="s">
        <v>537</v>
      </c>
      <c r="O1328" t="s">
        <v>1038</v>
      </c>
      <c r="P1328" t="s">
        <v>1037</v>
      </c>
      <c r="Q1328" s="2" t="s">
        <v>230</v>
      </c>
      <c r="R1328">
        <v>20</v>
      </c>
      <c r="S1328" s="3">
        <v>1.46</v>
      </c>
      <c r="T1328" s="3">
        <v>0.3</v>
      </c>
      <c r="U1328" s="3">
        <v>0</v>
      </c>
    </row>
    <row r="1329" spans="1:21" x14ac:dyDescent="0.35">
      <c r="A1329" t="s">
        <v>1039</v>
      </c>
      <c r="B1329" t="s">
        <v>468</v>
      </c>
      <c r="C1329" t="s">
        <v>370</v>
      </c>
      <c r="D1329">
        <v>2012</v>
      </c>
      <c r="E1329">
        <v>243</v>
      </c>
      <c r="F1329" t="s">
        <v>600</v>
      </c>
      <c r="G1329" t="s">
        <v>829</v>
      </c>
      <c r="H1329" t="s">
        <v>832</v>
      </c>
      <c r="K1329" t="s">
        <v>394</v>
      </c>
      <c r="M1329" t="s">
        <v>348</v>
      </c>
      <c r="N1329" t="s">
        <v>537</v>
      </c>
      <c r="O1329" t="s">
        <v>1038</v>
      </c>
      <c r="P1329" t="s">
        <v>1037</v>
      </c>
      <c r="Q1329" s="2" t="s">
        <v>230</v>
      </c>
      <c r="R1329">
        <v>40</v>
      </c>
      <c r="S1329" s="3">
        <v>1.46</v>
      </c>
      <c r="T1329" s="3">
        <v>0.9</v>
      </c>
      <c r="U1329" s="3">
        <v>0</v>
      </c>
    </row>
    <row r="1330" spans="1:21" x14ac:dyDescent="0.35">
      <c r="A1330" t="s">
        <v>1039</v>
      </c>
      <c r="B1330" t="s">
        <v>468</v>
      </c>
      <c r="C1330" t="s">
        <v>370</v>
      </c>
      <c r="D1330">
        <v>2012</v>
      </c>
      <c r="E1330">
        <v>243</v>
      </c>
      <c r="F1330" t="s">
        <v>600</v>
      </c>
      <c r="G1330" t="s">
        <v>829</v>
      </c>
      <c r="H1330" t="s">
        <v>832</v>
      </c>
      <c r="K1330" t="s">
        <v>394</v>
      </c>
      <c r="M1330" t="s">
        <v>348</v>
      </c>
      <c r="N1330" t="s">
        <v>537</v>
      </c>
      <c r="O1330" t="s">
        <v>1038</v>
      </c>
      <c r="P1330" t="s">
        <v>1037</v>
      </c>
      <c r="Q1330" s="2" t="s">
        <v>230</v>
      </c>
      <c r="R1330">
        <v>60</v>
      </c>
      <c r="S1330" s="3">
        <v>1.5</v>
      </c>
      <c r="T1330" s="3">
        <v>1.8</v>
      </c>
      <c r="U1330" s="3">
        <v>0</v>
      </c>
    </row>
    <row r="1331" spans="1:21" x14ac:dyDescent="0.35">
      <c r="A1331" t="s">
        <v>1039</v>
      </c>
      <c r="B1331" t="s">
        <v>468</v>
      </c>
      <c r="C1331" t="s">
        <v>370</v>
      </c>
      <c r="D1331">
        <v>2012</v>
      </c>
      <c r="E1331">
        <v>243</v>
      </c>
      <c r="F1331" t="s">
        <v>600</v>
      </c>
      <c r="G1331" t="s">
        <v>829</v>
      </c>
      <c r="H1331" t="s">
        <v>832</v>
      </c>
      <c r="K1331" t="s">
        <v>394</v>
      </c>
      <c r="M1331" t="s">
        <v>348</v>
      </c>
      <c r="N1331" t="s">
        <v>537</v>
      </c>
      <c r="O1331" t="s">
        <v>1038</v>
      </c>
      <c r="P1331" t="s">
        <v>1037</v>
      </c>
      <c r="Q1331" s="2" t="s">
        <v>230</v>
      </c>
      <c r="R1331">
        <v>80</v>
      </c>
      <c r="S1331" s="3">
        <v>1.52</v>
      </c>
      <c r="T1331" s="3">
        <v>2</v>
      </c>
      <c r="U1331" s="3">
        <v>0</v>
      </c>
    </row>
    <row r="1332" spans="1:21" x14ac:dyDescent="0.35">
      <c r="A1332" t="s">
        <v>1039</v>
      </c>
      <c r="B1332" t="s">
        <v>468</v>
      </c>
      <c r="C1332" t="s">
        <v>370</v>
      </c>
      <c r="D1332">
        <v>2012</v>
      </c>
      <c r="E1332">
        <v>243</v>
      </c>
      <c r="F1332" t="s">
        <v>600</v>
      </c>
      <c r="G1332" t="s">
        <v>829</v>
      </c>
      <c r="H1332" t="s">
        <v>832</v>
      </c>
      <c r="K1332" t="s">
        <v>394</v>
      </c>
      <c r="M1332" t="s">
        <v>348</v>
      </c>
      <c r="N1332" t="s">
        <v>537</v>
      </c>
      <c r="O1332" t="s">
        <v>1038</v>
      </c>
      <c r="P1332" t="s">
        <v>1037</v>
      </c>
      <c r="Q1332" s="2" t="s">
        <v>230</v>
      </c>
      <c r="R1332">
        <v>100</v>
      </c>
      <c r="S1332" s="3">
        <v>1.54</v>
      </c>
      <c r="T1332" s="3">
        <v>2.8</v>
      </c>
      <c r="U1332" s="3">
        <v>0</v>
      </c>
    </row>
    <row r="1333" spans="1:21" x14ac:dyDescent="0.35">
      <c r="A1333" t="s">
        <v>1039</v>
      </c>
      <c r="B1333" t="s">
        <v>398</v>
      </c>
      <c r="C1333" t="s">
        <v>370</v>
      </c>
      <c r="D1333">
        <v>2013</v>
      </c>
      <c r="E1333">
        <v>244</v>
      </c>
      <c r="F1333" t="s">
        <v>600</v>
      </c>
      <c r="G1333" t="s">
        <v>829</v>
      </c>
      <c r="H1333" t="s">
        <v>832</v>
      </c>
      <c r="K1333" t="s">
        <v>394</v>
      </c>
      <c r="M1333" t="s">
        <v>348</v>
      </c>
      <c r="N1333" t="s">
        <v>537</v>
      </c>
      <c r="O1333" t="s">
        <v>1038</v>
      </c>
      <c r="P1333" t="s">
        <v>1037</v>
      </c>
      <c r="Q1333" s="2" t="s">
        <v>230</v>
      </c>
      <c r="R1333">
        <v>0</v>
      </c>
      <c r="S1333" s="3">
        <v>1.49</v>
      </c>
      <c r="T1333" s="3">
        <v>0</v>
      </c>
      <c r="U1333" s="3">
        <v>0</v>
      </c>
    </row>
    <row r="1334" spans="1:21" x14ac:dyDescent="0.35">
      <c r="A1334" t="s">
        <v>1039</v>
      </c>
      <c r="B1334" t="s">
        <v>398</v>
      </c>
      <c r="C1334" t="s">
        <v>370</v>
      </c>
      <c r="D1334">
        <v>2013</v>
      </c>
      <c r="E1334">
        <v>244</v>
      </c>
      <c r="F1334" t="s">
        <v>600</v>
      </c>
      <c r="G1334" t="s">
        <v>829</v>
      </c>
      <c r="H1334" t="s">
        <v>832</v>
      </c>
      <c r="K1334" t="s">
        <v>394</v>
      </c>
      <c r="M1334" t="s">
        <v>348</v>
      </c>
      <c r="N1334" t="s">
        <v>537</v>
      </c>
      <c r="O1334" t="s">
        <v>1038</v>
      </c>
      <c r="P1334" t="s">
        <v>1037</v>
      </c>
      <c r="Q1334" s="2" t="s">
        <v>230</v>
      </c>
      <c r="R1334">
        <v>30</v>
      </c>
      <c r="S1334" s="3">
        <v>1.49</v>
      </c>
      <c r="T1334" s="3">
        <v>1</v>
      </c>
      <c r="U1334" s="3">
        <v>-4</v>
      </c>
    </row>
    <row r="1335" spans="1:21" x14ac:dyDescent="0.35">
      <c r="A1335" t="s">
        <v>1040</v>
      </c>
      <c r="B1335" t="s">
        <v>468</v>
      </c>
      <c r="C1335" t="s">
        <v>370</v>
      </c>
      <c r="D1335">
        <v>2012</v>
      </c>
      <c r="E1335">
        <v>245</v>
      </c>
      <c r="F1335" t="s">
        <v>600</v>
      </c>
      <c r="G1335" t="s">
        <v>829</v>
      </c>
      <c r="H1335" t="s">
        <v>868</v>
      </c>
      <c r="K1335" t="s">
        <v>394</v>
      </c>
      <c r="M1335" t="s">
        <v>348</v>
      </c>
      <c r="N1335" t="s">
        <v>537</v>
      </c>
      <c r="O1335" t="s">
        <v>1038</v>
      </c>
      <c r="P1335" t="s">
        <v>1037</v>
      </c>
      <c r="Q1335" s="2" t="s">
        <v>230</v>
      </c>
      <c r="R1335">
        <v>0</v>
      </c>
      <c r="S1335" s="3">
        <v>1.44</v>
      </c>
      <c r="T1335" s="3">
        <v>0</v>
      </c>
      <c r="U1335" s="3">
        <v>0</v>
      </c>
    </row>
    <row r="1336" spans="1:21" x14ac:dyDescent="0.35">
      <c r="A1336" t="s">
        <v>1040</v>
      </c>
      <c r="B1336" t="s">
        <v>468</v>
      </c>
      <c r="C1336" t="s">
        <v>370</v>
      </c>
      <c r="D1336">
        <v>2012</v>
      </c>
      <c r="E1336">
        <v>245</v>
      </c>
      <c r="F1336" t="s">
        <v>600</v>
      </c>
      <c r="G1336" t="s">
        <v>829</v>
      </c>
      <c r="H1336" t="s">
        <v>868</v>
      </c>
      <c r="K1336" t="s">
        <v>394</v>
      </c>
      <c r="M1336" t="s">
        <v>348</v>
      </c>
      <c r="N1336" t="s">
        <v>537</v>
      </c>
      <c r="O1336" t="s">
        <v>1038</v>
      </c>
      <c r="P1336" t="s">
        <v>1037</v>
      </c>
      <c r="Q1336" s="2" t="s">
        <v>230</v>
      </c>
      <c r="R1336">
        <v>15</v>
      </c>
      <c r="S1336" s="3">
        <v>1.49</v>
      </c>
      <c r="T1336" s="3">
        <v>0.7</v>
      </c>
      <c r="U1336" s="3">
        <v>-0.2</v>
      </c>
    </row>
    <row r="1337" spans="1:21" x14ac:dyDescent="0.35">
      <c r="A1337" t="s">
        <v>1040</v>
      </c>
      <c r="B1337" t="s">
        <v>468</v>
      </c>
      <c r="C1337" t="s">
        <v>370</v>
      </c>
      <c r="D1337">
        <v>2012</v>
      </c>
      <c r="E1337">
        <v>245</v>
      </c>
      <c r="F1337" t="s">
        <v>600</v>
      </c>
      <c r="G1337" t="s">
        <v>829</v>
      </c>
      <c r="H1337" t="s">
        <v>868</v>
      </c>
      <c r="K1337" t="s">
        <v>394</v>
      </c>
      <c r="M1337" t="s">
        <v>348</v>
      </c>
      <c r="N1337" t="s">
        <v>537</v>
      </c>
      <c r="O1337" t="s">
        <v>1038</v>
      </c>
      <c r="P1337" t="s">
        <v>1037</v>
      </c>
      <c r="Q1337" s="2" t="s">
        <v>230</v>
      </c>
      <c r="R1337">
        <v>25</v>
      </c>
      <c r="S1337" s="3">
        <v>1.53</v>
      </c>
      <c r="T1337" s="3">
        <v>1.3</v>
      </c>
      <c r="U1337" s="3">
        <v>-0.4</v>
      </c>
    </row>
    <row r="1338" spans="1:21" x14ac:dyDescent="0.35">
      <c r="A1338" t="s">
        <v>1040</v>
      </c>
      <c r="B1338" t="s">
        <v>468</v>
      </c>
      <c r="C1338" t="s">
        <v>370</v>
      </c>
      <c r="D1338">
        <v>2012</v>
      </c>
      <c r="E1338">
        <v>245</v>
      </c>
      <c r="F1338" t="s">
        <v>600</v>
      </c>
      <c r="G1338" t="s">
        <v>829</v>
      </c>
      <c r="H1338" t="s">
        <v>868</v>
      </c>
      <c r="K1338" t="s">
        <v>394</v>
      </c>
      <c r="M1338" t="s">
        <v>348</v>
      </c>
      <c r="N1338" t="s">
        <v>537</v>
      </c>
      <c r="O1338" t="s">
        <v>1038</v>
      </c>
      <c r="P1338" t="s">
        <v>1037</v>
      </c>
      <c r="Q1338" s="2" t="s">
        <v>230</v>
      </c>
      <c r="R1338">
        <v>35</v>
      </c>
      <c r="S1338" s="3">
        <v>1.57</v>
      </c>
      <c r="T1338" s="3">
        <v>1.9</v>
      </c>
      <c r="U1338" s="3">
        <v>-0.6</v>
      </c>
    </row>
    <row r="1339" spans="1:21" x14ac:dyDescent="0.35">
      <c r="A1339" t="s">
        <v>1040</v>
      </c>
      <c r="B1339" t="s">
        <v>468</v>
      </c>
      <c r="C1339" t="s">
        <v>370</v>
      </c>
      <c r="D1339">
        <v>2012</v>
      </c>
      <c r="E1339">
        <v>245</v>
      </c>
      <c r="F1339" t="s">
        <v>600</v>
      </c>
      <c r="G1339" t="s">
        <v>829</v>
      </c>
      <c r="H1339" t="s">
        <v>868</v>
      </c>
      <c r="K1339" t="s">
        <v>394</v>
      </c>
      <c r="M1339" t="s">
        <v>348</v>
      </c>
      <c r="N1339" t="s">
        <v>537</v>
      </c>
      <c r="O1339" t="s">
        <v>1038</v>
      </c>
      <c r="P1339" t="s">
        <v>1037</v>
      </c>
      <c r="Q1339" s="2" t="s">
        <v>230</v>
      </c>
      <c r="R1339">
        <v>45</v>
      </c>
      <c r="S1339" s="3">
        <v>1.69</v>
      </c>
      <c r="T1339" s="3">
        <v>2.5</v>
      </c>
      <c r="U1339" s="3">
        <v>-0.8</v>
      </c>
    </row>
    <row r="1340" spans="1:21" x14ac:dyDescent="0.35">
      <c r="A1340" t="s">
        <v>1040</v>
      </c>
      <c r="B1340" t="s">
        <v>468</v>
      </c>
      <c r="C1340" t="s">
        <v>370</v>
      </c>
      <c r="D1340">
        <v>2012</v>
      </c>
      <c r="E1340">
        <v>245</v>
      </c>
      <c r="F1340" t="s">
        <v>600</v>
      </c>
      <c r="G1340" t="s">
        <v>829</v>
      </c>
      <c r="H1340" t="s">
        <v>868</v>
      </c>
      <c r="K1340" t="s">
        <v>394</v>
      </c>
      <c r="M1340" t="s">
        <v>348</v>
      </c>
      <c r="N1340" t="s">
        <v>537</v>
      </c>
      <c r="O1340" t="s">
        <v>1038</v>
      </c>
      <c r="P1340" t="s">
        <v>1037</v>
      </c>
      <c r="Q1340" s="2" t="s">
        <v>230</v>
      </c>
      <c r="R1340">
        <v>55</v>
      </c>
      <c r="S1340" s="3">
        <v>1.7</v>
      </c>
      <c r="T1340" s="3">
        <v>3.1</v>
      </c>
      <c r="U1340" s="3">
        <v>-1</v>
      </c>
    </row>
    <row r="1341" spans="1:21" x14ac:dyDescent="0.35">
      <c r="A1341" t="s">
        <v>1040</v>
      </c>
      <c r="B1341" t="s">
        <v>468</v>
      </c>
      <c r="C1341" t="s">
        <v>370</v>
      </c>
      <c r="D1341">
        <v>2012</v>
      </c>
      <c r="E1341">
        <v>245</v>
      </c>
      <c r="F1341" t="s">
        <v>600</v>
      </c>
      <c r="G1341" t="s">
        <v>829</v>
      </c>
      <c r="H1341" t="s">
        <v>868</v>
      </c>
      <c r="K1341" t="s">
        <v>394</v>
      </c>
      <c r="M1341" t="s">
        <v>348</v>
      </c>
      <c r="N1341" t="s">
        <v>537</v>
      </c>
      <c r="O1341" t="s">
        <v>1038</v>
      </c>
      <c r="P1341" t="s">
        <v>1037</v>
      </c>
      <c r="Q1341" s="2" t="s">
        <v>230</v>
      </c>
      <c r="R1341">
        <v>65</v>
      </c>
      <c r="S1341" s="3">
        <v>1.81</v>
      </c>
      <c r="T1341" s="3">
        <v>3.7</v>
      </c>
      <c r="U1341" s="3">
        <v>-1.2</v>
      </c>
    </row>
    <row r="1342" spans="1:21" x14ac:dyDescent="0.35">
      <c r="A1342" t="s">
        <v>1041</v>
      </c>
      <c r="B1342" t="s">
        <v>398</v>
      </c>
      <c r="C1342" t="s">
        <v>370</v>
      </c>
      <c r="D1342">
        <v>2012</v>
      </c>
      <c r="E1342">
        <v>246</v>
      </c>
      <c r="F1342" t="s">
        <v>863</v>
      </c>
      <c r="G1342" t="s">
        <v>829</v>
      </c>
      <c r="H1342" t="s">
        <v>832</v>
      </c>
      <c r="I1342" t="s">
        <v>1042</v>
      </c>
      <c r="K1342" t="s">
        <v>378</v>
      </c>
      <c r="L1342" t="s">
        <v>447</v>
      </c>
      <c r="M1342" t="s">
        <v>348</v>
      </c>
      <c r="N1342" t="s">
        <v>173</v>
      </c>
      <c r="O1342" t="s">
        <v>439</v>
      </c>
      <c r="P1342" t="s">
        <v>172</v>
      </c>
      <c r="Q1342" s="2" t="s">
        <v>230</v>
      </c>
      <c r="R1342">
        <v>0</v>
      </c>
      <c r="S1342" s="3">
        <v>1.25</v>
      </c>
      <c r="T1342" s="3">
        <v>0</v>
      </c>
      <c r="U1342" s="3">
        <v>0</v>
      </c>
    </row>
    <row r="1343" spans="1:21" x14ac:dyDescent="0.35">
      <c r="A1343" t="s">
        <v>1041</v>
      </c>
      <c r="B1343" t="s">
        <v>398</v>
      </c>
      <c r="C1343" t="s">
        <v>370</v>
      </c>
      <c r="D1343">
        <v>2012</v>
      </c>
      <c r="E1343">
        <v>246</v>
      </c>
      <c r="F1343" t="s">
        <v>863</v>
      </c>
      <c r="G1343" t="s">
        <v>829</v>
      </c>
      <c r="H1343" t="s">
        <v>832</v>
      </c>
      <c r="I1343" t="s">
        <v>1042</v>
      </c>
      <c r="K1343" t="s">
        <v>378</v>
      </c>
      <c r="L1343" t="s">
        <v>447</v>
      </c>
      <c r="M1343" t="s">
        <v>348</v>
      </c>
      <c r="N1343" t="s">
        <v>173</v>
      </c>
      <c r="O1343" t="s">
        <v>439</v>
      </c>
      <c r="P1343" t="s">
        <v>172</v>
      </c>
      <c r="Q1343" s="2" t="s">
        <v>230</v>
      </c>
      <c r="R1343">
        <v>33</v>
      </c>
      <c r="S1343" s="3">
        <v>1.3</v>
      </c>
      <c r="T1343" s="3">
        <v>0.5</v>
      </c>
      <c r="U1343" s="3">
        <v>0</v>
      </c>
    </row>
    <row r="1344" spans="1:21" x14ac:dyDescent="0.35">
      <c r="A1344" t="s">
        <v>1041</v>
      </c>
      <c r="B1344" t="s">
        <v>398</v>
      </c>
      <c r="C1344" t="s">
        <v>370</v>
      </c>
      <c r="D1344">
        <v>2012</v>
      </c>
      <c r="E1344">
        <v>246</v>
      </c>
      <c r="F1344" t="s">
        <v>863</v>
      </c>
      <c r="G1344" t="s">
        <v>829</v>
      </c>
      <c r="H1344" t="s">
        <v>832</v>
      </c>
      <c r="I1344" t="s">
        <v>1042</v>
      </c>
      <c r="K1344" t="s">
        <v>378</v>
      </c>
      <c r="L1344" t="s">
        <v>447</v>
      </c>
      <c r="M1344" t="s">
        <v>348</v>
      </c>
      <c r="N1344" t="s">
        <v>173</v>
      </c>
      <c r="O1344" t="s">
        <v>439</v>
      </c>
      <c r="P1344" t="s">
        <v>172</v>
      </c>
      <c r="Q1344" s="2" t="s">
        <v>230</v>
      </c>
      <c r="R1344">
        <v>50</v>
      </c>
      <c r="S1344" s="3">
        <v>1.34</v>
      </c>
      <c r="T1344" s="3">
        <v>0.7</v>
      </c>
      <c r="U1344" s="3">
        <v>0</v>
      </c>
    </row>
    <row r="1345" spans="1:21" x14ac:dyDescent="0.35">
      <c r="A1345" t="s">
        <v>1041</v>
      </c>
      <c r="B1345" t="s">
        <v>398</v>
      </c>
      <c r="C1345" t="s">
        <v>370</v>
      </c>
      <c r="D1345">
        <v>2012</v>
      </c>
      <c r="E1345">
        <v>246</v>
      </c>
      <c r="F1345" t="s">
        <v>863</v>
      </c>
      <c r="G1345" t="s">
        <v>829</v>
      </c>
      <c r="H1345" t="s">
        <v>832</v>
      </c>
      <c r="I1345" t="s">
        <v>1042</v>
      </c>
      <c r="K1345" t="s">
        <v>378</v>
      </c>
      <c r="L1345" t="s">
        <v>447</v>
      </c>
      <c r="M1345" t="s">
        <v>348</v>
      </c>
      <c r="N1345" t="s">
        <v>173</v>
      </c>
      <c r="O1345" t="s">
        <v>439</v>
      </c>
      <c r="P1345" t="s">
        <v>172</v>
      </c>
      <c r="Q1345" s="2" t="s">
        <v>230</v>
      </c>
      <c r="R1345">
        <v>66</v>
      </c>
      <c r="S1345" s="3">
        <v>1.42</v>
      </c>
      <c r="T1345" s="3">
        <v>0.9</v>
      </c>
      <c r="U1345" s="3">
        <v>0</v>
      </c>
    </row>
    <row r="1346" spans="1:21" x14ac:dyDescent="0.35">
      <c r="A1346" t="s">
        <v>1041</v>
      </c>
      <c r="B1346" t="s">
        <v>398</v>
      </c>
      <c r="C1346" t="s">
        <v>370</v>
      </c>
      <c r="D1346">
        <v>2012</v>
      </c>
      <c r="E1346">
        <v>246</v>
      </c>
      <c r="F1346" t="s">
        <v>863</v>
      </c>
      <c r="G1346" t="s">
        <v>829</v>
      </c>
      <c r="H1346" t="s">
        <v>832</v>
      </c>
      <c r="I1346" t="s">
        <v>1042</v>
      </c>
      <c r="K1346" t="s">
        <v>378</v>
      </c>
      <c r="L1346" t="s">
        <v>447</v>
      </c>
      <c r="M1346" t="s">
        <v>348</v>
      </c>
      <c r="N1346" t="s">
        <v>173</v>
      </c>
      <c r="O1346" t="s">
        <v>439</v>
      </c>
      <c r="P1346" t="s">
        <v>172</v>
      </c>
      <c r="Q1346" s="2" t="s">
        <v>230</v>
      </c>
      <c r="R1346">
        <v>83</v>
      </c>
      <c r="S1346" s="3">
        <v>1.59</v>
      </c>
      <c r="T1346" s="3">
        <v>1.1000000000000001</v>
      </c>
      <c r="U1346" s="3">
        <v>0</v>
      </c>
    </row>
    <row r="1347" spans="1:21" x14ac:dyDescent="0.35">
      <c r="A1347" t="s">
        <v>1043</v>
      </c>
      <c r="B1347" t="s">
        <v>609</v>
      </c>
      <c r="C1347" t="s">
        <v>370</v>
      </c>
      <c r="D1347">
        <v>2014</v>
      </c>
      <c r="E1347">
        <v>247</v>
      </c>
      <c r="F1347" t="s">
        <v>600</v>
      </c>
      <c r="G1347" t="s">
        <v>829</v>
      </c>
      <c r="H1347" t="s">
        <v>832</v>
      </c>
      <c r="K1347" t="s">
        <v>378</v>
      </c>
      <c r="L1347" t="s">
        <v>574</v>
      </c>
      <c r="M1347" t="s">
        <v>348</v>
      </c>
      <c r="N1347" t="s">
        <v>538</v>
      </c>
      <c r="O1347" t="s">
        <v>887</v>
      </c>
      <c r="P1347" t="s">
        <v>888</v>
      </c>
      <c r="Q1347" s="2" t="s">
        <v>230</v>
      </c>
      <c r="R1347">
        <v>0</v>
      </c>
      <c r="S1347" s="3">
        <v>1.31</v>
      </c>
      <c r="T1347" s="3">
        <v>0</v>
      </c>
      <c r="U1347" s="3">
        <v>0</v>
      </c>
    </row>
    <row r="1348" spans="1:21" x14ac:dyDescent="0.35">
      <c r="A1348" t="s">
        <v>1043</v>
      </c>
      <c r="B1348" t="s">
        <v>609</v>
      </c>
      <c r="C1348" t="s">
        <v>370</v>
      </c>
      <c r="D1348">
        <v>2014</v>
      </c>
      <c r="E1348">
        <v>247</v>
      </c>
      <c r="F1348" t="s">
        <v>600</v>
      </c>
      <c r="G1348" t="s">
        <v>829</v>
      </c>
      <c r="H1348" t="s">
        <v>832</v>
      </c>
      <c r="K1348" t="s">
        <v>378</v>
      </c>
      <c r="L1348" t="s">
        <v>574</v>
      </c>
      <c r="M1348" t="s">
        <v>348</v>
      </c>
      <c r="N1348" t="s">
        <v>538</v>
      </c>
      <c r="O1348" t="s">
        <v>887</v>
      </c>
      <c r="P1348" t="s">
        <v>888</v>
      </c>
      <c r="Q1348" s="2" t="s">
        <v>230</v>
      </c>
      <c r="R1348">
        <v>25</v>
      </c>
      <c r="S1348" s="3">
        <v>1.39</v>
      </c>
      <c r="T1348" s="3">
        <v>0.3</v>
      </c>
      <c r="U1348" s="3">
        <v>-4.7</v>
      </c>
    </row>
    <row r="1349" spans="1:21" x14ac:dyDescent="0.35">
      <c r="A1349" t="s">
        <v>1043</v>
      </c>
      <c r="B1349" t="s">
        <v>609</v>
      </c>
      <c r="C1349" t="s">
        <v>370</v>
      </c>
      <c r="D1349">
        <v>2014</v>
      </c>
      <c r="E1349">
        <v>247</v>
      </c>
      <c r="F1349" t="s">
        <v>600</v>
      </c>
      <c r="G1349" t="s">
        <v>829</v>
      </c>
      <c r="H1349" t="s">
        <v>832</v>
      </c>
      <c r="K1349" t="s">
        <v>378</v>
      </c>
      <c r="L1349" t="s">
        <v>574</v>
      </c>
      <c r="M1349" t="s">
        <v>348</v>
      </c>
      <c r="N1349" t="s">
        <v>538</v>
      </c>
      <c r="O1349" t="s">
        <v>887</v>
      </c>
      <c r="P1349" t="s">
        <v>888</v>
      </c>
      <c r="Q1349" s="2" t="s">
        <v>230</v>
      </c>
      <c r="R1349">
        <v>50</v>
      </c>
      <c r="S1349" s="3">
        <v>1.47</v>
      </c>
      <c r="T1349" s="3">
        <v>0.6</v>
      </c>
      <c r="U1349" s="3">
        <v>-10</v>
      </c>
    </row>
    <row r="1350" spans="1:21" x14ac:dyDescent="0.35">
      <c r="A1350" t="s">
        <v>1043</v>
      </c>
      <c r="B1350" t="s">
        <v>609</v>
      </c>
      <c r="C1350" t="s">
        <v>370</v>
      </c>
      <c r="D1350">
        <v>2014</v>
      </c>
      <c r="E1350">
        <v>247</v>
      </c>
      <c r="F1350" t="s">
        <v>600</v>
      </c>
      <c r="G1350" t="s">
        <v>829</v>
      </c>
      <c r="H1350" t="s">
        <v>832</v>
      </c>
      <c r="K1350" t="s">
        <v>378</v>
      </c>
      <c r="L1350" t="s">
        <v>574</v>
      </c>
      <c r="M1350" t="s">
        <v>348</v>
      </c>
      <c r="N1350" t="s">
        <v>538</v>
      </c>
      <c r="O1350" t="s">
        <v>887</v>
      </c>
      <c r="P1350" t="s">
        <v>888</v>
      </c>
      <c r="Q1350" s="2" t="s">
        <v>230</v>
      </c>
      <c r="R1350">
        <v>75</v>
      </c>
      <c r="S1350" s="3">
        <v>1.73</v>
      </c>
      <c r="T1350" s="3">
        <v>0.9</v>
      </c>
      <c r="U1350" s="3">
        <v>-15.6</v>
      </c>
    </row>
    <row r="1351" spans="1:21" x14ac:dyDescent="0.35">
      <c r="A1351" t="s">
        <v>1043</v>
      </c>
      <c r="B1351" t="s">
        <v>609</v>
      </c>
      <c r="C1351" t="s">
        <v>370</v>
      </c>
      <c r="D1351">
        <v>2014</v>
      </c>
      <c r="E1351">
        <v>247</v>
      </c>
      <c r="F1351" t="s">
        <v>600</v>
      </c>
      <c r="G1351" t="s">
        <v>829</v>
      </c>
      <c r="H1351" t="s">
        <v>868</v>
      </c>
      <c r="K1351" t="s">
        <v>378</v>
      </c>
      <c r="L1351" t="s">
        <v>574</v>
      </c>
      <c r="M1351" t="s">
        <v>348</v>
      </c>
      <c r="N1351" t="s">
        <v>538</v>
      </c>
      <c r="O1351" t="s">
        <v>887</v>
      </c>
      <c r="P1351" t="s">
        <v>888</v>
      </c>
      <c r="Q1351" s="2" t="s">
        <v>230</v>
      </c>
      <c r="R1351">
        <v>0</v>
      </c>
      <c r="S1351" s="3">
        <v>1.31</v>
      </c>
      <c r="T1351" s="3">
        <v>0</v>
      </c>
      <c r="U1351" s="3">
        <v>0</v>
      </c>
    </row>
    <row r="1352" spans="1:21" x14ac:dyDescent="0.35">
      <c r="A1352" t="s">
        <v>1043</v>
      </c>
      <c r="B1352" t="s">
        <v>609</v>
      </c>
      <c r="C1352" t="s">
        <v>370</v>
      </c>
      <c r="D1352">
        <v>2014</v>
      </c>
      <c r="E1352">
        <v>247</v>
      </c>
      <c r="F1352" t="s">
        <v>600</v>
      </c>
      <c r="G1352" t="s">
        <v>829</v>
      </c>
      <c r="H1352" t="s">
        <v>868</v>
      </c>
      <c r="K1352" t="s">
        <v>378</v>
      </c>
      <c r="L1352" t="s">
        <v>574</v>
      </c>
      <c r="M1352" t="s">
        <v>348</v>
      </c>
      <c r="N1352" t="s">
        <v>538</v>
      </c>
      <c r="O1352" t="s">
        <v>887</v>
      </c>
      <c r="P1352" t="s">
        <v>888</v>
      </c>
      <c r="Q1352" s="2" t="s">
        <v>230</v>
      </c>
      <c r="R1352">
        <v>25</v>
      </c>
      <c r="S1352" s="3">
        <v>1.22</v>
      </c>
      <c r="T1352" s="3">
        <v>0.3</v>
      </c>
      <c r="U1352" s="3">
        <v>-1.4</v>
      </c>
    </row>
    <row r="1353" spans="1:21" x14ac:dyDescent="0.35">
      <c r="A1353" t="s">
        <v>1043</v>
      </c>
      <c r="B1353" t="s">
        <v>609</v>
      </c>
      <c r="C1353" t="s">
        <v>370</v>
      </c>
      <c r="D1353">
        <v>2014</v>
      </c>
      <c r="E1353">
        <v>247</v>
      </c>
      <c r="F1353" t="s">
        <v>600</v>
      </c>
      <c r="G1353" t="s">
        <v>829</v>
      </c>
      <c r="H1353" t="s">
        <v>868</v>
      </c>
      <c r="K1353" t="s">
        <v>378</v>
      </c>
      <c r="L1353" t="s">
        <v>574</v>
      </c>
      <c r="M1353" t="s">
        <v>348</v>
      </c>
      <c r="N1353" t="s">
        <v>538</v>
      </c>
      <c r="O1353" t="s">
        <v>887</v>
      </c>
      <c r="P1353" t="s">
        <v>888</v>
      </c>
      <c r="Q1353" s="2" t="s">
        <v>230</v>
      </c>
      <c r="R1353">
        <v>50</v>
      </c>
      <c r="S1353" s="3">
        <v>1.44</v>
      </c>
      <c r="T1353" s="3">
        <v>0.6</v>
      </c>
      <c r="U1353" s="3">
        <v>-3.9</v>
      </c>
    </row>
    <row r="1354" spans="1:21" x14ac:dyDescent="0.35">
      <c r="A1354" t="s">
        <v>1043</v>
      </c>
      <c r="B1354" t="s">
        <v>609</v>
      </c>
      <c r="C1354" t="s">
        <v>370</v>
      </c>
      <c r="D1354">
        <v>2014</v>
      </c>
      <c r="E1354">
        <v>247</v>
      </c>
      <c r="F1354" t="s">
        <v>600</v>
      </c>
      <c r="G1354" t="s">
        <v>829</v>
      </c>
      <c r="H1354" t="s">
        <v>868</v>
      </c>
      <c r="K1354" t="s">
        <v>378</v>
      </c>
      <c r="L1354" t="s">
        <v>574</v>
      </c>
      <c r="M1354" t="s">
        <v>348</v>
      </c>
      <c r="N1354" t="s">
        <v>538</v>
      </c>
      <c r="O1354" t="s">
        <v>887</v>
      </c>
      <c r="P1354" t="s">
        <v>888</v>
      </c>
      <c r="Q1354" s="2" t="s">
        <v>230</v>
      </c>
      <c r="R1354">
        <v>75</v>
      </c>
      <c r="S1354" s="3">
        <v>1.65</v>
      </c>
      <c r="T1354" s="3">
        <v>0.9</v>
      </c>
      <c r="U1354" s="3">
        <v>-6.2</v>
      </c>
    </row>
    <row r="1355" spans="1:21" x14ac:dyDescent="0.35">
      <c r="A1355" t="s">
        <v>1043</v>
      </c>
      <c r="B1355" t="s">
        <v>609</v>
      </c>
      <c r="C1355" t="s">
        <v>370</v>
      </c>
      <c r="D1355">
        <v>2014</v>
      </c>
      <c r="E1355">
        <v>247</v>
      </c>
      <c r="F1355" t="s">
        <v>600</v>
      </c>
      <c r="G1355" t="s">
        <v>829</v>
      </c>
      <c r="H1355" t="s">
        <v>1044</v>
      </c>
      <c r="K1355" t="s">
        <v>378</v>
      </c>
      <c r="L1355" t="s">
        <v>574</v>
      </c>
      <c r="M1355" t="s">
        <v>348</v>
      </c>
      <c r="N1355" t="s">
        <v>538</v>
      </c>
      <c r="O1355" t="s">
        <v>887</v>
      </c>
      <c r="P1355" t="s">
        <v>888</v>
      </c>
      <c r="Q1355" s="2" t="s">
        <v>230</v>
      </c>
      <c r="R1355">
        <v>0</v>
      </c>
      <c r="S1355" s="3">
        <v>1.31</v>
      </c>
      <c r="T1355" s="3">
        <v>0</v>
      </c>
      <c r="U1355" s="3">
        <v>0</v>
      </c>
    </row>
    <row r="1356" spans="1:21" x14ac:dyDescent="0.35">
      <c r="A1356" t="s">
        <v>1043</v>
      </c>
      <c r="B1356" t="s">
        <v>609</v>
      </c>
      <c r="C1356" t="s">
        <v>370</v>
      </c>
      <c r="D1356">
        <v>2014</v>
      </c>
      <c r="E1356">
        <v>247</v>
      </c>
      <c r="F1356" t="s">
        <v>600</v>
      </c>
      <c r="G1356" t="s">
        <v>829</v>
      </c>
      <c r="H1356" t="s">
        <v>1044</v>
      </c>
      <c r="K1356" t="s">
        <v>378</v>
      </c>
      <c r="L1356" t="s">
        <v>574</v>
      </c>
      <c r="M1356" t="s">
        <v>348</v>
      </c>
      <c r="N1356" t="s">
        <v>538</v>
      </c>
      <c r="O1356" t="s">
        <v>887</v>
      </c>
      <c r="P1356" t="s">
        <v>888</v>
      </c>
      <c r="Q1356" s="2" t="s">
        <v>230</v>
      </c>
      <c r="R1356">
        <v>25</v>
      </c>
      <c r="S1356" s="3">
        <v>1.31</v>
      </c>
      <c r="T1356" s="3">
        <v>0.3</v>
      </c>
      <c r="U1356" s="3">
        <v>-5.2</v>
      </c>
    </row>
    <row r="1357" spans="1:21" x14ac:dyDescent="0.35">
      <c r="A1357" t="s">
        <v>1043</v>
      </c>
      <c r="B1357" t="s">
        <v>609</v>
      </c>
      <c r="C1357" t="s">
        <v>370</v>
      </c>
      <c r="D1357">
        <v>2014</v>
      </c>
      <c r="E1357">
        <v>247</v>
      </c>
      <c r="F1357" t="s">
        <v>600</v>
      </c>
      <c r="G1357" t="s">
        <v>829</v>
      </c>
      <c r="H1357" t="s">
        <v>1044</v>
      </c>
      <c r="K1357" t="s">
        <v>378</v>
      </c>
      <c r="L1357" t="s">
        <v>574</v>
      </c>
      <c r="M1357" t="s">
        <v>348</v>
      </c>
      <c r="N1357" t="s">
        <v>538</v>
      </c>
      <c r="O1357" t="s">
        <v>887</v>
      </c>
      <c r="P1357" t="s">
        <v>888</v>
      </c>
      <c r="Q1357" s="2" t="s">
        <v>230</v>
      </c>
      <c r="R1357">
        <v>50</v>
      </c>
      <c r="S1357" s="3">
        <v>1.32</v>
      </c>
      <c r="T1357" s="3">
        <v>0.6</v>
      </c>
      <c r="U1357" s="3">
        <v>-10.6</v>
      </c>
    </row>
    <row r="1358" spans="1:21" x14ac:dyDescent="0.35">
      <c r="A1358" t="s">
        <v>1043</v>
      </c>
      <c r="B1358" t="s">
        <v>609</v>
      </c>
      <c r="C1358" t="s">
        <v>370</v>
      </c>
      <c r="D1358">
        <v>2014</v>
      </c>
      <c r="E1358">
        <v>247</v>
      </c>
      <c r="F1358" t="s">
        <v>600</v>
      </c>
      <c r="G1358" t="s">
        <v>829</v>
      </c>
      <c r="H1358" t="s">
        <v>1044</v>
      </c>
      <c r="K1358" t="s">
        <v>378</v>
      </c>
      <c r="L1358" t="s">
        <v>574</v>
      </c>
      <c r="M1358" t="s">
        <v>348</v>
      </c>
      <c r="N1358" t="s">
        <v>538</v>
      </c>
      <c r="O1358" t="s">
        <v>887</v>
      </c>
      <c r="P1358" t="s">
        <v>888</v>
      </c>
      <c r="Q1358" s="2" t="s">
        <v>230</v>
      </c>
      <c r="R1358">
        <v>75</v>
      </c>
      <c r="S1358" s="3">
        <v>1.43</v>
      </c>
      <c r="T1358" s="3">
        <v>0.9</v>
      </c>
      <c r="U1358" s="3">
        <v>-16.5</v>
      </c>
    </row>
    <row r="1359" spans="1:21" x14ac:dyDescent="0.35">
      <c r="A1359" t="s">
        <v>1045</v>
      </c>
      <c r="B1359" t="s">
        <v>455</v>
      </c>
      <c r="C1359" t="s">
        <v>370</v>
      </c>
      <c r="D1359">
        <v>2016</v>
      </c>
      <c r="E1359">
        <v>248</v>
      </c>
      <c r="F1359" t="s">
        <v>600</v>
      </c>
      <c r="G1359" t="s">
        <v>829</v>
      </c>
      <c r="H1359" t="s">
        <v>832</v>
      </c>
      <c r="K1359" t="s">
        <v>378</v>
      </c>
      <c r="L1359" t="s">
        <v>785</v>
      </c>
      <c r="M1359" t="s">
        <v>348</v>
      </c>
      <c r="N1359" t="s">
        <v>538</v>
      </c>
      <c r="O1359" t="s">
        <v>149</v>
      </c>
      <c r="P1359" t="s">
        <v>935</v>
      </c>
      <c r="Q1359" s="2" t="s">
        <v>230</v>
      </c>
      <c r="R1359">
        <v>0</v>
      </c>
      <c r="S1359" s="3">
        <f>1/1.43</f>
        <v>0.69930069930069938</v>
      </c>
      <c r="T1359" s="3">
        <v>0</v>
      </c>
      <c r="U1359" s="3">
        <v>0</v>
      </c>
    </row>
    <row r="1360" spans="1:21" x14ac:dyDescent="0.35">
      <c r="A1360" t="s">
        <v>1045</v>
      </c>
      <c r="B1360" t="s">
        <v>455</v>
      </c>
      <c r="C1360" t="s">
        <v>370</v>
      </c>
      <c r="D1360">
        <v>2016</v>
      </c>
      <c r="E1360">
        <v>248</v>
      </c>
      <c r="F1360" t="s">
        <v>600</v>
      </c>
      <c r="G1360" t="s">
        <v>829</v>
      </c>
      <c r="H1360" t="s">
        <v>832</v>
      </c>
      <c r="K1360" t="s">
        <v>378</v>
      </c>
      <c r="L1360" t="s">
        <v>785</v>
      </c>
      <c r="M1360" t="s">
        <v>348</v>
      </c>
      <c r="N1360" t="s">
        <v>538</v>
      </c>
      <c r="O1360" t="s">
        <v>149</v>
      </c>
      <c r="P1360" t="s">
        <v>935</v>
      </c>
      <c r="Q1360" s="2" t="s">
        <v>230</v>
      </c>
      <c r="R1360">
        <v>30</v>
      </c>
      <c r="S1360" s="3">
        <f>1/1.26</f>
        <v>0.79365079365079361</v>
      </c>
      <c r="T1360" s="3">
        <v>1.3</v>
      </c>
      <c r="U1360" s="3">
        <v>-9.41</v>
      </c>
    </row>
    <row r="1361" spans="1:21" x14ac:dyDescent="0.35">
      <c r="A1361" t="s">
        <v>1045</v>
      </c>
      <c r="B1361" t="s">
        <v>455</v>
      </c>
      <c r="C1361" t="s">
        <v>370</v>
      </c>
      <c r="D1361">
        <v>2016</v>
      </c>
      <c r="E1361">
        <v>248</v>
      </c>
      <c r="F1361" t="s">
        <v>600</v>
      </c>
      <c r="G1361" t="s">
        <v>829</v>
      </c>
      <c r="H1361" t="s">
        <v>832</v>
      </c>
      <c r="K1361" t="s">
        <v>378</v>
      </c>
      <c r="L1361" t="s">
        <v>785</v>
      </c>
      <c r="M1361" t="s">
        <v>348</v>
      </c>
      <c r="N1361" t="s">
        <v>538</v>
      </c>
      <c r="O1361" t="s">
        <v>149</v>
      </c>
      <c r="P1361" t="s">
        <v>935</v>
      </c>
      <c r="Q1361" s="2" t="s">
        <v>230</v>
      </c>
      <c r="R1361">
        <v>45</v>
      </c>
      <c r="S1361" s="3">
        <f>1/1.14</f>
        <v>0.87719298245614041</v>
      </c>
      <c r="T1361" s="3">
        <v>2.4</v>
      </c>
      <c r="U1361" s="3">
        <v>-13.43</v>
      </c>
    </row>
    <row r="1362" spans="1:21" x14ac:dyDescent="0.35">
      <c r="A1362" t="s">
        <v>1045</v>
      </c>
      <c r="B1362" t="s">
        <v>455</v>
      </c>
      <c r="C1362" t="s">
        <v>370</v>
      </c>
      <c r="D1362">
        <v>2016</v>
      </c>
      <c r="E1362">
        <v>248</v>
      </c>
      <c r="F1362" t="s">
        <v>600</v>
      </c>
      <c r="G1362" t="s">
        <v>829</v>
      </c>
      <c r="H1362" t="s">
        <v>832</v>
      </c>
      <c r="K1362" t="s">
        <v>378</v>
      </c>
      <c r="L1362" t="s">
        <v>785</v>
      </c>
      <c r="M1362" t="s">
        <v>348</v>
      </c>
      <c r="N1362" t="s">
        <v>538</v>
      </c>
      <c r="O1362" t="s">
        <v>149</v>
      </c>
      <c r="P1362" t="s">
        <v>935</v>
      </c>
      <c r="Q1362" s="2" t="s">
        <v>230</v>
      </c>
      <c r="R1362">
        <v>60</v>
      </c>
      <c r="S1362" s="3">
        <f>1.1</f>
        <v>1.1000000000000001</v>
      </c>
      <c r="T1362" s="3">
        <v>3.1</v>
      </c>
      <c r="U1362" s="3">
        <v>-18.489999999999998</v>
      </c>
    </row>
    <row r="1363" spans="1:21" x14ac:dyDescent="0.35">
      <c r="A1363" t="s">
        <v>1045</v>
      </c>
      <c r="B1363" t="s">
        <v>455</v>
      </c>
      <c r="C1363" t="s">
        <v>370</v>
      </c>
      <c r="D1363">
        <v>2016</v>
      </c>
      <c r="E1363">
        <v>248</v>
      </c>
      <c r="F1363" t="s">
        <v>600</v>
      </c>
      <c r="G1363" t="s">
        <v>829</v>
      </c>
      <c r="H1363" t="s">
        <v>1046</v>
      </c>
      <c r="K1363" t="s">
        <v>378</v>
      </c>
      <c r="L1363" t="s">
        <v>785</v>
      </c>
      <c r="M1363" t="s">
        <v>348</v>
      </c>
      <c r="N1363" t="s">
        <v>538</v>
      </c>
      <c r="O1363" t="s">
        <v>149</v>
      </c>
      <c r="P1363" t="s">
        <v>935</v>
      </c>
      <c r="Q1363" s="2" t="s">
        <v>230</v>
      </c>
      <c r="R1363">
        <v>0</v>
      </c>
      <c r="S1363" s="3">
        <f>1/1.42</f>
        <v>0.70422535211267612</v>
      </c>
      <c r="T1363" s="3">
        <v>0</v>
      </c>
      <c r="U1363" s="3">
        <v>0</v>
      </c>
    </row>
    <row r="1364" spans="1:21" x14ac:dyDescent="0.35">
      <c r="A1364" t="s">
        <v>1045</v>
      </c>
      <c r="B1364" t="s">
        <v>455</v>
      </c>
      <c r="C1364" t="s">
        <v>370</v>
      </c>
      <c r="D1364">
        <v>2016</v>
      </c>
      <c r="E1364">
        <v>248</v>
      </c>
      <c r="F1364" t="s">
        <v>600</v>
      </c>
      <c r="G1364" t="s">
        <v>829</v>
      </c>
      <c r="H1364" t="s">
        <v>1046</v>
      </c>
      <c r="K1364" t="s">
        <v>378</v>
      </c>
      <c r="L1364" t="s">
        <v>785</v>
      </c>
      <c r="M1364" t="s">
        <v>348</v>
      </c>
      <c r="N1364" t="s">
        <v>538</v>
      </c>
      <c r="O1364" t="s">
        <v>149</v>
      </c>
      <c r="P1364" t="s">
        <v>935</v>
      </c>
      <c r="Q1364" s="2" t="s">
        <v>230</v>
      </c>
      <c r="R1364">
        <v>30</v>
      </c>
      <c r="S1364" s="3">
        <f>1/1.42</f>
        <v>0.70422535211267612</v>
      </c>
      <c r="T1364" s="3">
        <v>1.3</v>
      </c>
      <c r="U1364" s="3">
        <v>-6.75</v>
      </c>
    </row>
    <row r="1365" spans="1:21" x14ac:dyDescent="0.35">
      <c r="A1365" t="s">
        <v>1045</v>
      </c>
      <c r="B1365" t="s">
        <v>455</v>
      </c>
      <c r="C1365" t="s">
        <v>370</v>
      </c>
      <c r="D1365">
        <v>2016</v>
      </c>
      <c r="E1365">
        <v>248</v>
      </c>
      <c r="F1365" t="s">
        <v>600</v>
      </c>
      <c r="G1365" t="s">
        <v>829</v>
      </c>
      <c r="H1365" t="s">
        <v>1046</v>
      </c>
      <c r="K1365" t="s">
        <v>378</v>
      </c>
      <c r="L1365" t="s">
        <v>785</v>
      </c>
      <c r="M1365" t="s">
        <v>348</v>
      </c>
      <c r="N1365" t="s">
        <v>538</v>
      </c>
      <c r="O1365" t="s">
        <v>149</v>
      </c>
      <c r="P1365" t="s">
        <v>935</v>
      </c>
      <c r="Q1365" s="2" t="s">
        <v>230</v>
      </c>
      <c r="R1365">
        <v>45</v>
      </c>
      <c r="S1365" s="3">
        <f>1/1.28</f>
        <v>0.78125</v>
      </c>
      <c r="T1365" s="3">
        <v>2.4</v>
      </c>
      <c r="U1365" s="3">
        <v>-10.16</v>
      </c>
    </row>
    <row r="1366" spans="1:21" x14ac:dyDescent="0.35">
      <c r="A1366" t="s">
        <v>1045</v>
      </c>
      <c r="B1366" t="s">
        <v>455</v>
      </c>
      <c r="C1366" t="s">
        <v>370</v>
      </c>
      <c r="D1366">
        <v>2016</v>
      </c>
      <c r="E1366">
        <v>248</v>
      </c>
      <c r="F1366" t="s">
        <v>600</v>
      </c>
      <c r="G1366" t="s">
        <v>829</v>
      </c>
      <c r="H1366" t="s">
        <v>1046</v>
      </c>
      <c r="K1366" t="s">
        <v>378</v>
      </c>
      <c r="L1366" t="s">
        <v>785</v>
      </c>
      <c r="M1366" t="s">
        <v>348</v>
      </c>
      <c r="N1366" t="s">
        <v>538</v>
      </c>
      <c r="O1366" t="s">
        <v>149</v>
      </c>
      <c r="P1366" t="s">
        <v>935</v>
      </c>
      <c r="Q1366" s="2" t="s">
        <v>230</v>
      </c>
      <c r="R1366">
        <v>60</v>
      </c>
      <c r="S1366" s="3">
        <f>1/1.08</f>
        <v>0.92592592592592582</v>
      </c>
      <c r="T1366" s="3">
        <v>3.1</v>
      </c>
      <c r="U1366" s="3">
        <v>-12.99</v>
      </c>
    </row>
    <row r="1367" spans="1:21" x14ac:dyDescent="0.35">
      <c r="A1367" t="s">
        <v>1047</v>
      </c>
      <c r="B1367" t="s">
        <v>522</v>
      </c>
      <c r="C1367" t="s">
        <v>370</v>
      </c>
      <c r="D1367">
        <v>2018</v>
      </c>
      <c r="E1367">
        <v>249</v>
      </c>
      <c r="F1367" t="s">
        <v>600</v>
      </c>
      <c r="G1367" t="s">
        <v>829</v>
      </c>
      <c r="H1367" t="s">
        <v>832</v>
      </c>
      <c r="K1367" t="s">
        <v>378</v>
      </c>
      <c r="L1367" t="s">
        <v>574</v>
      </c>
      <c r="M1367" t="s">
        <v>348</v>
      </c>
      <c r="N1367" t="s">
        <v>538</v>
      </c>
      <c r="O1367" t="s">
        <v>887</v>
      </c>
      <c r="P1367" t="s">
        <v>888</v>
      </c>
      <c r="Q1367" s="2" t="s">
        <v>230</v>
      </c>
      <c r="R1367">
        <v>0</v>
      </c>
      <c r="S1367" s="3">
        <f>1/0.92</f>
        <v>1.0869565217391304</v>
      </c>
      <c r="T1367" s="3">
        <v>0</v>
      </c>
      <c r="U1367" s="3">
        <v>0</v>
      </c>
    </row>
    <row r="1368" spans="1:21" x14ac:dyDescent="0.35">
      <c r="A1368" t="s">
        <v>1047</v>
      </c>
      <c r="B1368" t="s">
        <v>522</v>
      </c>
      <c r="C1368" t="s">
        <v>370</v>
      </c>
      <c r="D1368">
        <v>2018</v>
      </c>
      <c r="E1368">
        <v>249</v>
      </c>
      <c r="F1368" t="s">
        <v>600</v>
      </c>
      <c r="G1368" t="s">
        <v>829</v>
      </c>
      <c r="H1368" t="s">
        <v>832</v>
      </c>
      <c r="K1368" t="s">
        <v>378</v>
      </c>
      <c r="L1368" t="s">
        <v>574</v>
      </c>
      <c r="M1368" t="s">
        <v>348</v>
      </c>
      <c r="N1368" t="s">
        <v>538</v>
      </c>
      <c r="O1368" t="s">
        <v>887</v>
      </c>
      <c r="P1368" t="s">
        <v>888</v>
      </c>
      <c r="Q1368" s="2" t="s">
        <v>230</v>
      </c>
      <c r="R1368">
        <v>50</v>
      </c>
      <c r="S1368" s="3">
        <f>1/0.86</f>
        <v>1.1627906976744187</v>
      </c>
      <c r="T1368" s="3">
        <v>1.7</v>
      </c>
      <c r="U1368" s="3">
        <v>-12.68</v>
      </c>
    </row>
    <row r="1369" spans="1:21" x14ac:dyDescent="0.35">
      <c r="A1369" t="s">
        <v>1047</v>
      </c>
      <c r="B1369" t="s">
        <v>522</v>
      </c>
      <c r="C1369" t="s">
        <v>370</v>
      </c>
      <c r="D1369">
        <v>2018</v>
      </c>
      <c r="E1369">
        <v>249</v>
      </c>
      <c r="F1369" t="s">
        <v>600</v>
      </c>
      <c r="G1369" t="s">
        <v>829</v>
      </c>
      <c r="H1369" t="s">
        <v>832</v>
      </c>
      <c r="K1369" t="s">
        <v>378</v>
      </c>
      <c r="L1369" t="s">
        <v>574</v>
      </c>
      <c r="M1369" t="s">
        <v>348</v>
      </c>
      <c r="N1369" t="s">
        <v>538</v>
      </c>
      <c r="O1369" t="s">
        <v>887</v>
      </c>
      <c r="P1369" t="s">
        <v>888</v>
      </c>
      <c r="Q1369" s="2" t="s">
        <v>230</v>
      </c>
      <c r="R1369">
        <v>75</v>
      </c>
      <c r="S1369" s="3">
        <f>1/0.82</f>
        <v>1.2195121951219512</v>
      </c>
      <c r="T1369" s="3">
        <v>3.4</v>
      </c>
      <c r="U1369" s="3">
        <v>-20.97</v>
      </c>
    </row>
    <row r="1370" spans="1:21" x14ac:dyDescent="0.35">
      <c r="A1370" t="s">
        <v>1048</v>
      </c>
      <c r="B1370" t="s">
        <v>398</v>
      </c>
      <c r="C1370" t="s">
        <v>370</v>
      </c>
      <c r="D1370">
        <v>2016</v>
      </c>
      <c r="E1370">
        <v>250</v>
      </c>
      <c r="F1370" t="s">
        <v>600</v>
      </c>
      <c r="G1370" t="s">
        <v>829</v>
      </c>
      <c r="H1370" t="s">
        <v>832</v>
      </c>
      <c r="K1370" t="s">
        <v>378</v>
      </c>
      <c r="L1370" t="s">
        <v>574</v>
      </c>
      <c r="M1370" t="s">
        <v>348</v>
      </c>
      <c r="N1370" t="s">
        <v>538</v>
      </c>
      <c r="O1370" t="s">
        <v>887</v>
      </c>
      <c r="P1370" t="s">
        <v>888</v>
      </c>
      <c r="Q1370" s="2" t="s">
        <v>230</v>
      </c>
      <c r="R1370">
        <v>0</v>
      </c>
      <c r="S1370" s="3">
        <v>1.06</v>
      </c>
      <c r="T1370" s="3">
        <v>0</v>
      </c>
      <c r="U1370" s="3">
        <v>0</v>
      </c>
    </row>
    <row r="1371" spans="1:21" x14ac:dyDescent="0.35">
      <c r="A1371" t="s">
        <v>1048</v>
      </c>
      <c r="B1371" t="s">
        <v>398</v>
      </c>
      <c r="C1371" t="s">
        <v>370</v>
      </c>
      <c r="D1371">
        <v>2016</v>
      </c>
      <c r="E1371">
        <v>250</v>
      </c>
      <c r="F1371" t="s">
        <v>600</v>
      </c>
      <c r="G1371" t="s">
        <v>829</v>
      </c>
      <c r="H1371" t="s">
        <v>832</v>
      </c>
      <c r="K1371" t="s">
        <v>378</v>
      </c>
      <c r="L1371" t="s">
        <v>574</v>
      </c>
      <c r="M1371" t="s">
        <v>348</v>
      </c>
      <c r="N1371" t="s">
        <v>538</v>
      </c>
      <c r="O1371" t="s">
        <v>887</v>
      </c>
      <c r="P1371" t="s">
        <v>888</v>
      </c>
      <c r="Q1371" s="2" t="s">
        <v>230</v>
      </c>
      <c r="R1371">
        <v>20</v>
      </c>
      <c r="S1371" s="3">
        <v>1.1100000000000001</v>
      </c>
      <c r="T1371" s="3">
        <v>0</v>
      </c>
      <c r="U1371" s="3">
        <v>-4.2</v>
      </c>
    </row>
    <row r="1372" spans="1:21" x14ac:dyDescent="0.35">
      <c r="A1372" t="s">
        <v>1048</v>
      </c>
      <c r="B1372" t="s">
        <v>398</v>
      </c>
      <c r="C1372" t="s">
        <v>370</v>
      </c>
      <c r="D1372">
        <v>2016</v>
      </c>
      <c r="E1372">
        <v>250</v>
      </c>
      <c r="F1372" t="s">
        <v>600</v>
      </c>
      <c r="G1372" t="s">
        <v>829</v>
      </c>
      <c r="H1372" t="s">
        <v>832</v>
      </c>
      <c r="K1372" t="s">
        <v>378</v>
      </c>
      <c r="L1372" t="s">
        <v>574</v>
      </c>
      <c r="M1372" t="s">
        <v>348</v>
      </c>
      <c r="N1372" t="s">
        <v>538</v>
      </c>
      <c r="O1372" t="s">
        <v>887</v>
      </c>
      <c r="P1372" t="s">
        <v>888</v>
      </c>
      <c r="Q1372" s="2" t="s">
        <v>230</v>
      </c>
      <c r="R1372">
        <v>40</v>
      </c>
      <c r="S1372" s="3">
        <v>1.1499999999999999</v>
      </c>
      <c r="T1372" s="3">
        <v>0.1</v>
      </c>
      <c r="U1372" s="3">
        <v>-8.6</v>
      </c>
    </row>
    <row r="1373" spans="1:21" x14ac:dyDescent="0.35">
      <c r="A1373" t="s">
        <v>1048</v>
      </c>
      <c r="B1373" t="s">
        <v>398</v>
      </c>
      <c r="C1373" t="s">
        <v>370</v>
      </c>
      <c r="D1373">
        <v>2016</v>
      </c>
      <c r="E1373">
        <v>250</v>
      </c>
      <c r="F1373" t="s">
        <v>600</v>
      </c>
      <c r="G1373" t="s">
        <v>829</v>
      </c>
      <c r="H1373" t="s">
        <v>832</v>
      </c>
      <c r="K1373" t="s">
        <v>378</v>
      </c>
      <c r="L1373" t="s">
        <v>574</v>
      </c>
      <c r="M1373" t="s">
        <v>348</v>
      </c>
      <c r="N1373" t="s">
        <v>538</v>
      </c>
      <c r="O1373" t="s">
        <v>887</v>
      </c>
      <c r="P1373" t="s">
        <v>888</v>
      </c>
      <c r="Q1373" s="2" t="s">
        <v>230</v>
      </c>
      <c r="R1373">
        <v>60</v>
      </c>
      <c r="S1373" s="3">
        <v>1.22</v>
      </c>
      <c r="T1373" s="3">
        <v>0.1</v>
      </c>
      <c r="U1373" s="3">
        <v>-12.6</v>
      </c>
    </row>
    <row r="1374" spans="1:21" x14ac:dyDescent="0.35">
      <c r="A1374" t="s">
        <v>1048</v>
      </c>
      <c r="B1374" t="s">
        <v>398</v>
      </c>
      <c r="C1374" t="s">
        <v>370</v>
      </c>
      <c r="D1374">
        <v>2016</v>
      </c>
      <c r="E1374">
        <v>250</v>
      </c>
      <c r="F1374" t="s">
        <v>600</v>
      </c>
      <c r="G1374" t="s">
        <v>829</v>
      </c>
      <c r="H1374" t="s">
        <v>832</v>
      </c>
      <c r="K1374" t="s">
        <v>378</v>
      </c>
      <c r="L1374" t="s">
        <v>574</v>
      </c>
      <c r="M1374" t="s">
        <v>348</v>
      </c>
      <c r="N1374" t="s">
        <v>538</v>
      </c>
      <c r="O1374" t="s">
        <v>887</v>
      </c>
      <c r="P1374" t="s">
        <v>888</v>
      </c>
      <c r="Q1374" s="2" t="s">
        <v>230</v>
      </c>
      <c r="R1374">
        <v>80</v>
      </c>
      <c r="S1374" s="3">
        <v>1.44</v>
      </c>
      <c r="T1374" s="3">
        <v>0.1</v>
      </c>
      <c r="U1374" s="3">
        <v>-15.7</v>
      </c>
    </row>
    <row r="1375" spans="1:21" x14ac:dyDescent="0.35">
      <c r="A1375" t="s">
        <v>1048</v>
      </c>
      <c r="B1375" t="s">
        <v>398</v>
      </c>
      <c r="C1375" t="s">
        <v>370</v>
      </c>
      <c r="D1375">
        <v>2016</v>
      </c>
      <c r="E1375">
        <v>250</v>
      </c>
      <c r="F1375" t="s">
        <v>600</v>
      </c>
      <c r="G1375" t="s">
        <v>829</v>
      </c>
      <c r="H1375" t="s">
        <v>832</v>
      </c>
      <c r="K1375" t="s">
        <v>378</v>
      </c>
      <c r="L1375" t="s">
        <v>574</v>
      </c>
      <c r="M1375" t="s">
        <v>348</v>
      </c>
      <c r="N1375" t="s">
        <v>538</v>
      </c>
      <c r="O1375" t="s">
        <v>887</v>
      </c>
      <c r="P1375" t="s">
        <v>888</v>
      </c>
      <c r="Q1375" s="2" t="s">
        <v>230</v>
      </c>
      <c r="R1375">
        <v>60</v>
      </c>
      <c r="S1375" s="3">
        <v>1.2</v>
      </c>
      <c r="T1375" s="3">
        <v>0.1</v>
      </c>
      <c r="U1375" s="3">
        <v>-12.9</v>
      </c>
    </row>
    <row r="1376" spans="1:21" x14ac:dyDescent="0.35">
      <c r="A1376" t="s">
        <v>1048</v>
      </c>
      <c r="B1376" t="s">
        <v>398</v>
      </c>
      <c r="C1376" t="s">
        <v>370</v>
      </c>
      <c r="D1376">
        <v>2016</v>
      </c>
      <c r="E1376">
        <v>250</v>
      </c>
      <c r="F1376" t="s">
        <v>600</v>
      </c>
      <c r="G1376" t="s">
        <v>829</v>
      </c>
      <c r="H1376" t="s">
        <v>832</v>
      </c>
      <c r="K1376" t="s">
        <v>378</v>
      </c>
      <c r="L1376" t="s">
        <v>574</v>
      </c>
      <c r="M1376" t="s">
        <v>348</v>
      </c>
      <c r="N1376" t="s">
        <v>538</v>
      </c>
      <c r="O1376" t="s">
        <v>887</v>
      </c>
      <c r="P1376" t="s">
        <v>888</v>
      </c>
      <c r="Q1376" s="2" t="s">
        <v>230</v>
      </c>
      <c r="R1376">
        <v>80</v>
      </c>
      <c r="S1376" s="3">
        <v>1.39</v>
      </c>
      <c r="T1376" s="3">
        <v>0.1</v>
      </c>
      <c r="U1376" s="3">
        <v>-16.100000000000001</v>
      </c>
    </row>
    <row r="1377" spans="1:24" x14ac:dyDescent="0.35">
      <c r="A1377" t="s">
        <v>1049</v>
      </c>
      <c r="B1377" t="s">
        <v>468</v>
      </c>
      <c r="C1377" t="s">
        <v>370</v>
      </c>
      <c r="D1377">
        <v>2010</v>
      </c>
      <c r="E1377">
        <v>251</v>
      </c>
      <c r="F1377" t="s">
        <v>600</v>
      </c>
      <c r="G1377" t="s">
        <v>829</v>
      </c>
      <c r="H1377" t="s">
        <v>851</v>
      </c>
      <c r="K1377" t="s">
        <v>378</v>
      </c>
      <c r="L1377" t="s">
        <v>574</v>
      </c>
      <c r="M1377" t="s">
        <v>348</v>
      </c>
      <c r="N1377" t="s">
        <v>538</v>
      </c>
      <c r="O1377" t="s">
        <v>887</v>
      </c>
      <c r="P1377" t="s">
        <v>888</v>
      </c>
      <c r="Q1377" s="2" t="s">
        <v>230</v>
      </c>
      <c r="R1377">
        <v>0</v>
      </c>
      <c r="S1377" s="3">
        <v>0.95</v>
      </c>
      <c r="T1377" s="3">
        <v>0</v>
      </c>
      <c r="U1377" s="3">
        <v>0</v>
      </c>
    </row>
    <row r="1378" spans="1:24" x14ac:dyDescent="0.35">
      <c r="A1378" t="s">
        <v>1049</v>
      </c>
      <c r="B1378" t="s">
        <v>468</v>
      </c>
      <c r="C1378" t="s">
        <v>370</v>
      </c>
      <c r="D1378">
        <v>2010</v>
      </c>
      <c r="E1378">
        <v>251</v>
      </c>
      <c r="F1378" t="s">
        <v>600</v>
      </c>
      <c r="G1378" t="s">
        <v>829</v>
      </c>
      <c r="H1378" t="s">
        <v>851</v>
      </c>
      <c r="K1378" t="s">
        <v>378</v>
      </c>
      <c r="L1378" t="s">
        <v>574</v>
      </c>
      <c r="M1378" t="s">
        <v>348</v>
      </c>
      <c r="N1378" t="s">
        <v>538</v>
      </c>
      <c r="O1378" t="s">
        <v>887</v>
      </c>
      <c r="P1378" t="s">
        <v>888</v>
      </c>
      <c r="Q1378" s="2" t="s">
        <v>230</v>
      </c>
      <c r="R1378">
        <v>100</v>
      </c>
      <c r="S1378" s="3">
        <v>1.01</v>
      </c>
      <c r="T1378" s="3">
        <v>0.4</v>
      </c>
      <c r="U1378" s="3">
        <v>1</v>
      </c>
    </row>
    <row r="1379" spans="1:24" x14ac:dyDescent="0.35">
      <c r="A1379" t="s">
        <v>1049</v>
      </c>
      <c r="B1379" t="s">
        <v>468</v>
      </c>
      <c r="C1379" t="s">
        <v>370</v>
      </c>
      <c r="D1379">
        <v>2010</v>
      </c>
      <c r="E1379">
        <v>251</v>
      </c>
      <c r="F1379" t="s">
        <v>600</v>
      </c>
      <c r="G1379" t="s">
        <v>829</v>
      </c>
      <c r="H1379" t="s">
        <v>851</v>
      </c>
      <c r="K1379" t="s">
        <v>378</v>
      </c>
      <c r="L1379" t="s">
        <v>574</v>
      </c>
      <c r="M1379" t="s">
        <v>348</v>
      </c>
      <c r="N1379" t="s">
        <v>538</v>
      </c>
      <c r="O1379" t="s">
        <v>887</v>
      </c>
      <c r="P1379" t="s">
        <v>888</v>
      </c>
      <c r="Q1379" s="2" t="s">
        <v>230</v>
      </c>
      <c r="R1379">
        <v>100</v>
      </c>
      <c r="S1379" s="3">
        <v>0.97</v>
      </c>
      <c r="T1379" s="3">
        <v>0.4</v>
      </c>
      <c r="U1379" s="3">
        <v>1</v>
      </c>
    </row>
    <row r="1380" spans="1:24" x14ac:dyDescent="0.35">
      <c r="A1380" t="s">
        <v>1049</v>
      </c>
      <c r="B1380" t="s">
        <v>468</v>
      </c>
      <c r="C1380" t="s">
        <v>370</v>
      </c>
      <c r="D1380">
        <v>2010</v>
      </c>
      <c r="E1380">
        <v>251</v>
      </c>
      <c r="F1380" t="s">
        <v>600</v>
      </c>
      <c r="G1380" t="s">
        <v>829</v>
      </c>
      <c r="H1380" t="s">
        <v>851</v>
      </c>
      <c r="K1380" t="s">
        <v>394</v>
      </c>
      <c r="L1380" t="s">
        <v>574</v>
      </c>
      <c r="M1380" t="s">
        <v>348</v>
      </c>
      <c r="N1380" t="s">
        <v>538</v>
      </c>
      <c r="O1380" t="s">
        <v>887</v>
      </c>
      <c r="P1380" t="s">
        <v>888</v>
      </c>
      <c r="Q1380" s="2" t="s">
        <v>230</v>
      </c>
      <c r="R1380">
        <v>100</v>
      </c>
      <c r="S1380" s="3">
        <v>1.02</v>
      </c>
      <c r="T1380" s="3">
        <v>0.4</v>
      </c>
      <c r="U1380" s="3">
        <v>1</v>
      </c>
    </row>
    <row r="1381" spans="1:24" x14ac:dyDescent="0.35">
      <c r="A1381" t="s">
        <v>1050</v>
      </c>
      <c r="B1381" t="s">
        <v>774</v>
      </c>
      <c r="C1381" t="s">
        <v>370</v>
      </c>
      <c r="D1381">
        <v>2016</v>
      </c>
      <c r="E1381">
        <v>252</v>
      </c>
      <c r="F1381" t="s">
        <v>600</v>
      </c>
      <c r="G1381" t="s">
        <v>829</v>
      </c>
      <c r="H1381" t="s">
        <v>1051</v>
      </c>
      <c r="K1381" t="s">
        <v>378</v>
      </c>
      <c r="M1381" t="s">
        <v>348</v>
      </c>
      <c r="N1381" t="s">
        <v>31</v>
      </c>
      <c r="O1381" t="s">
        <v>611</v>
      </c>
      <c r="P1381" t="s">
        <v>612</v>
      </c>
      <c r="Q1381" s="2" t="s">
        <v>520</v>
      </c>
      <c r="R1381">
        <v>0</v>
      </c>
      <c r="S1381" s="3">
        <v>1.63</v>
      </c>
      <c r="T1381" s="3">
        <v>0</v>
      </c>
      <c r="U1381" s="3">
        <v>0</v>
      </c>
    </row>
    <row r="1382" spans="1:24" x14ac:dyDescent="0.35">
      <c r="A1382" t="s">
        <v>1050</v>
      </c>
      <c r="B1382" t="s">
        <v>774</v>
      </c>
      <c r="C1382" t="s">
        <v>370</v>
      </c>
      <c r="D1382">
        <v>2016</v>
      </c>
      <c r="E1382">
        <v>252</v>
      </c>
      <c r="F1382" t="s">
        <v>600</v>
      </c>
      <c r="G1382" t="s">
        <v>829</v>
      </c>
      <c r="H1382" t="s">
        <v>1051</v>
      </c>
      <c r="K1382" t="s">
        <v>378</v>
      </c>
      <c r="M1382" t="s">
        <v>348</v>
      </c>
      <c r="N1382" t="s">
        <v>31</v>
      </c>
      <c r="O1382" t="s">
        <v>611</v>
      </c>
      <c r="P1382" t="s">
        <v>612</v>
      </c>
      <c r="Q1382" s="2" t="s">
        <v>520</v>
      </c>
      <c r="R1382">
        <v>20</v>
      </c>
      <c r="S1382" s="3">
        <v>1.56</v>
      </c>
      <c r="T1382" s="3">
        <v>0</v>
      </c>
      <c r="U1382" s="3">
        <v>-0.6</v>
      </c>
    </row>
    <row r="1383" spans="1:24" x14ac:dyDescent="0.35">
      <c r="A1383" t="s">
        <v>1050</v>
      </c>
      <c r="B1383" t="s">
        <v>774</v>
      </c>
      <c r="C1383" t="s">
        <v>370</v>
      </c>
      <c r="D1383">
        <v>2016</v>
      </c>
      <c r="E1383">
        <v>252</v>
      </c>
      <c r="F1383" t="s">
        <v>600</v>
      </c>
      <c r="G1383" t="s">
        <v>829</v>
      </c>
      <c r="H1383" t="s">
        <v>1051</v>
      </c>
      <c r="K1383" t="s">
        <v>378</v>
      </c>
      <c r="M1383" t="s">
        <v>348</v>
      </c>
      <c r="N1383" t="s">
        <v>31</v>
      </c>
      <c r="O1383" t="s">
        <v>611</v>
      </c>
      <c r="P1383" t="s">
        <v>612</v>
      </c>
      <c r="Q1383" s="2" t="s">
        <v>520</v>
      </c>
      <c r="R1383">
        <v>35</v>
      </c>
      <c r="S1383" s="3">
        <v>1.56</v>
      </c>
      <c r="T1383" s="3">
        <v>0</v>
      </c>
      <c r="U1383" s="3">
        <v>-1.1000000000000001</v>
      </c>
    </row>
    <row r="1384" spans="1:24" x14ac:dyDescent="0.35">
      <c r="A1384" t="s">
        <v>1050</v>
      </c>
      <c r="B1384" t="s">
        <v>774</v>
      </c>
      <c r="C1384" t="s">
        <v>370</v>
      </c>
      <c r="D1384">
        <v>2016</v>
      </c>
      <c r="E1384">
        <v>252</v>
      </c>
      <c r="F1384" t="s">
        <v>600</v>
      </c>
      <c r="G1384" t="s">
        <v>829</v>
      </c>
      <c r="H1384" t="s">
        <v>1051</v>
      </c>
      <c r="K1384" t="s">
        <v>378</v>
      </c>
      <c r="M1384" t="s">
        <v>348</v>
      </c>
      <c r="N1384" t="s">
        <v>31</v>
      </c>
      <c r="O1384" t="s">
        <v>611</v>
      </c>
      <c r="P1384" t="s">
        <v>612</v>
      </c>
      <c r="Q1384" s="2" t="s">
        <v>520</v>
      </c>
      <c r="R1384">
        <v>50</v>
      </c>
      <c r="S1384" s="3">
        <v>1.4</v>
      </c>
      <c r="T1384" s="3">
        <v>0</v>
      </c>
      <c r="U1384" s="3">
        <v>-1.5</v>
      </c>
    </row>
    <row r="1385" spans="1:24" x14ac:dyDescent="0.35">
      <c r="A1385" t="s">
        <v>1054</v>
      </c>
      <c r="B1385" t="s">
        <v>473</v>
      </c>
      <c r="C1385" t="s">
        <v>370</v>
      </c>
      <c r="D1385">
        <v>2011</v>
      </c>
      <c r="E1385">
        <v>253</v>
      </c>
      <c r="F1385" t="s">
        <v>600</v>
      </c>
      <c r="G1385" t="s">
        <v>829</v>
      </c>
      <c r="H1385" t="s">
        <v>868</v>
      </c>
      <c r="K1385" t="s">
        <v>394</v>
      </c>
      <c r="M1385" t="s">
        <v>348</v>
      </c>
      <c r="N1385" t="s">
        <v>538</v>
      </c>
      <c r="O1385" t="s">
        <v>1053</v>
      </c>
      <c r="P1385" t="s">
        <v>1052</v>
      </c>
      <c r="Q1385" s="2" t="s">
        <v>230</v>
      </c>
      <c r="R1385">
        <v>0</v>
      </c>
      <c r="S1385" s="3">
        <v>1.23</v>
      </c>
      <c r="T1385" s="3">
        <v>0</v>
      </c>
      <c r="U1385" s="3">
        <v>0</v>
      </c>
    </row>
    <row r="1386" spans="1:24" x14ac:dyDescent="0.35">
      <c r="A1386" t="s">
        <v>1054</v>
      </c>
      <c r="B1386" t="s">
        <v>473</v>
      </c>
      <c r="C1386" t="s">
        <v>370</v>
      </c>
      <c r="D1386">
        <v>2011</v>
      </c>
      <c r="E1386">
        <v>253</v>
      </c>
      <c r="F1386" t="s">
        <v>600</v>
      </c>
      <c r="G1386" t="s">
        <v>829</v>
      </c>
      <c r="H1386" t="s">
        <v>868</v>
      </c>
      <c r="K1386" t="s">
        <v>394</v>
      </c>
      <c r="M1386" t="s">
        <v>348</v>
      </c>
      <c r="N1386" t="s">
        <v>538</v>
      </c>
      <c r="O1386" t="s">
        <v>1053</v>
      </c>
      <c r="P1386" t="s">
        <v>1052</v>
      </c>
      <c r="Q1386" s="2" t="s">
        <v>230</v>
      </c>
      <c r="R1386">
        <v>10</v>
      </c>
      <c r="S1386" s="3">
        <v>1.22</v>
      </c>
      <c r="T1386" s="3">
        <v>0</v>
      </c>
      <c r="U1386" s="3">
        <v>0</v>
      </c>
    </row>
    <row r="1387" spans="1:24" x14ac:dyDescent="0.35">
      <c r="A1387" t="s">
        <v>1054</v>
      </c>
      <c r="B1387" t="s">
        <v>473</v>
      </c>
      <c r="C1387" t="s">
        <v>370</v>
      </c>
      <c r="D1387">
        <v>2011</v>
      </c>
      <c r="E1387">
        <v>253</v>
      </c>
      <c r="F1387" t="s">
        <v>600</v>
      </c>
      <c r="G1387" t="s">
        <v>829</v>
      </c>
      <c r="H1387" t="s">
        <v>868</v>
      </c>
      <c r="K1387" t="s">
        <v>394</v>
      </c>
      <c r="M1387" t="s">
        <v>348</v>
      </c>
      <c r="N1387" t="s">
        <v>538</v>
      </c>
      <c r="O1387" t="s">
        <v>1053</v>
      </c>
      <c r="P1387" t="s">
        <v>1052</v>
      </c>
      <c r="Q1387" s="2" t="s">
        <v>230</v>
      </c>
      <c r="R1387">
        <v>30</v>
      </c>
      <c r="S1387" s="3">
        <v>1.26</v>
      </c>
      <c r="T1387" s="3">
        <v>0</v>
      </c>
      <c r="U1387" s="3">
        <v>0.2</v>
      </c>
    </row>
    <row r="1388" spans="1:24" x14ac:dyDescent="0.35">
      <c r="A1388" t="s">
        <v>1054</v>
      </c>
      <c r="B1388" t="s">
        <v>473</v>
      </c>
      <c r="C1388" t="s">
        <v>370</v>
      </c>
      <c r="D1388">
        <v>2011</v>
      </c>
      <c r="E1388">
        <v>253</v>
      </c>
      <c r="F1388" t="s">
        <v>600</v>
      </c>
      <c r="G1388" t="s">
        <v>829</v>
      </c>
      <c r="H1388" t="s">
        <v>868</v>
      </c>
      <c r="K1388" t="s">
        <v>394</v>
      </c>
      <c r="M1388" t="s">
        <v>348</v>
      </c>
      <c r="N1388" t="s">
        <v>538</v>
      </c>
      <c r="O1388" t="s">
        <v>1053</v>
      </c>
      <c r="P1388" t="s">
        <v>1052</v>
      </c>
      <c r="Q1388" s="2" t="s">
        <v>230</v>
      </c>
      <c r="R1388">
        <v>30</v>
      </c>
      <c r="S1388" s="3">
        <v>1.3</v>
      </c>
      <c r="T1388" s="3">
        <v>0</v>
      </c>
      <c r="U1388" s="3">
        <v>0.4</v>
      </c>
    </row>
    <row r="1389" spans="1:24" x14ac:dyDescent="0.35">
      <c r="A1389" t="s">
        <v>1054</v>
      </c>
      <c r="B1389" t="s">
        <v>473</v>
      </c>
      <c r="C1389" t="s">
        <v>370</v>
      </c>
      <c r="D1389">
        <v>2011</v>
      </c>
      <c r="E1389">
        <v>253</v>
      </c>
      <c r="F1389" t="s">
        <v>600</v>
      </c>
      <c r="G1389" t="s">
        <v>829</v>
      </c>
      <c r="H1389" t="s">
        <v>868</v>
      </c>
      <c r="K1389" t="s">
        <v>394</v>
      </c>
      <c r="M1389" t="s">
        <v>348</v>
      </c>
      <c r="N1389" t="s">
        <v>538</v>
      </c>
      <c r="O1389" t="s">
        <v>1053</v>
      </c>
      <c r="P1389" t="s">
        <v>1052</v>
      </c>
      <c r="Q1389" s="2" t="s">
        <v>230</v>
      </c>
      <c r="R1389">
        <v>40</v>
      </c>
      <c r="S1389" s="3">
        <v>1.32</v>
      </c>
      <c r="T1389" s="3">
        <v>0</v>
      </c>
      <c r="U1389" s="3">
        <v>0.6</v>
      </c>
    </row>
    <row r="1390" spans="1:24" x14ac:dyDescent="0.35">
      <c r="A1390" t="s">
        <v>1054</v>
      </c>
      <c r="B1390" t="s">
        <v>473</v>
      </c>
      <c r="C1390" t="s">
        <v>370</v>
      </c>
      <c r="D1390">
        <v>2011</v>
      </c>
      <c r="E1390">
        <v>253</v>
      </c>
      <c r="F1390" t="s">
        <v>600</v>
      </c>
      <c r="G1390" t="s">
        <v>829</v>
      </c>
      <c r="H1390" t="s">
        <v>868</v>
      </c>
      <c r="K1390" t="s">
        <v>394</v>
      </c>
      <c r="M1390" t="s">
        <v>348</v>
      </c>
      <c r="N1390" t="s">
        <v>538</v>
      </c>
      <c r="O1390" t="s">
        <v>1053</v>
      </c>
      <c r="P1390" t="s">
        <v>1052</v>
      </c>
      <c r="Q1390" s="2" t="s">
        <v>230</v>
      </c>
      <c r="R1390">
        <v>50</v>
      </c>
      <c r="S1390" s="3">
        <v>1.39</v>
      </c>
      <c r="T1390" s="3">
        <v>0</v>
      </c>
      <c r="U1390" s="3">
        <v>0.6</v>
      </c>
    </row>
    <row r="1391" spans="1:24" x14ac:dyDescent="0.35">
      <c r="A1391" t="s">
        <v>1055</v>
      </c>
      <c r="B1391" t="s">
        <v>522</v>
      </c>
      <c r="C1391" t="s">
        <v>385</v>
      </c>
      <c r="D1391">
        <v>2016</v>
      </c>
      <c r="E1391">
        <v>254</v>
      </c>
      <c r="F1391" t="s">
        <v>600</v>
      </c>
      <c r="G1391" t="s">
        <v>163</v>
      </c>
      <c r="H1391" t="s">
        <v>165</v>
      </c>
      <c r="I1391" t="s">
        <v>829</v>
      </c>
      <c r="J1391" t="s">
        <v>1056</v>
      </c>
      <c r="K1391" t="s">
        <v>394</v>
      </c>
      <c r="M1391" t="s">
        <v>970</v>
      </c>
      <c r="N1391" t="s">
        <v>538</v>
      </c>
      <c r="O1391" t="s">
        <v>168</v>
      </c>
      <c r="P1391" t="s">
        <v>169</v>
      </c>
      <c r="Q1391" s="2" t="s">
        <v>230</v>
      </c>
      <c r="R1391">
        <v>0</v>
      </c>
      <c r="S1391" s="3">
        <v>0.93</v>
      </c>
      <c r="T1391" s="3">
        <v>0</v>
      </c>
      <c r="U1391" s="3">
        <v>0</v>
      </c>
      <c r="V1391" s="3">
        <v>3.2</v>
      </c>
      <c r="X1391" t="s">
        <v>1057</v>
      </c>
    </row>
    <row r="1392" spans="1:24" x14ac:dyDescent="0.35">
      <c r="A1392" t="s">
        <v>1055</v>
      </c>
      <c r="B1392" t="s">
        <v>522</v>
      </c>
      <c r="C1392" t="s">
        <v>385</v>
      </c>
      <c r="D1392">
        <v>2016</v>
      </c>
      <c r="E1392">
        <v>254</v>
      </c>
      <c r="F1392" t="s">
        <v>600</v>
      </c>
      <c r="G1392" t="s">
        <v>163</v>
      </c>
      <c r="H1392" t="s">
        <v>165</v>
      </c>
      <c r="I1392" t="s">
        <v>829</v>
      </c>
      <c r="J1392" t="s">
        <v>1056</v>
      </c>
      <c r="K1392" t="s">
        <v>394</v>
      </c>
      <c r="M1392" t="s">
        <v>970</v>
      </c>
      <c r="N1392" t="s">
        <v>538</v>
      </c>
      <c r="O1392" t="s">
        <v>168</v>
      </c>
      <c r="P1392" t="s">
        <v>169</v>
      </c>
      <c r="Q1392" s="2" t="s">
        <v>230</v>
      </c>
      <c r="R1392">
        <v>20</v>
      </c>
      <c r="S1392" s="3">
        <v>0.93</v>
      </c>
      <c r="T1392" s="3">
        <v>-1.3</v>
      </c>
      <c r="U1392" s="3">
        <v>-3</v>
      </c>
      <c r="V1392" s="3">
        <v>5.9</v>
      </c>
      <c r="X1392" t="s">
        <v>1057</v>
      </c>
    </row>
    <row r="1393" spans="1:24" x14ac:dyDescent="0.35">
      <c r="A1393" t="s">
        <v>1055</v>
      </c>
      <c r="B1393" t="s">
        <v>522</v>
      </c>
      <c r="C1393" t="s">
        <v>385</v>
      </c>
      <c r="D1393">
        <v>2016</v>
      </c>
      <c r="E1393">
        <v>254</v>
      </c>
      <c r="F1393" t="s">
        <v>600</v>
      </c>
      <c r="G1393" t="s">
        <v>163</v>
      </c>
      <c r="H1393" t="s">
        <v>165</v>
      </c>
      <c r="I1393" t="s">
        <v>829</v>
      </c>
      <c r="J1393" t="s">
        <v>1056</v>
      </c>
      <c r="K1393" t="s">
        <v>394</v>
      </c>
      <c r="M1393" t="s">
        <v>970</v>
      </c>
      <c r="N1393" t="s">
        <v>538</v>
      </c>
      <c r="O1393" t="s">
        <v>168</v>
      </c>
      <c r="P1393" t="s">
        <v>169</v>
      </c>
      <c r="Q1393" s="2" t="s">
        <v>230</v>
      </c>
      <c r="R1393">
        <v>40</v>
      </c>
      <c r="S1393" s="3">
        <v>0.95</v>
      </c>
      <c r="T1393" s="3">
        <v>-3</v>
      </c>
      <c r="U1393" s="3">
        <v>-3</v>
      </c>
      <c r="V1393" s="3">
        <v>5.9</v>
      </c>
      <c r="X1393" t="s">
        <v>1057</v>
      </c>
    </row>
    <row r="1394" spans="1:24" x14ac:dyDescent="0.35">
      <c r="A1394" t="s">
        <v>1055</v>
      </c>
      <c r="B1394" t="s">
        <v>522</v>
      </c>
      <c r="C1394" t="s">
        <v>385</v>
      </c>
      <c r="D1394">
        <v>2016</v>
      </c>
      <c r="E1394">
        <v>254</v>
      </c>
      <c r="F1394" t="s">
        <v>600</v>
      </c>
      <c r="G1394" t="s">
        <v>163</v>
      </c>
      <c r="H1394" t="s">
        <v>165</v>
      </c>
      <c r="I1394" t="s">
        <v>829</v>
      </c>
      <c r="J1394" t="s">
        <v>1056</v>
      </c>
      <c r="K1394" t="s">
        <v>394</v>
      </c>
      <c r="M1394" t="s">
        <v>970</v>
      </c>
      <c r="N1394" t="s">
        <v>538</v>
      </c>
      <c r="O1394" t="s">
        <v>168</v>
      </c>
      <c r="P1394" t="s">
        <v>169</v>
      </c>
      <c r="Q1394" s="2" t="s">
        <v>230</v>
      </c>
      <c r="R1394">
        <v>80</v>
      </c>
      <c r="S1394" s="3">
        <v>1.29</v>
      </c>
      <c r="T1394" s="3">
        <v>-3</v>
      </c>
      <c r="U1394" s="3">
        <v>-3</v>
      </c>
      <c r="V1394" s="3">
        <v>5.5</v>
      </c>
      <c r="X1394" t="s">
        <v>1057</v>
      </c>
    </row>
    <row r="1395" spans="1:24" x14ac:dyDescent="0.35">
      <c r="A1395" t="s">
        <v>1058</v>
      </c>
      <c r="B1395" t="s">
        <v>371</v>
      </c>
      <c r="C1395" t="s">
        <v>517</v>
      </c>
      <c r="D1395">
        <v>2016</v>
      </c>
      <c r="E1395">
        <v>255</v>
      </c>
      <c r="F1395" t="s">
        <v>600</v>
      </c>
      <c r="G1395" t="s">
        <v>163</v>
      </c>
      <c r="H1395" t="s">
        <v>1059</v>
      </c>
      <c r="K1395" t="s">
        <v>378</v>
      </c>
      <c r="L1395" t="s">
        <v>377</v>
      </c>
      <c r="M1395" t="s">
        <v>359</v>
      </c>
      <c r="N1395" t="s">
        <v>538</v>
      </c>
      <c r="O1395" t="s">
        <v>373</v>
      </c>
      <c r="P1395" s="2" t="s">
        <v>374</v>
      </c>
      <c r="Q1395" s="2" t="s">
        <v>230</v>
      </c>
      <c r="R1395">
        <v>0</v>
      </c>
      <c r="S1395" s="3">
        <v>1.2</v>
      </c>
      <c r="T1395" s="3">
        <v>0</v>
      </c>
      <c r="U1395" s="3">
        <v>0</v>
      </c>
      <c r="V1395" s="3">
        <v>1.07</v>
      </c>
    </row>
    <row r="1396" spans="1:24" x14ac:dyDescent="0.35">
      <c r="A1396" t="s">
        <v>1058</v>
      </c>
      <c r="B1396" t="s">
        <v>371</v>
      </c>
      <c r="C1396" t="s">
        <v>517</v>
      </c>
      <c r="D1396">
        <v>2016</v>
      </c>
      <c r="E1396">
        <v>255</v>
      </c>
      <c r="F1396" t="s">
        <v>600</v>
      </c>
      <c r="G1396" t="s">
        <v>163</v>
      </c>
      <c r="H1396" t="s">
        <v>1059</v>
      </c>
      <c r="K1396" t="s">
        <v>378</v>
      </c>
      <c r="L1396" t="s">
        <v>377</v>
      </c>
      <c r="M1396" t="s">
        <v>359</v>
      </c>
      <c r="N1396" t="s">
        <v>538</v>
      </c>
      <c r="O1396" t="s">
        <v>373</v>
      </c>
      <c r="P1396" s="2" t="s">
        <v>374</v>
      </c>
      <c r="Q1396" s="2" t="s">
        <v>230</v>
      </c>
      <c r="R1396">
        <v>80</v>
      </c>
      <c r="S1396" s="3">
        <v>1.18</v>
      </c>
      <c r="T1396" s="3">
        <v>0</v>
      </c>
      <c r="U1396" s="3">
        <v>-7.1</v>
      </c>
      <c r="V1396" s="3">
        <v>0.78</v>
      </c>
    </row>
    <row r="1397" spans="1:24" x14ac:dyDescent="0.35">
      <c r="A1397" t="s">
        <v>1058</v>
      </c>
      <c r="B1397" t="s">
        <v>371</v>
      </c>
      <c r="C1397" t="s">
        <v>517</v>
      </c>
      <c r="D1397">
        <v>2016</v>
      </c>
      <c r="E1397">
        <v>255</v>
      </c>
      <c r="F1397" t="s">
        <v>600</v>
      </c>
      <c r="G1397" t="s">
        <v>163</v>
      </c>
      <c r="H1397" t="s">
        <v>1059</v>
      </c>
      <c r="K1397" t="s">
        <v>378</v>
      </c>
      <c r="L1397" t="s">
        <v>377</v>
      </c>
      <c r="M1397" t="s">
        <v>359</v>
      </c>
      <c r="N1397" t="s">
        <v>538</v>
      </c>
      <c r="O1397" t="s">
        <v>373</v>
      </c>
      <c r="P1397" s="2" t="s">
        <v>374</v>
      </c>
      <c r="Q1397" s="2" t="s">
        <v>230</v>
      </c>
      <c r="R1397">
        <v>100</v>
      </c>
      <c r="S1397" s="3">
        <v>1.17</v>
      </c>
      <c r="T1397" s="3">
        <v>0</v>
      </c>
      <c r="U1397" s="3">
        <v>-14.2</v>
      </c>
      <c r="V1397" s="3">
        <v>0.83</v>
      </c>
    </row>
    <row r="1398" spans="1:24" x14ac:dyDescent="0.35">
      <c r="A1398" t="s">
        <v>1058</v>
      </c>
      <c r="B1398" t="s">
        <v>371</v>
      </c>
      <c r="C1398" t="s">
        <v>517</v>
      </c>
      <c r="D1398">
        <v>2016</v>
      </c>
      <c r="E1398">
        <v>255</v>
      </c>
      <c r="F1398" t="s">
        <v>600</v>
      </c>
      <c r="G1398" t="s">
        <v>163</v>
      </c>
      <c r="H1398" t="s">
        <v>382</v>
      </c>
      <c r="K1398" t="s">
        <v>378</v>
      </c>
      <c r="L1398" t="s">
        <v>377</v>
      </c>
      <c r="M1398" t="s">
        <v>359</v>
      </c>
      <c r="N1398" t="s">
        <v>538</v>
      </c>
      <c r="O1398" t="s">
        <v>373</v>
      </c>
      <c r="P1398" s="2" t="s">
        <v>374</v>
      </c>
      <c r="Q1398" s="2" t="s">
        <v>230</v>
      </c>
      <c r="R1398">
        <v>0</v>
      </c>
      <c r="S1398" s="3">
        <v>1.2</v>
      </c>
      <c r="T1398" s="3">
        <v>0</v>
      </c>
      <c r="U1398" s="3">
        <v>0</v>
      </c>
      <c r="V1398" s="3">
        <v>1.07</v>
      </c>
    </row>
    <row r="1399" spans="1:24" x14ac:dyDescent="0.35">
      <c r="A1399" t="s">
        <v>1058</v>
      </c>
      <c r="B1399" t="s">
        <v>371</v>
      </c>
      <c r="C1399" t="s">
        <v>517</v>
      </c>
      <c r="D1399">
        <v>2016</v>
      </c>
      <c r="E1399">
        <v>255</v>
      </c>
      <c r="F1399" t="s">
        <v>600</v>
      </c>
      <c r="G1399" t="s">
        <v>163</v>
      </c>
      <c r="H1399" t="s">
        <v>382</v>
      </c>
      <c r="K1399" t="s">
        <v>378</v>
      </c>
      <c r="L1399" t="s">
        <v>377</v>
      </c>
      <c r="M1399" t="s">
        <v>359</v>
      </c>
      <c r="N1399" t="s">
        <v>538</v>
      </c>
      <c r="O1399" t="s">
        <v>373</v>
      </c>
      <c r="P1399" s="2" t="s">
        <v>374</v>
      </c>
      <c r="Q1399" s="2" t="s">
        <v>230</v>
      </c>
      <c r="R1399">
        <v>80</v>
      </c>
      <c r="S1399" s="3">
        <v>1.22</v>
      </c>
      <c r="T1399" s="3">
        <v>0</v>
      </c>
      <c r="U1399" s="3">
        <v>-2.4</v>
      </c>
      <c r="V1399" s="3">
        <v>0.72</v>
      </c>
    </row>
    <row r="1400" spans="1:24" x14ac:dyDescent="0.35">
      <c r="A1400" t="s">
        <v>1058</v>
      </c>
      <c r="B1400" t="s">
        <v>371</v>
      </c>
      <c r="C1400" t="s">
        <v>517</v>
      </c>
      <c r="D1400">
        <v>2016</v>
      </c>
      <c r="E1400">
        <v>255</v>
      </c>
      <c r="F1400" t="s">
        <v>600</v>
      </c>
      <c r="G1400" t="s">
        <v>163</v>
      </c>
      <c r="H1400" t="s">
        <v>382</v>
      </c>
      <c r="K1400" t="s">
        <v>378</v>
      </c>
      <c r="L1400" t="s">
        <v>377</v>
      </c>
      <c r="M1400" t="s">
        <v>359</v>
      </c>
      <c r="N1400" t="s">
        <v>538</v>
      </c>
      <c r="O1400" t="s">
        <v>373</v>
      </c>
      <c r="P1400" s="2" t="s">
        <v>374</v>
      </c>
      <c r="Q1400" s="2" t="s">
        <v>230</v>
      </c>
      <c r="R1400">
        <v>100</v>
      </c>
      <c r="S1400" s="3">
        <v>1.17</v>
      </c>
      <c r="T1400" s="3">
        <v>0</v>
      </c>
      <c r="U1400" s="3">
        <v>-4.8</v>
      </c>
      <c r="V1400" s="3">
        <v>0.72</v>
      </c>
    </row>
    <row r="1401" spans="1:24" x14ac:dyDescent="0.35">
      <c r="A1401" t="s">
        <v>1060</v>
      </c>
      <c r="B1401" t="s">
        <v>1061</v>
      </c>
      <c r="C1401" t="s">
        <v>720</v>
      </c>
      <c r="D1401">
        <v>2017</v>
      </c>
      <c r="E1401">
        <v>256</v>
      </c>
      <c r="F1401" t="s">
        <v>863</v>
      </c>
      <c r="G1401" t="s">
        <v>163</v>
      </c>
      <c r="H1401" t="s">
        <v>606</v>
      </c>
      <c r="I1401" t="s">
        <v>829</v>
      </c>
      <c r="J1401" t="s">
        <v>1062</v>
      </c>
      <c r="K1401" t="s">
        <v>394</v>
      </c>
      <c r="M1401" t="s">
        <v>359</v>
      </c>
      <c r="N1401" t="s">
        <v>173</v>
      </c>
      <c r="O1401" t="s">
        <v>1063</v>
      </c>
      <c r="P1401" t="s">
        <v>489</v>
      </c>
      <c r="Q1401" s="2" t="s">
        <v>230</v>
      </c>
      <c r="R1401">
        <v>0</v>
      </c>
      <c r="S1401" s="3">
        <v>2.0499999999999998</v>
      </c>
      <c r="T1401" s="3">
        <v>0</v>
      </c>
      <c r="U1401" s="3">
        <v>0</v>
      </c>
      <c r="V1401" s="3">
        <v>1.03</v>
      </c>
    </row>
    <row r="1402" spans="1:24" x14ac:dyDescent="0.35">
      <c r="A1402" t="s">
        <v>1060</v>
      </c>
      <c r="B1402" t="s">
        <v>1061</v>
      </c>
      <c r="C1402" t="s">
        <v>720</v>
      </c>
      <c r="D1402">
        <v>2017</v>
      </c>
      <c r="E1402">
        <v>256</v>
      </c>
      <c r="F1402" t="s">
        <v>863</v>
      </c>
      <c r="G1402" t="s">
        <v>163</v>
      </c>
      <c r="H1402" t="s">
        <v>606</v>
      </c>
      <c r="I1402" t="s">
        <v>829</v>
      </c>
      <c r="J1402" t="s">
        <v>1062</v>
      </c>
      <c r="K1402" t="s">
        <v>394</v>
      </c>
      <c r="M1402" t="s">
        <v>359</v>
      </c>
      <c r="N1402" t="s">
        <v>173</v>
      </c>
      <c r="O1402" t="s">
        <v>1063</v>
      </c>
      <c r="P1402" t="s">
        <v>489</v>
      </c>
      <c r="Q1402" s="2" t="s">
        <v>230</v>
      </c>
      <c r="R1402">
        <v>100</v>
      </c>
      <c r="S1402" s="3">
        <v>1.88</v>
      </c>
      <c r="T1402" s="3">
        <v>0</v>
      </c>
      <c r="U1402" s="3">
        <v>0</v>
      </c>
      <c r="V1402" s="3">
        <v>0.43</v>
      </c>
    </row>
    <row r="1403" spans="1:24" x14ac:dyDescent="0.35">
      <c r="A1403" t="s">
        <v>1060</v>
      </c>
      <c r="B1403" t="s">
        <v>1061</v>
      </c>
      <c r="C1403" t="s">
        <v>720</v>
      </c>
      <c r="D1403">
        <v>2017</v>
      </c>
      <c r="E1403">
        <v>256</v>
      </c>
      <c r="F1403" t="s">
        <v>863</v>
      </c>
      <c r="G1403" t="s">
        <v>163</v>
      </c>
      <c r="H1403" t="s">
        <v>606</v>
      </c>
      <c r="I1403" t="s">
        <v>829</v>
      </c>
      <c r="J1403" t="s">
        <v>1062</v>
      </c>
      <c r="K1403" t="s">
        <v>394</v>
      </c>
      <c r="M1403" t="s">
        <v>359</v>
      </c>
      <c r="N1403" t="s">
        <v>173</v>
      </c>
      <c r="O1403" t="s">
        <v>1063</v>
      </c>
      <c r="P1403" t="s">
        <v>489</v>
      </c>
      <c r="Q1403" s="2" t="s">
        <v>230</v>
      </c>
      <c r="R1403">
        <v>100</v>
      </c>
      <c r="S1403" s="3">
        <v>1.87</v>
      </c>
      <c r="T1403" s="3">
        <v>0</v>
      </c>
      <c r="U1403" s="3">
        <v>0</v>
      </c>
      <c r="V1403" s="3">
        <v>0.63</v>
      </c>
    </row>
    <row r="1404" spans="1:24" x14ac:dyDescent="0.35">
      <c r="A1404" t="s">
        <v>1060</v>
      </c>
      <c r="B1404" t="s">
        <v>1061</v>
      </c>
      <c r="C1404" t="s">
        <v>720</v>
      </c>
      <c r="D1404">
        <v>2017</v>
      </c>
      <c r="E1404">
        <v>256</v>
      </c>
      <c r="F1404" t="s">
        <v>863</v>
      </c>
      <c r="G1404" t="s">
        <v>163</v>
      </c>
      <c r="H1404" t="s">
        <v>606</v>
      </c>
      <c r="I1404" t="s">
        <v>829</v>
      </c>
      <c r="J1404" t="s">
        <v>1062</v>
      </c>
      <c r="K1404" t="s">
        <v>394</v>
      </c>
      <c r="M1404" t="s">
        <v>359</v>
      </c>
      <c r="N1404" t="s">
        <v>173</v>
      </c>
      <c r="O1404" t="s">
        <v>1063</v>
      </c>
      <c r="P1404" t="s">
        <v>489</v>
      </c>
      <c r="Q1404" s="2" t="s">
        <v>230</v>
      </c>
      <c r="R1404">
        <v>100</v>
      </c>
      <c r="S1404" s="3">
        <v>1.65</v>
      </c>
      <c r="T1404" s="3">
        <v>0</v>
      </c>
      <c r="U1404" s="3">
        <v>0</v>
      </c>
      <c r="V1404" s="3">
        <v>0.62</v>
      </c>
    </row>
    <row r="1405" spans="1:24" x14ac:dyDescent="0.35">
      <c r="A1405" t="s">
        <v>1060</v>
      </c>
      <c r="B1405" t="s">
        <v>1061</v>
      </c>
      <c r="C1405" t="s">
        <v>720</v>
      </c>
      <c r="D1405">
        <v>2017</v>
      </c>
      <c r="E1405">
        <v>256</v>
      </c>
      <c r="F1405" t="s">
        <v>600</v>
      </c>
      <c r="G1405" t="s">
        <v>163</v>
      </c>
      <c r="H1405" t="s">
        <v>606</v>
      </c>
      <c r="M1405" t="s">
        <v>359</v>
      </c>
      <c r="N1405" t="s">
        <v>173</v>
      </c>
      <c r="O1405" t="s">
        <v>1063</v>
      </c>
      <c r="P1405" t="s">
        <v>489</v>
      </c>
      <c r="Q1405" s="2" t="s">
        <v>230</v>
      </c>
      <c r="R1405">
        <v>100</v>
      </c>
      <c r="S1405" s="3">
        <v>2.12</v>
      </c>
      <c r="T1405" s="3">
        <v>0</v>
      </c>
      <c r="U1405" s="3">
        <v>0</v>
      </c>
      <c r="V1405" s="3">
        <v>0.82</v>
      </c>
    </row>
    <row r="1406" spans="1:24" x14ac:dyDescent="0.35">
      <c r="A1406" t="s">
        <v>1064</v>
      </c>
      <c r="B1406" t="s">
        <v>522</v>
      </c>
      <c r="C1406" t="s">
        <v>385</v>
      </c>
      <c r="D1406">
        <v>2016</v>
      </c>
      <c r="E1406">
        <v>257</v>
      </c>
      <c r="F1406" t="s">
        <v>863</v>
      </c>
      <c r="G1406" t="s">
        <v>829</v>
      </c>
      <c r="H1406" t="s">
        <v>851</v>
      </c>
      <c r="I1406" t="s">
        <v>1065</v>
      </c>
      <c r="J1406" t="s">
        <v>1066</v>
      </c>
      <c r="K1406" t="s">
        <v>378</v>
      </c>
      <c r="L1406" t="s">
        <v>785</v>
      </c>
      <c r="M1406" t="s">
        <v>348</v>
      </c>
      <c r="N1406" t="s">
        <v>538</v>
      </c>
      <c r="O1406" t="s">
        <v>1067</v>
      </c>
      <c r="P1406" t="s">
        <v>1068</v>
      </c>
      <c r="Q1406" s="2" t="s">
        <v>520</v>
      </c>
      <c r="R1406">
        <v>0</v>
      </c>
      <c r="S1406" s="3">
        <v>0.8</v>
      </c>
      <c r="T1406" s="3">
        <v>0</v>
      </c>
      <c r="U1406" s="3">
        <v>0</v>
      </c>
    </row>
    <row r="1407" spans="1:24" x14ac:dyDescent="0.35">
      <c r="A1407" t="s">
        <v>1064</v>
      </c>
      <c r="B1407" t="s">
        <v>522</v>
      </c>
      <c r="C1407" t="s">
        <v>385</v>
      </c>
      <c r="D1407">
        <v>2016</v>
      </c>
      <c r="E1407">
        <v>257</v>
      </c>
      <c r="F1407" t="s">
        <v>863</v>
      </c>
      <c r="G1407" t="s">
        <v>829</v>
      </c>
      <c r="H1407" t="s">
        <v>851</v>
      </c>
      <c r="I1407" t="s">
        <v>1065</v>
      </c>
      <c r="J1407" t="s">
        <v>1066</v>
      </c>
      <c r="K1407" t="s">
        <v>378</v>
      </c>
      <c r="L1407" t="s">
        <v>785</v>
      </c>
      <c r="M1407" t="s">
        <v>348</v>
      </c>
      <c r="N1407" t="s">
        <v>538</v>
      </c>
      <c r="O1407" t="s">
        <v>1067</v>
      </c>
      <c r="P1407" t="s">
        <v>1068</v>
      </c>
      <c r="Q1407" s="2" t="s">
        <v>520</v>
      </c>
      <c r="R1407">
        <v>25</v>
      </c>
      <c r="S1407" s="3">
        <v>0.8</v>
      </c>
      <c r="T1407" s="3">
        <v>0</v>
      </c>
      <c r="U1407" s="3">
        <v>0.8</v>
      </c>
    </row>
    <row r="1408" spans="1:24" x14ac:dyDescent="0.35">
      <c r="A1408" t="s">
        <v>1064</v>
      </c>
      <c r="B1408" t="s">
        <v>522</v>
      </c>
      <c r="C1408" t="s">
        <v>385</v>
      </c>
      <c r="D1408">
        <v>2016</v>
      </c>
      <c r="E1408">
        <v>257</v>
      </c>
      <c r="F1408" t="s">
        <v>863</v>
      </c>
      <c r="G1408" t="s">
        <v>829</v>
      </c>
      <c r="H1408" t="s">
        <v>851</v>
      </c>
      <c r="I1408" t="s">
        <v>1065</v>
      </c>
      <c r="J1408" t="s">
        <v>1066</v>
      </c>
      <c r="K1408" t="s">
        <v>378</v>
      </c>
      <c r="L1408" t="s">
        <v>785</v>
      </c>
      <c r="M1408" t="s">
        <v>348</v>
      </c>
      <c r="N1408" t="s">
        <v>538</v>
      </c>
      <c r="O1408" t="s">
        <v>1067</v>
      </c>
      <c r="P1408" t="s">
        <v>1068</v>
      </c>
      <c r="Q1408" s="2" t="s">
        <v>520</v>
      </c>
      <c r="R1408">
        <v>40</v>
      </c>
      <c r="S1408" s="3">
        <v>0.8</v>
      </c>
      <c r="T1408" s="3">
        <v>0</v>
      </c>
      <c r="U1408" s="3">
        <v>1.4</v>
      </c>
    </row>
    <row r="1409" spans="1:22" x14ac:dyDescent="0.35">
      <c r="A1409" t="s">
        <v>1064</v>
      </c>
      <c r="B1409" t="s">
        <v>522</v>
      </c>
      <c r="C1409" t="s">
        <v>385</v>
      </c>
      <c r="D1409">
        <v>2016</v>
      </c>
      <c r="E1409">
        <v>257</v>
      </c>
      <c r="F1409" t="s">
        <v>863</v>
      </c>
      <c r="G1409" t="s">
        <v>829</v>
      </c>
      <c r="H1409" t="s">
        <v>851</v>
      </c>
      <c r="I1409" t="s">
        <v>1065</v>
      </c>
      <c r="J1409" t="s">
        <v>1066</v>
      </c>
      <c r="K1409" t="s">
        <v>378</v>
      </c>
      <c r="L1409" t="s">
        <v>785</v>
      </c>
      <c r="M1409" t="s">
        <v>348</v>
      </c>
      <c r="N1409" t="s">
        <v>538</v>
      </c>
      <c r="O1409" t="s">
        <v>1067</v>
      </c>
      <c r="P1409" t="s">
        <v>1068</v>
      </c>
      <c r="Q1409" s="2" t="s">
        <v>520</v>
      </c>
      <c r="R1409">
        <v>60</v>
      </c>
      <c r="S1409" s="3">
        <v>0.8</v>
      </c>
      <c r="T1409" s="3">
        <v>0</v>
      </c>
      <c r="U1409" s="3">
        <v>2.2000000000000002</v>
      </c>
    </row>
    <row r="1410" spans="1:22" x14ac:dyDescent="0.35">
      <c r="A1410" t="s">
        <v>1064</v>
      </c>
      <c r="B1410" t="s">
        <v>522</v>
      </c>
      <c r="C1410" t="s">
        <v>385</v>
      </c>
      <c r="D1410">
        <v>2016</v>
      </c>
      <c r="E1410">
        <v>257</v>
      </c>
      <c r="F1410" t="s">
        <v>863</v>
      </c>
      <c r="G1410" t="s">
        <v>829</v>
      </c>
      <c r="H1410" t="s">
        <v>851</v>
      </c>
      <c r="I1410" t="s">
        <v>1065</v>
      </c>
      <c r="J1410" t="s">
        <v>1066</v>
      </c>
      <c r="K1410" t="s">
        <v>378</v>
      </c>
      <c r="L1410" t="s">
        <v>785</v>
      </c>
      <c r="M1410" t="s">
        <v>348</v>
      </c>
      <c r="N1410" t="s">
        <v>538</v>
      </c>
      <c r="O1410" t="s">
        <v>1067</v>
      </c>
      <c r="P1410" t="s">
        <v>1068</v>
      </c>
      <c r="Q1410" s="2" t="s">
        <v>520</v>
      </c>
      <c r="R1410">
        <v>80</v>
      </c>
      <c r="S1410" s="3">
        <v>0.8</v>
      </c>
      <c r="T1410" s="3">
        <v>0</v>
      </c>
      <c r="U1410" s="3">
        <v>2.8</v>
      </c>
    </row>
    <row r="1411" spans="1:22" x14ac:dyDescent="0.35">
      <c r="A1411" t="s">
        <v>1069</v>
      </c>
      <c r="B1411" t="s">
        <v>358</v>
      </c>
      <c r="C1411" t="s">
        <v>342</v>
      </c>
      <c r="D1411">
        <v>2015</v>
      </c>
      <c r="E1411">
        <v>258</v>
      </c>
      <c r="F1411" t="s">
        <v>1070</v>
      </c>
      <c r="G1411" t="s">
        <v>163</v>
      </c>
      <c r="H1411" t="s">
        <v>606</v>
      </c>
      <c r="I1411" t="s">
        <v>317</v>
      </c>
      <c r="J1411" t="s">
        <v>999</v>
      </c>
      <c r="L1411" t="s">
        <v>1071</v>
      </c>
      <c r="M1411" t="s">
        <v>359</v>
      </c>
      <c r="N1411" t="s">
        <v>538</v>
      </c>
      <c r="O1411" t="s">
        <v>285</v>
      </c>
      <c r="P1411" t="s">
        <v>349</v>
      </c>
      <c r="Q1411" s="2" t="s">
        <v>1072</v>
      </c>
      <c r="R1411">
        <v>0</v>
      </c>
      <c r="S1411" s="3">
        <v>0.78</v>
      </c>
      <c r="T1411" s="3">
        <v>0</v>
      </c>
      <c r="U1411" s="3">
        <v>0</v>
      </c>
      <c r="V1411" s="3">
        <v>1.88</v>
      </c>
    </row>
    <row r="1412" spans="1:22" x14ac:dyDescent="0.35">
      <c r="A1412" t="s">
        <v>1069</v>
      </c>
      <c r="B1412" t="s">
        <v>358</v>
      </c>
      <c r="C1412" t="s">
        <v>342</v>
      </c>
      <c r="D1412">
        <v>2015</v>
      </c>
      <c r="E1412">
        <v>258</v>
      </c>
      <c r="F1412" t="s">
        <v>1070</v>
      </c>
      <c r="G1412" t="s">
        <v>163</v>
      </c>
      <c r="H1412" t="s">
        <v>606</v>
      </c>
      <c r="I1412" t="s">
        <v>317</v>
      </c>
      <c r="J1412" t="s">
        <v>999</v>
      </c>
      <c r="L1412" t="s">
        <v>1071</v>
      </c>
      <c r="M1412" t="s">
        <v>359</v>
      </c>
      <c r="N1412" t="s">
        <v>538</v>
      </c>
      <c r="O1412" t="s">
        <v>285</v>
      </c>
      <c r="P1412" t="s">
        <v>349</v>
      </c>
      <c r="Q1412" s="2" t="s">
        <v>1072</v>
      </c>
      <c r="R1412">
        <v>3</v>
      </c>
      <c r="S1412" s="3">
        <v>0.83</v>
      </c>
      <c r="T1412" s="3">
        <v>0</v>
      </c>
      <c r="U1412" s="3">
        <v>-0.55000000000000004</v>
      </c>
      <c r="V1412" s="3">
        <f>20.8/10.8</f>
        <v>1.9259259259259258</v>
      </c>
    </row>
    <row r="1413" spans="1:22" x14ac:dyDescent="0.35">
      <c r="A1413" t="s">
        <v>1069</v>
      </c>
      <c r="B1413" t="s">
        <v>358</v>
      </c>
      <c r="C1413" t="s">
        <v>342</v>
      </c>
      <c r="D1413">
        <v>2015</v>
      </c>
      <c r="E1413">
        <v>258</v>
      </c>
      <c r="F1413" t="s">
        <v>1070</v>
      </c>
      <c r="G1413" t="s">
        <v>163</v>
      </c>
      <c r="H1413" t="s">
        <v>606</v>
      </c>
      <c r="I1413" t="s">
        <v>317</v>
      </c>
      <c r="J1413" t="s">
        <v>999</v>
      </c>
      <c r="L1413" t="s">
        <v>1071</v>
      </c>
      <c r="M1413" t="s">
        <v>359</v>
      </c>
      <c r="N1413" t="s">
        <v>538</v>
      </c>
      <c r="O1413" t="s">
        <v>285</v>
      </c>
      <c r="P1413" t="s">
        <v>349</v>
      </c>
      <c r="Q1413" s="2" t="s">
        <v>1072</v>
      </c>
      <c r="R1413">
        <v>20</v>
      </c>
      <c r="S1413" s="3">
        <v>0.88</v>
      </c>
      <c r="T1413" s="3">
        <v>-24.8</v>
      </c>
      <c r="U1413" s="3">
        <v>-2.5099999999999998</v>
      </c>
      <c r="V1413" s="3">
        <f>22.5/11.1</f>
        <v>2.0270270270270272</v>
      </c>
    </row>
    <row r="1414" spans="1:22" x14ac:dyDescent="0.35">
      <c r="A1414" t="s">
        <v>1069</v>
      </c>
      <c r="B1414" t="s">
        <v>358</v>
      </c>
      <c r="C1414" t="s">
        <v>342</v>
      </c>
      <c r="D1414">
        <v>2015</v>
      </c>
      <c r="E1414">
        <v>258</v>
      </c>
      <c r="F1414" t="s">
        <v>1070</v>
      </c>
      <c r="G1414" t="s">
        <v>163</v>
      </c>
      <c r="H1414" t="s">
        <v>606</v>
      </c>
      <c r="I1414" t="s">
        <v>317</v>
      </c>
      <c r="J1414" t="s">
        <v>999</v>
      </c>
      <c r="L1414" t="s">
        <v>1071</v>
      </c>
      <c r="M1414" t="s">
        <v>359</v>
      </c>
      <c r="N1414" t="s">
        <v>538</v>
      </c>
      <c r="O1414" t="s">
        <v>285</v>
      </c>
      <c r="P1414" t="s">
        <v>349</v>
      </c>
      <c r="Q1414" s="2" t="s">
        <v>1072</v>
      </c>
      <c r="R1414">
        <v>100</v>
      </c>
      <c r="S1414" s="3">
        <v>0.83</v>
      </c>
      <c r="T1414" s="3">
        <v>0</v>
      </c>
      <c r="U1414" s="3">
        <v>-7.32</v>
      </c>
      <c r="V1414" s="3">
        <f>18.3/13.3</f>
        <v>1.3759398496240602</v>
      </c>
    </row>
    <row r="1415" spans="1:22" x14ac:dyDescent="0.35">
      <c r="A1415" t="s">
        <v>1075</v>
      </c>
      <c r="B1415" t="s">
        <v>468</v>
      </c>
      <c r="C1415" t="s">
        <v>385</v>
      </c>
      <c r="D1415">
        <v>2018</v>
      </c>
      <c r="E1415">
        <v>259</v>
      </c>
      <c r="F1415" t="s">
        <v>1070</v>
      </c>
      <c r="G1415" t="s">
        <v>163</v>
      </c>
      <c r="H1415" t="s">
        <v>606</v>
      </c>
      <c r="I1415" t="s">
        <v>1073</v>
      </c>
      <c r="J1415" t="s">
        <v>1074</v>
      </c>
      <c r="K1415" t="s">
        <v>394</v>
      </c>
      <c r="M1415" t="s">
        <v>359</v>
      </c>
      <c r="N1415" t="s">
        <v>173</v>
      </c>
      <c r="O1415" t="s">
        <v>439</v>
      </c>
      <c r="P1415" t="s">
        <v>172</v>
      </c>
      <c r="Q1415" s="2" t="s">
        <v>230</v>
      </c>
      <c r="R1415">
        <v>0</v>
      </c>
      <c r="S1415" s="3">
        <v>2.79</v>
      </c>
      <c r="T1415" s="3">
        <v>0</v>
      </c>
      <c r="U1415" s="3">
        <v>0</v>
      </c>
      <c r="V1415" s="3">
        <v>17.2</v>
      </c>
    </row>
    <row r="1416" spans="1:22" x14ac:dyDescent="0.35">
      <c r="A1416" t="s">
        <v>1075</v>
      </c>
      <c r="B1416" t="s">
        <v>468</v>
      </c>
      <c r="C1416" t="s">
        <v>385</v>
      </c>
      <c r="D1416">
        <v>2018</v>
      </c>
      <c r="E1416">
        <v>259</v>
      </c>
      <c r="F1416" t="s">
        <v>1070</v>
      </c>
      <c r="G1416" t="s">
        <v>163</v>
      </c>
      <c r="H1416" t="s">
        <v>606</v>
      </c>
      <c r="I1416" t="s">
        <v>1073</v>
      </c>
      <c r="J1416" t="s">
        <v>1074</v>
      </c>
      <c r="K1416" t="s">
        <v>394</v>
      </c>
      <c r="M1416" t="s">
        <v>359</v>
      </c>
      <c r="N1416" t="s">
        <v>173</v>
      </c>
      <c r="O1416" t="s">
        <v>439</v>
      </c>
      <c r="P1416" t="s">
        <v>172</v>
      </c>
      <c r="Q1416" s="2" t="s">
        <v>230</v>
      </c>
      <c r="R1416">
        <v>50</v>
      </c>
      <c r="S1416" s="3">
        <v>2.2000000000000002</v>
      </c>
      <c r="T1416" s="3">
        <v>0</v>
      </c>
      <c r="U1416" s="3">
        <v>-1</v>
      </c>
      <c r="V1416" s="3">
        <v>16.8</v>
      </c>
    </row>
    <row r="1417" spans="1:22" x14ac:dyDescent="0.35">
      <c r="A1417" t="s">
        <v>1075</v>
      </c>
      <c r="B1417" t="s">
        <v>468</v>
      </c>
      <c r="C1417" t="s">
        <v>385</v>
      </c>
      <c r="D1417">
        <v>2018</v>
      </c>
      <c r="E1417">
        <v>259</v>
      </c>
      <c r="F1417" t="s">
        <v>1070</v>
      </c>
      <c r="G1417" t="s">
        <v>163</v>
      </c>
      <c r="H1417" t="s">
        <v>606</v>
      </c>
      <c r="I1417" t="s">
        <v>1073</v>
      </c>
      <c r="J1417" t="s">
        <v>1074</v>
      </c>
      <c r="K1417" t="s">
        <v>394</v>
      </c>
      <c r="M1417" t="s">
        <v>359</v>
      </c>
      <c r="N1417" t="s">
        <v>173</v>
      </c>
      <c r="O1417" t="s">
        <v>439</v>
      </c>
      <c r="P1417" t="s">
        <v>172</v>
      </c>
      <c r="Q1417" s="2" t="s">
        <v>230</v>
      </c>
      <c r="R1417">
        <v>75</v>
      </c>
      <c r="S1417" s="3">
        <v>2.35</v>
      </c>
      <c r="T1417" s="3">
        <v>0</v>
      </c>
      <c r="U1417" s="3">
        <v>-2</v>
      </c>
      <c r="V1417" s="3">
        <v>19.600000000000001</v>
      </c>
    </row>
    <row r="1418" spans="1:22" x14ac:dyDescent="0.35">
      <c r="A1418" t="s">
        <v>1075</v>
      </c>
      <c r="B1418" t="s">
        <v>468</v>
      </c>
      <c r="C1418" t="s">
        <v>385</v>
      </c>
      <c r="D1418">
        <v>2018</v>
      </c>
      <c r="E1418">
        <v>259</v>
      </c>
      <c r="F1418" t="s">
        <v>1070</v>
      </c>
      <c r="G1418" t="s">
        <v>163</v>
      </c>
      <c r="H1418" t="s">
        <v>606</v>
      </c>
      <c r="I1418" t="s">
        <v>1073</v>
      </c>
      <c r="J1418" t="s">
        <v>1074</v>
      </c>
      <c r="K1418" t="s">
        <v>394</v>
      </c>
      <c r="M1418" t="s">
        <v>359</v>
      </c>
      <c r="N1418" t="s">
        <v>173</v>
      </c>
      <c r="O1418" t="s">
        <v>439</v>
      </c>
      <c r="P1418" t="s">
        <v>172</v>
      </c>
      <c r="Q1418" s="2" t="s">
        <v>230</v>
      </c>
      <c r="R1418">
        <v>100</v>
      </c>
      <c r="S1418" s="3">
        <v>2.42</v>
      </c>
      <c r="T1418" s="3">
        <v>0</v>
      </c>
      <c r="U1418" s="3">
        <v>-3</v>
      </c>
      <c r="V1418" s="3">
        <v>19</v>
      </c>
    </row>
    <row r="1419" spans="1:22" x14ac:dyDescent="0.35">
      <c r="A1419" t="s">
        <v>1076</v>
      </c>
      <c r="B1419" t="s">
        <v>398</v>
      </c>
      <c r="C1419" t="s">
        <v>370</v>
      </c>
      <c r="D1419">
        <v>2017</v>
      </c>
      <c r="E1419">
        <v>260</v>
      </c>
      <c r="F1419" t="s">
        <v>600</v>
      </c>
      <c r="G1419" t="s">
        <v>163</v>
      </c>
      <c r="H1419" t="s">
        <v>1077</v>
      </c>
      <c r="K1419" t="s">
        <v>394</v>
      </c>
      <c r="M1419" t="s">
        <v>359</v>
      </c>
      <c r="N1419" t="s">
        <v>538</v>
      </c>
      <c r="O1419" t="s">
        <v>983</v>
      </c>
      <c r="P1419" t="s">
        <v>982</v>
      </c>
      <c r="Q1419" s="2" t="s">
        <v>230</v>
      </c>
      <c r="R1419" s="3">
        <v>0</v>
      </c>
      <c r="S1419" s="3">
        <f>1/1.15</f>
        <v>0.86956521739130443</v>
      </c>
      <c r="T1419" s="3">
        <v>0</v>
      </c>
      <c r="U1419" s="3">
        <v>0</v>
      </c>
      <c r="V1419" s="3">
        <v>1.01</v>
      </c>
    </row>
    <row r="1420" spans="1:22" x14ac:dyDescent="0.35">
      <c r="A1420" t="s">
        <v>1076</v>
      </c>
      <c r="B1420" t="s">
        <v>398</v>
      </c>
      <c r="C1420" t="s">
        <v>370</v>
      </c>
      <c r="D1420">
        <v>2017</v>
      </c>
      <c r="E1420">
        <v>260</v>
      </c>
      <c r="F1420" t="s">
        <v>600</v>
      </c>
      <c r="G1420" t="s">
        <v>163</v>
      </c>
      <c r="H1420" t="s">
        <v>1077</v>
      </c>
      <c r="K1420" t="s">
        <v>394</v>
      </c>
      <c r="M1420" t="s">
        <v>359</v>
      </c>
      <c r="N1420" t="s">
        <v>538</v>
      </c>
      <c r="O1420" t="s">
        <v>983</v>
      </c>
      <c r="P1420" t="s">
        <v>982</v>
      </c>
      <c r="Q1420" s="2" t="s">
        <v>230</v>
      </c>
      <c r="R1420" s="3">
        <v>100</v>
      </c>
      <c r="S1420" s="3">
        <f>1/1.14</f>
        <v>0.87719298245614041</v>
      </c>
      <c r="T1420" s="3">
        <v>0</v>
      </c>
      <c r="U1420" s="3">
        <v>1.2</v>
      </c>
      <c r="V1420" s="3">
        <v>0.64</v>
      </c>
    </row>
    <row r="1421" spans="1:22" x14ac:dyDescent="0.35">
      <c r="A1421" t="s">
        <v>1076</v>
      </c>
      <c r="B1421" t="s">
        <v>398</v>
      </c>
      <c r="C1421" t="s">
        <v>370</v>
      </c>
      <c r="D1421">
        <v>2017</v>
      </c>
      <c r="E1421">
        <v>260</v>
      </c>
      <c r="F1421" t="s">
        <v>600</v>
      </c>
      <c r="G1421" t="s">
        <v>163</v>
      </c>
      <c r="H1421" t="s">
        <v>1078</v>
      </c>
      <c r="K1421" t="s">
        <v>394</v>
      </c>
      <c r="M1421" t="s">
        <v>359</v>
      </c>
      <c r="N1421" t="s">
        <v>538</v>
      </c>
      <c r="O1421" t="s">
        <v>983</v>
      </c>
      <c r="P1421" t="s">
        <v>982</v>
      </c>
      <c r="Q1421" s="2" t="s">
        <v>230</v>
      </c>
      <c r="R1421">
        <v>0</v>
      </c>
      <c r="S1421" s="3">
        <v>0.87</v>
      </c>
      <c r="T1421" s="3">
        <v>0</v>
      </c>
      <c r="U1421" s="3">
        <v>0</v>
      </c>
      <c r="V1421" s="3">
        <v>1.01</v>
      </c>
    </row>
    <row r="1422" spans="1:22" x14ac:dyDescent="0.35">
      <c r="A1422" t="s">
        <v>1076</v>
      </c>
      <c r="B1422" t="s">
        <v>398</v>
      </c>
      <c r="C1422" t="s">
        <v>370</v>
      </c>
      <c r="D1422">
        <v>2017</v>
      </c>
      <c r="E1422">
        <v>260</v>
      </c>
      <c r="F1422" t="s">
        <v>600</v>
      </c>
      <c r="G1422" t="s">
        <v>163</v>
      </c>
      <c r="H1422" t="s">
        <v>1078</v>
      </c>
      <c r="K1422" t="s">
        <v>394</v>
      </c>
      <c r="M1422" t="s">
        <v>359</v>
      </c>
      <c r="N1422" t="s">
        <v>538</v>
      </c>
      <c r="O1422" t="s">
        <v>983</v>
      </c>
      <c r="P1422" t="s">
        <v>982</v>
      </c>
      <c r="Q1422" s="2" t="s">
        <v>230</v>
      </c>
      <c r="R1422" s="3">
        <v>100</v>
      </c>
      <c r="S1422" s="3">
        <f>1/1.14</f>
        <v>0.87719298245614041</v>
      </c>
      <c r="T1422" s="3">
        <v>0</v>
      </c>
      <c r="U1422" s="3">
        <v>2.5</v>
      </c>
      <c r="V1422" s="3">
        <v>0.61</v>
      </c>
    </row>
    <row r="1423" spans="1:22" x14ac:dyDescent="0.35">
      <c r="A1423" t="s">
        <v>1079</v>
      </c>
      <c r="B1423" t="s">
        <v>522</v>
      </c>
      <c r="C1423" t="s">
        <v>385</v>
      </c>
      <c r="D1423">
        <v>2009</v>
      </c>
      <c r="E1423">
        <v>261</v>
      </c>
      <c r="F1423" t="s">
        <v>600</v>
      </c>
      <c r="G1423" t="s">
        <v>163</v>
      </c>
      <c r="H1423" t="s">
        <v>606</v>
      </c>
      <c r="K1423" t="s">
        <v>394</v>
      </c>
      <c r="M1423" t="s">
        <v>359</v>
      </c>
      <c r="N1423" t="s">
        <v>31</v>
      </c>
      <c r="O1423" t="s">
        <v>717</v>
      </c>
      <c r="P1423" t="s">
        <v>133</v>
      </c>
      <c r="Q1423" s="2" t="s">
        <v>230</v>
      </c>
      <c r="R1423" s="3">
        <v>0</v>
      </c>
      <c r="S1423" s="3">
        <f>1/0.64</f>
        <v>1.5625</v>
      </c>
      <c r="U1423" s="3">
        <v>0</v>
      </c>
      <c r="V1423" s="3">
        <f>2.73/18.06</f>
        <v>0.15116279069767444</v>
      </c>
    </row>
    <row r="1424" spans="1:22" x14ac:dyDescent="0.35">
      <c r="A1424" t="s">
        <v>1079</v>
      </c>
      <c r="B1424" t="s">
        <v>522</v>
      </c>
      <c r="C1424" t="s">
        <v>385</v>
      </c>
      <c r="D1424">
        <v>2009</v>
      </c>
      <c r="E1424">
        <v>261</v>
      </c>
      <c r="F1424" t="s">
        <v>600</v>
      </c>
      <c r="G1424" t="s">
        <v>163</v>
      </c>
      <c r="H1424" t="s">
        <v>606</v>
      </c>
      <c r="K1424" t="s">
        <v>394</v>
      </c>
      <c r="M1424" t="s">
        <v>359</v>
      </c>
      <c r="N1424" t="s">
        <v>31</v>
      </c>
      <c r="O1424" t="s">
        <v>717</v>
      </c>
      <c r="P1424" t="s">
        <v>133</v>
      </c>
      <c r="Q1424" s="2" t="s">
        <v>230</v>
      </c>
      <c r="R1424" s="3">
        <v>10</v>
      </c>
      <c r="S1424" s="3">
        <f>1/0.67</f>
        <v>1.4925373134328357</v>
      </c>
      <c r="U1424" s="3">
        <v>-0.3</v>
      </c>
      <c r="V1424" s="3">
        <f>4.1/17.7</f>
        <v>0.23163841807909605</v>
      </c>
    </row>
    <row r="1425" spans="1:22" x14ac:dyDescent="0.35">
      <c r="A1425" t="s">
        <v>1079</v>
      </c>
      <c r="B1425" t="s">
        <v>522</v>
      </c>
      <c r="C1425" t="s">
        <v>385</v>
      </c>
      <c r="D1425">
        <v>2009</v>
      </c>
      <c r="E1425">
        <v>261</v>
      </c>
      <c r="F1425" t="s">
        <v>600</v>
      </c>
      <c r="G1425" t="s">
        <v>163</v>
      </c>
      <c r="H1425" t="s">
        <v>606</v>
      </c>
      <c r="K1425" t="s">
        <v>394</v>
      </c>
      <c r="M1425" t="s">
        <v>359</v>
      </c>
      <c r="N1425" t="s">
        <v>31</v>
      </c>
      <c r="O1425" t="s">
        <v>717</v>
      </c>
      <c r="P1425" t="s">
        <v>133</v>
      </c>
      <c r="Q1425" s="2" t="s">
        <v>230</v>
      </c>
      <c r="R1425" s="3">
        <v>25</v>
      </c>
      <c r="S1425" s="3">
        <f>1/0.68</f>
        <v>1.4705882352941175</v>
      </c>
      <c r="U1425" s="3">
        <v>-0.5</v>
      </c>
      <c r="V1425" s="3">
        <f>5.4/17.8</f>
        <v>0.30337078651685395</v>
      </c>
    </row>
    <row r="1426" spans="1:22" x14ac:dyDescent="0.35">
      <c r="A1426" t="s">
        <v>1079</v>
      </c>
      <c r="B1426" t="s">
        <v>522</v>
      </c>
      <c r="C1426" t="s">
        <v>385</v>
      </c>
      <c r="D1426">
        <v>2009</v>
      </c>
      <c r="E1426">
        <v>261</v>
      </c>
      <c r="F1426" t="s">
        <v>600</v>
      </c>
      <c r="G1426" t="s">
        <v>163</v>
      </c>
      <c r="H1426" t="s">
        <v>606</v>
      </c>
      <c r="K1426" t="s">
        <v>394</v>
      </c>
      <c r="M1426" t="s">
        <v>359</v>
      </c>
      <c r="N1426" t="s">
        <v>31</v>
      </c>
      <c r="O1426" t="s">
        <v>717</v>
      </c>
      <c r="P1426" t="s">
        <v>133</v>
      </c>
      <c r="Q1426" s="2" t="s">
        <v>230</v>
      </c>
      <c r="R1426" s="3">
        <v>40</v>
      </c>
      <c r="S1426" s="3">
        <f>1/0.69</f>
        <v>1.4492753623188408</v>
      </c>
      <c r="U1426" s="3">
        <v>-0.7</v>
      </c>
      <c r="V1426" s="3">
        <f>5.24/18.41</f>
        <v>0.28462791960890821</v>
      </c>
    </row>
    <row r="1427" spans="1:22" x14ac:dyDescent="0.35">
      <c r="A1427" t="s">
        <v>1079</v>
      </c>
      <c r="B1427" t="s">
        <v>522</v>
      </c>
      <c r="C1427" t="s">
        <v>385</v>
      </c>
      <c r="D1427">
        <v>2009</v>
      </c>
      <c r="E1427">
        <v>261</v>
      </c>
      <c r="F1427" t="s">
        <v>600</v>
      </c>
      <c r="G1427" t="s">
        <v>163</v>
      </c>
      <c r="H1427" t="s">
        <v>606</v>
      </c>
      <c r="K1427" t="s">
        <v>394</v>
      </c>
      <c r="M1427" t="s">
        <v>359</v>
      </c>
      <c r="N1427" t="s">
        <v>31</v>
      </c>
      <c r="O1427" t="s">
        <v>717</v>
      </c>
      <c r="P1427" t="s">
        <v>133</v>
      </c>
      <c r="Q1427" s="2" t="s">
        <v>230</v>
      </c>
      <c r="R1427" s="3">
        <v>50</v>
      </c>
      <c r="S1427" s="3">
        <f>1/0.69</f>
        <v>1.4492753623188408</v>
      </c>
      <c r="U1427" s="3">
        <v>-1</v>
      </c>
      <c r="V1427" s="3">
        <f>6.3/17.8</f>
        <v>0.3539325842696629</v>
      </c>
    </row>
    <row r="1428" spans="1:22" x14ac:dyDescent="0.35">
      <c r="A1428" t="s">
        <v>1081</v>
      </c>
      <c r="B1428" t="s">
        <v>522</v>
      </c>
      <c r="C1428" t="s">
        <v>456</v>
      </c>
      <c r="D1428">
        <v>2018</v>
      </c>
      <c r="E1428">
        <v>262</v>
      </c>
      <c r="F1428" t="s">
        <v>863</v>
      </c>
      <c r="G1428" t="s">
        <v>170</v>
      </c>
      <c r="H1428" t="s">
        <v>1080</v>
      </c>
      <c r="I1428" t="s">
        <v>163</v>
      </c>
      <c r="J1428" t="s">
        <v>606</v>
      </c>
      <c r="K1428" t="s">
        <v>378</v>
      </c>
      <c r="L1428" t="s">
        <v>785</v>
      </c>
      <c r="M1428" t="s">
        <v>970</v>
      </c>
      <c r="N1428" t="s">
        <v>538</v>
      </c>
      <c r="O1428" t="s">
        <v>924</v>
      </c>
      <c r="P1428" t="s">
        <v>1082</v>
      </c>
      <c r="Q1428" s="2" t="s">
        <v>230</v>
      </c>
      <c r="R1428" s="3">
        <v>0</v>
      </c>
      <c r="S1428" s="3">
        <f>1/0.64</f>
        <v>1.5625</v>
      </c>
      <c r="U1428" s="3">
        <v>0</v>
      </c>
      <c r="V1428" s="3">
        <v>2.9</v>
      </c>
    </row>
    <row r="1429" spans="1:22" x14ac:dyDescent="0.35">
      <c r="A1429" t="s">
        <v>1081</v>
      </c>
      <c r="B1429" t="s">
        <v>522</v>
      </c>
      <c r="C1429" t="s">
        <v>456</v>
      </c>
      <c r="D1429">
        <v>2018</v>
      </c>
      <c r="E1429">
        <v>262</v>
      </c>
      <c r="F1429" t="s">
        <v>863</v>
      </c>
      <c r="G1429" t="s">
        <v>170</v>
      </c>
      <c r="H1429" t="s">
        <v>1080</v>
      </c>
      <c r="I1429" t="s">
        <v>163</v>
      </c>
      <c r="J1429" t="s">
        <v>606</v>
      </c>
      <c r="K1429" t="s">
        <v>378</v>
      </c>
      <c r="L1429" t="s">
        <v>785</v>
      </c>
      <c r="M1429" t="s">
        <v>970</v>
      </c>
      <c r="N1429" t="s">
        <v>538</v>
      </c>
      <c r="O1429" t="s">
        <v>924</v>
      </c>
      <c r="P1429" t="s">
        <v>1082</v>
      </c>
      <c r="Q1429" s="2" t="s">
        <v>230</v>
      </c>
      <c r="R1429" s="3">
        <v>10</v>
      </c>
      <c r="S1429" s="3">
        <f>1/0.72</f>
        <v>1.3888888888888888</v>
      </c>
      <c r="U1429" s="3">
        <v>-2.6</v>
      </c>
      <c r="V1429" s="3">
        <v>2.17</v>
      </c>
    </row>
    <row r="1430" spans="1:22" x14ac:dyDescent="0.35">
      <c r="A1430" t="s">
        <v>1081</v>
      </c>
      <c r="B1430" t="s">
        <v>522</v>
      </c>
      <c r="C1430" t="s">
        <v>456</v>
      </c>
      <c r="D1430">
        <v>2018</v>
      </c>
      <c r="E1430">
        <v>262</v>
      </c>
      <c r="F1430" t="s">
        <v>863</v>
      </c>
      <c r="G1430" t="s">
        <v>170</v>
      </c>
      <c r="H1430" t="s">
        <v>1080</v>
      </c>
      <c r="I1430" t="s">
        <v>163</v>
      </c>
      <c r="J1430" t="s">
        <v>606</v>
      </c>
      <c r="K1430" t="s">
        <v>378</v>
      </c>
      <c r="L1430" t="s">
        <v>785</v>
      </c>
      <c r="M1430" t="s">
        <v>970</v>
      </c>
      <c r="N1430" t="s">
        <v>538</v>
      </c>
      <c r="O1430" t="s">
        <v>924</v>
      </c>
      <c r="P1430" t="s">
        <v>1082</v>
      </c>
      <c r="Q1430" s="2" t="s">
        <v>230</v>
      </c>
      <c r="R1430" s="3">
        <v>20</v>
      </c>
      <c r="S1430" s="3">
        <f>1/0.71</f>
        <v>1.4084507042253522</v>
      </c>
      <c r="U1430" s="3">
        <v>-5.4</v>
      </c>
      <c r="V1430" s="3">
        <v>1.77</v>
      </c>
    </row>
    <row r="1431" spans="1:22" x14ac:dyDescent="0.35">
      <c r="A1431" t="s">
        <v>1081</v>
      </c>
      <c r="B1431" t="s">
        <v>522</v>
      </c>
      <c r="C1431" t="s">
        <v>456</v>
      </c>
      <c r="D1431">
        <v>2018</v>
      </c>
      <c r="E1431">
        <v>262</v>
      </c>
      <c r="F1431" t="s">
        <v>863</v>
      </c>
      <c r="G1431" t="s">
        <v>170</v>
      </c>
      <c r="H1431" t="s">
        <v>1080</v>
      </c>
      <c r="I1431" t="s">
        <v>163</v>
      </c>
      <c r="J1431" t="s">
        <v>606</v>
      </c>
      <c r="K1431" t="s">
        <v>378</v>
      </c>
      <c r="L1431" t="s">
        <v>785</v>
      </c>
      <c r="M1431" t="s">
        <v>970</v>
      </c>
      <c r="N1431" t="s">
        <v>538</v>
      </c>
      <c r="O1431" t="s">
        <v>924</v>
      </c>
      <c r="P1431" t="s">
        <v>1082</v>
      </c>
      <c r="Q1431" s="2" t="s">
        <v>230</v>
      </c>
      <c r="R1431" s="3">
        <v>30</v>
      </c>
      <c r="S1431" s="3">
        <f>1/0.74</f>
        <v>1.3513513513513513</v>
      </c>
      <c r="U1431" s="3">
        <v>-8.1999999999999993</v>
      </c>
      <c r="V1431" s="3">
        <v>1.48</v>
      </c>
    </row>
    <row r="1432" spans="1:22" x14ac:dyDescent="0.35">
      <c r="A1432" t="s">
        <v>1081</v>
      </c>
      <c r="B1432" t="s">
        <v>522</v>
      </c>
      <c r="C1432" t="s">
        <v>456</v>
      </c>
      <c r="D1432">
        <v>2018</v>
      </c>
      <c r="E1432">
        <v>262</v>
      </c>
      <c r="F1432" t="s">
        <v>863</v>
      </c>
      <c r="G1432" t="s">
        <v>170</v>
      </c>
      <c r="H1432" t="s">
        <v>1080</v>
      </c>
      <c r="I1432" t="s">
        <v>163</v>
      </c>
      <c r="J1432" t="s">
        <v>606</v>
      </c>
      <c r="K1432" t="s">
        <v>378</v>
      </c>
      <c r="L1432" t="s">
        <v>785</v>
      </c>
      <c r="M1432" t="s">
        <v>970</v>
      </c>
      <c r="N1432" t="s">
        <v>538</v>
      </c>
      <c r="O1432" t="s">
        <v>924</v>
      </c>
      <c r="P1432" t="s">
        <v>1082</v>
      </c>
      <c r="Q1432" s="2" t="s">
        <v>230</v>
      </c>
      <c r="R1432" s="3">
        <v>40</v>
      </c>
      <c r="S1432" s="3">
        <f>1/0.72</f>
        <v>1.3888888888888888</v>
      </c>
      <c r="U1432" s="3">
        <v>-10.9</v>
      </c>
      <c r="V1432" s="3">
        <v>1.73</v>
      </c>
    </row>
    <row r="1433" spans="1:22" x14ac:dyDescent="0.35">
      <c r="A1433" t="s">
        <v>1081</v>
      </c>
      <c r="B1433" t="s">
        <v>522</v>
      </c>
      <c r="C1433" t="s">
        <v>456</v>
      </c>
      <c r="D1433">
        <v>2018</v>
      </c>
      <c r="E1433">
        <v>262</v>
      </c>
      <c r="F1433" t="s">
        <v>863</v>
      </c>
      <c r="G1433" t="s">
        <v>170</v>
      </c>
      <c r="H1433" t="s">
        <v>1080</v>
      </c>
      <c r="I1433" t="s">
        <v>163</v>
      </c>
      <c r="J1433" t="s">
        <v>606</v>
      </c>
      <c r="K1433" t="s">
        <v>378</v>
      </c>
      <c r="L1433" t="s">
        <v>785</v>
      </c>
      <c r="M1433" t="s">
        <v>970</v>
      </c>
      <c r="N1433" t="s">
        <v>538</v>
      </c>
      <c r="O1433" t="s">
        <v>924</v>
      </c>
      <c r="P1433" t="s">
        <v>1082</v>
      </c>
      <c r="Q1433" s="2" t="s">
        <v>230</v>
      </c>
      <c r="R1433" s="3">
        <v>50</v>
      </c>
      <c r="S1433" s="3">
        <f>1/0.67</f>
        <v>1.4925373134328357</v>
      </c>
      <c r="U1433" s="3">
        <v>-13.6</v>
      </c>
      <c r="V1433" s="3">
        <v>1.19</v>
      </c>
    </row>
    <row r="1434" spans="1:22" x14ac:dyDescent="0.35">
      <c r="A1434" t="s">
        <v>1083</v>
      </c>
      <c r="B1434" t="s">
        <v>468</v>
      </c>
      <c r="C1434" t="s">
        <v>370</v>
      </c>
      <c r="D1434">
        <v>2014</v>
      </c>
      <c r="E1434">
        <v>263</v>
      </c>
      <c r="F1434" t="s">
        <v>863</v>
      </c>
      <c r="G1434" t="s">
        <v>163</v>
      </c>
      <c r="H1434" t="s">
        <v>606</v>
      </c>
      <c r="I1434" t="s">
        <v>163</v>
      </c>
      <c r="J1434" t="s">
        <v>382</v>
      </c>
      <c r="K1434" t="s">
        <v>394</v>
      </c>
      <c r="M1434" t="s">
        <v>359</v>
      </c>
      <c r="N1434" t="s">
        <v>538</v>
      </c>
      <c r="O1434" t="s">
        <v>626</v>
      </c>
      <c r="P1434" t="s">
        <v>124</v>
      </c>
      <c r="Q1434" s="2" t="s">
        <v>230</v>
      </c>
      <c r="R1434" s="3">
        <v>0</v>
      </c>
      <c r="S1434" s="3">
        <v>1</v>
      </c>
      <c r="T1434" s="3">
        <v>0</v>
      </c>
      <c r="U1434" s="3">
        <v>0</v>
      </c>
      <c r="V1434" s="3">
        <v>1.8</v>
      </c>
    </row>
    <row r="1435" spans="1:22" x14ac:dyDescent="0.35">
      <c r="A1435" t="s">
        <v>1083</v>
      </c>
      <c r="B1435" t="s">
        <v>468</v>
      </c>
      <c r="C1435" t="s">
        <v>370</v>
      </c>
      <c r="D1435">
        <v>2014</v>
      </c>
      <c r="E1435">
        <v>263</v>
      </c>
      <c r="F1435" t="s">
        <v>863</v>
      </c>
      <c r="G1435" t="s">
        <v>163</v>
      </c>
      <c r="H1435" t="s">
        <v>606</v>
      </c>
      <c r="I1435" t="s">
        <v>163</v>
      </c>
      <c r="J1435" t="s">
        <v>382</v>
      </c>
      <c r="K1435" t="s">
        <v>394</v>
      </c>
      <c r="M1435" t="s">
        <v>359</v>
      </c>
      <c r="N1435" t="s">
        <v>538</v>
      </c>
      <c r="O1435" t="s">
        <v>626</v>
      </c>
      <c r="P1435" t="s">
        <v>124</v>
      </c>
      <c r="Q1435" s="2" t="s">
        <v>230</v>
      </c>
      <c r="R1435" s="3">
        <v>50</v>
      </c>
      <c r="S1435" s="3">
        <v>0.9</v>
      </c>
      <c r="T1435" s="3">
        <v>0</v>
      </c>
      <c r="U1435" s="3">
        <v>-2</v>
      </c>
      <c r="V1435" s="3">
        <v>2.5</v>
      </c>
    </row>
    <row r="1436" spans="1:22" x14ac:dyDescent="0.35">
      <c r="A1436" t="s">
        <v>1083</v>
      </c>
      <c r="B1436" t="s">
        <v>468</v>
      </c>
      <c r="C1436" t="s">
        <v>370</v>
      </c>
      <c r="D1436">
        <v>2014</v>
      </c>
      <c r="E1436">
        <v>263</v>
      </c>
      <c r="F1436" t="s">
        <v>863</v>
      </c>
      <c r="G1436" t="s">
        <v>163</v>
      </c>
      <c r="H1436" t="s">
        <v>606</v>
      </c>
      <c r="I1436" t="s">
        <v>163</v>
      </c>
      <c r="J1436" t="s">
        <v>382</v>
      </c>
      <c r="K1436" t="s">
        <v>394</v>
      </c>
      <c r="M1436" t="s">
        <v>359</v>
      </c>
      <c r="N1436" t="s">
        <v>538</v>
      </c>
      <c r="O1436" t="s">
        <v>626</v>
      </c>
      <c r="P1436" t="s">
        <v>124</v>
      </c>
      <c r="Q1436" s="2" t="s">
        <v>230</v>
      </c>
      <c r="R1436" s="3">
        <v>100</v>
      </c>
      <c r="S1436" s="3">
        <v>1.1000000000000001</v>
      </c>
      <c r="T1436" s="3">
        <v>0</v>
      </c>
      <c r="U1436" s="3">
        <v>-3.9</v>
      </c>
      <c r="V1436" s="3">
        <v>2.9</v>
      </c>
    </row>
    <row r="1437" spans="1:22" x14ac:dyDescent="0.35">
      <c r="A1437" t="s">
        <v>1084</v>
      </c>
      <c r="B1437" t="s">
        <v>468</v>
      </c>
      <c r="C1437" t="s">
        <v>385</v>
      </c>
      <c r="D1437">
        <v>2011</v>
      </c>
      <c r="E1437">
        <v>264</v>
      </c>
      <c r="F1437" t="s">
        <v>863</v>
      </c>
      <c r="G1437" t="s">
        <v>163</v>
      </c>
      <c r="H1437" t="s">
        <v>606</v>
      </c>
      <c r="I1437" t="s">
        <v>163</v>
      </c>
      <c r="J1437" t="s">
        <v>1085</v>
      </c>
      <c r="K1437" t="s">
        <v>394</v>
      </c>
      <c r="M1437" t="s">
        <v>359</v>
      </c>
      <c r="N1437" t="s">
        <v>173</v>
      </c>
      <c r="O1437" t="s">
        <v>439</v>
      </c>
      <c r="P1437" t="s">
        <v>172</v>
      </c>
      <c r="Q1437" s="2" t="s">
        <v>230</v>
      </c>
      <c r="R1437" s="3">
        <v>0</v>
      </c>
      <c r="S1437" s="3">
        <v>1.19</v>
      </c>
      <c r="T1437" s="3">
        <v>0</v>
      </c>
      <c r="U1437" s="3">
        <v>0</v>
      </c>
    </row>
    <row r="1438" spans="1:22" x14ac:dyDescent="0.35">
      <c r="A1438" t="s">
        <v>1084</v>
      </c>
      <c r="B1438" t="s">
        <v>468</v>
      </c>
      <c r="C1438" t="s">
        <v>385</v>
      </c>
      <c r="D1438">
        <v>2011</v>
      </c>
      <c r="E1438">
        <v>264</v>
      </c>
      <c r="F1438" t="s">
        <v>863</v>
      </c>
      <c r="G1438" t="s">
        <v>163</v>
      </c>
      <c r="H1438" t="s">
        <v>606</v>
      </c>
      <c r="I1438" t="s">
        <v>163</v>
      </c>
      <c r="J1438" t="s">
        <v>1085</v>
      </c>
      <c r="K1438" t="s">
        <v>394</v>
      </c>
      <c r="M1438" t="s">
        <v>359</v>
      </c>
      <c r="N1438" t="s">
        <v>173</v>
      </c>
      <c r="O1438" t="s">
        <v>439</v>
      </c>
      <c r="P1438" t="s">
        <v>172</v>
      </c>
      <c r="Q1438" s="2" t="s">
        <v>230</v>
      </c>
      <c r="R1438" s="3">
        <v>100</v>
      </c>
      <c r="S1438" s="3">
        <v>1.34</v>
      </c>
      <c r="T1438" s="3">
        <v>0</v>
      </c>
      <c r="U1438" s="3">
        <v>6.7</v>
      </c>
    </row>
    <row r="1439" spans="1:22" x14ac:dyDescent="0.35">
      <c r="A1439" t="s">
        <v>1084</v>
      </c>
      <c r="B1439" t="s">
        <v>468</v>
      </c>
      <c r="C1439" t="s">
        <v>385</v>
      </c>
      <c r="D1439">
        <v>2011</v>
      </c>
      <c r="E1439">
        <v>264</v>
      </c>
      <c r="F1439" t="s">
        <v>863</v>
      </c>
      <c r="G1439" t="s">
        <v>163</v>
      </c>
      <c r="H1439" t="s">
        <v>606</v>
      </c>
      <c r="I1439" t="s">
        <v>163</v>
      </c>
      <c r="J1439" t="s">
        <v>1085</v>
      </c>
      <c r="K1439" t="s">
        <v>394</v>
      </c>
      <c r="M1439" t="s">
        <v>359</v>
      </c>
      <c r="N1439" t="s">
        <v>173</v>
      </c>
      <c r="O1439" t="s">
        <v>439</v>
      </c>
      <c r="P1439" t="s">
        <v>172</v>
      </c>
      <c r="Q1439" s="2" t="s">
        <v>230</v>
      </c>
      <c r="R1439" s="3">
        <v>100</v>
      </c>
      <c r="S1439" s="3">
        <v>1.3</v>
      </c>
      <c r="T1439" s="3">
        <v>0</v>
      </c>
      <c r="U1439" s="3">
        <v>6.7</v>
      </c>
    </row>
    <row r="1440" spans="1:22" x14ac:dyDescent="0.35">
      <c r="A1440" t="s">
        <v>1084</v>
      </c>
      <c r="B1440" t="s">
        <v>468</v>
      </c>
      <c r="C1440" t="s">
        <v>385</v>
      </c>
      <c r="D1440">
        <v>2011</v>
      </c>
      <c r="E1440">
        <v>264</v>
      </c>
      <c r="F1440" t="s">
        <v>863</v>
      </c>
      <c r="G1440" t="s">
        <v>163</v>
      </c>
      <c r="H1440" t="s">
        <v>606</v>
      </c>
      <c r="I1440" t="s">
        <v>163</v>
      </c>
      <c r="J1440" t="s">
        <v>1085</v>
      </c>
      <c r="K1440" t="s">
        <v>394</v>
      </c>
      <c r="M1440" t="s">
        <v>359</v>
      </c>
      <c r="N1440" t="s">
        <v>173</v>
      </c>
      <c r="O1440" t="s">
        <v>439</v>
      </c>
      <c r="P1440" t="s">
        <v>172</v>
      </c>
      <c r="Q1440" s="2" t="s">
        <v>230</v>
      </c>
      <c r="R1440" s="3">
        <v>100</v>
      </c>
      <c r="S1440" s="3">
        <v>1.33</v>
      </c>
      <c r="T1440" s="3">
        <v>0</v>
      </c>
      <c r="U1440" s="3">
        <v>5.8</v>
      </c>
    </row>
    <row r="1441" spans="1:24" x14ac:dyDescent="0.35">
      <c r="A1441" t="s">
        <v>1084</v>
      </c>
      <c r="B1441" t="s">
        <v>468</v>
      </c>
      <c r="C1441" t="s">
        <v>385</v>
      </c>
      <c r="D1441">
        <v>2011</v>
      </c>
      <c r="E1441">
        <v>264</v>
      </c>
      <c r="F1441" t="s">
        <v>863</v>
      </c>
      <c r="G1441" t="s">
        <v>163</v>
      </c>
      <c r="H1441" t="s">
        <v>606</v>
      </c>
      <c r="I1441" t="s">
        <v>163</v>
      </c>
      <c r="J1441" t="s">
        <v>1085</v>
      </c>
      <c r="K1441" t="s">
        <v>394</v>
      </c>
      <c r="M1441" t="s">
        <v>359</v>
      </c>
      <c r="N1441" t="s">
        <v>173</v>
      </c>
      <c r="O1441" t="s">
        <v>439</v>
      </c>
      <c r="P1441" t="s">
        <v>172</v>
      </c>
      <c r="Q1441" s="2" t="s">
        <v>230</v>
      </c>
      <c r="R1441" s="3">
        <v>100</v>
      </c>
      <c r="S1441" s="3">
        <v>1.29</v>
      </c>
      <c r="T1441" s="3">
        <v>0</v>
      </c>
      <c r="U1441" s="3">
        <v>5.0999999999999996</v>
      </c>
    </row>
    <row r="1442" spans="1:24" x14ac:dyDescent="0.35">
      <c r="A1442" t="s">
        <v>1084</v>
      </c>
      <c r="B1442" t="s">
        <v>468</v>
      </c>
      <c r="C1442" t="s">
        <v>385</v>
      </c>
      <c r="D1442">
        <v>2011</v>
      </c>
      <c r="E1442">
        <v>264</v>
      </c>
      <c r="F1442" t="s">
        <v>600</v>
      </c>
      <c r="G1442" t="s">
        <v>163</v>
      </c>
      <c r="H1442" t="s">
        <v>1085</v>
      </c>
      <c r="K1442" t="s">
        <v>394</v>
      </c>
      <c r="M1442" t="s">
        <v>359</v>
      </c>
      <c r="N1442" t="s">
        <v>173</v>
      </c>
      <c r="O1442" t="s">
        <v>439</v>
      </c>
      <c r="P1442" t="s">
        <v>172</v>
      </c>
      <c r="Q1442" s="2" t="s">
        <v>230</v>
      </c>
      <c r="R1442" s="3">
        <v>100</v>
      </c>
      <c r="S1442" s="3">
        <v>1.29</v>
      </c>
      <c r="T1442" s="3">
        <v>0</v>
      </c>
      <c r="U1442" s="3">
        <v>4.5</v>
      </c>
    </row>
    <row r="1443" spans="1:24" x14ac:dyDescent="0.35">
      <c r="A1443" t="s">
        <v>1084</v>
      </c>
      <c r="B1443" t="s">
        <v>468</v>
      </c>
      <c r="C1443" t="s">
        <v>385</v>
      </c>
      <c r="D1443">
        <v>2011</v>
      </c>
      <c r="E1443">
        <v>264</v>
      </c>
      <c r="F1443" t="s">
        <v>600</v>
      </c>
      <c r="G1443" t="s">
        <v>163</v>
      </c>
      <c r="H1443" t="s">
        <v>1085</v>
      </c>
      <c r="K1443" t="s">
        <v>394</v>
      </c>
      <c r="M1443" t="s">
        <v>359</v>
      </c>
      <c r="N1443" t="s">
        <v>173</v>
      </c>
      <c r="O1443" t="s">
        <v>439</v>
      </c>
      <c r="P1443" t="s">
        <v>172</v>
      </c>
      <c r="Q1443" s="2" t="s">
        <v>230</v>
      </c>
      <c r="R1443" s="3">
        <v>100</v>
      </c>
      <c r="S1443" s="3">
        <v>1.33</v>
      </c>
      <c r="T1443" s="3">
        <v>0</v>
      </c>
      <c r="U1443" s="3">
        <v>5</v>
      </c>
    </row>
    <row r="1444" spans="1:24" x14ac:dyDescent="0.35">
      <c r="A1444" t="s">
        <v>1086</v>
      </c>
      <c r="B1444" t="s">
        <v>522</v>
      </c>
      <c r="C1444" t="s">
        <v>366</v>
      </c>
      <c r="D1444">
        <v>2015</v>
      </c>
      <c r="E1444">
        <v>265</v>
      </c>
      <c r="F1444" t="s">
        <v>600</v>
      </c>
      <c r="G1444" t="s">
        <v>163</v>
      </c>
      <c r="H1444" t="s">
        <v>381</v>
      </c>
      <c r="K1444" t="s">
        <v>378</v>
      </c>
      <c r="M1444" t="s">
        <v>970</v>
      </c>
      <c r="N1444" t="s">
        <v>538</v>
      </c>
      <c r="O1444" t="s">
        <v>373</v>
      </c>
      <c r="P1444" t="s">
        <v>374</v>
      </c>
      <c r="Q1444" s="2" t="s">
        <v>230</v>
      </c>
      <c r="R1444" s="3">
        <v>0</v>
      </c>
      <c r="S1444" s="3">
        <v>1.68</v>
      </c>
      <c r="U1444" s="3">
        <v>0</v>
      </c>
      <c r="V1444" s="3">
        <f>25.1/16</f>
        <v>1.5687500000000001</v>
      </c>
      <c r="X1444" t="s">
        <v>1087</v>
      </c>
    </row>
    <row r="1445" spans="1:24" x14ac:dyDescent="0.35">
      <c r="A1445" t="s">
        <v>1086</v>
      </c>
      <c r="B1445" t="s">
        <v>522</v>
      </c>
      <c r="C1445" t="s">
        <v>366</v>
      </c>
      <c r="D1445">
        <v>2015</v>
      </c>
      <c r="E1445">
        <v>265</v>
      </c>
      <c r="F1445" t="s">
        <v>600</v>
      </c>
      <c r="G1445" t="s">
        <v>163</v>
      </c>
      <c r="H1445" t="s">
        <v>381</v>
      </c>
      <c r="K1445" t="s">
        <v>378</v>
      </c>
      <c r="M1445" t="s">
        <v>970</v>
      </c>
      <c r="N1445" t="s">
        <v>538</v>
      </c>
      <c r="O1445" t="s">
        <v>373</v>
      </c>
      <c r="P1445" t="s">
        <v>374</v>
      </c>
      <c r="Q1445" s="2" t="s">
        <v>230</v>
      </c>
      <c r="R1445" s="3">
        <v>30</v>
      </c>
      <c r="S1445" s="3">
        <v>1.69</v>
      </c>
      <c r="U1445" s="3">
        <v>-1.25</v>
      </c>
      <c r="V1445" s="3">
        <f>23.7/16.7</f>
        <v>1.4191616766467066</v>
      </c>
      <c r="X1445" t="s">
        <v>1087</v>
      </c>
    </row>
    <row r="1446" spans="1:24" x14ac:dyDescent="0.35">
      <c r="A1446" t="s">
        <v>1086</v>
      </c>
      <c r="B1446" t="s">
        <v>522</v>
      </c>
      <c r="C1446" t="s">
        <v>366</v>
      </c>
      <c r="D1446">
        <v>2015</v>
      </c>
      <c r="E1446">
        <v>265</v>
      </c>
      <c r="F1446" t="s">
        <v>600</v>
      </c>
      <c r="G1446" t="s">
        <v>163</v>
      </c>
      <c r="H1446" t="s">
        <v>381</v>
      </c>
      <c r="K1446" t="s">
        <v>378</v>
      </c>
      <c r="M1446" t="s">
        <v>970</v>
      </c>
      <c r="N1446" t="s">
        <v>538</v>
      </c>
      <c r="O1446" t="s">
        <v>373</v>
      </c>
      <c r="P1446" t="s">
        <v>374</v>
      </c>
      <c r="Q1446" s="2" t="s">
        <v>230</v>
      </c>
      <c r="R1446" s="3">
        <v>60</v>
      </c>
      <c r="S1446" s="3">
        <v>1.76</v>
      </c>
      <c r="U1446" s="3">
        <v>-2.5</v>
      </c>
      <c r="V1446" s="3">
        <f>22.8/17.2</f>
        <v>1.3255813953488373</v>
      </c>
      <c r="X1446" t="s">
        <v>1087</v>
      </c>
    </row>
    <row r="1447" spans="1:24" x14ac:dyDescent="0.35">
      <c r="A1447" t="s">
        <v>1086</v>
      </c>
      <c r="B1447" t="s">
        <v>522</v>
      </c>
      <c r="C1447" t="s">
        <v>366</v>
      </c>
      <c r="D1447">
        <v>2015</v>
      </c>
      <c r="E1447">
        <v>265</v>
      </c>
      <c r="F1447" t="s">
        <v>600</v>
      </c>
      <c r="G1447" t="s">
        <v>163</v>
      </c>
      <c r="H1447" t="s">
        <v>381</v>
      </c>
      <c r="K1447" t="s">
        <v>378</v>
      </c>
      <c r="M1447" t="s">
        <v>970</v>
      </c>
      <c r="N1447" t="s">
        <v>538</v>
      </c>
      <c r="O1447" t="s">
        <v>373</v>
      </c>
      <c r="P1447" t="s">
        <v>374</v>
      </c>
      <c r="Q1447" s="2" t="s">
        <v>230</v>
      </c>
      <c r="R1447" s="3">
        <v>0</v>
      </c>
      <c r="S1447" s="3">
        <v>1.68</v>
      </c>
      <c r="U1447" s="3">
        <v>0</v>
      </c>
      <c r="V1447" s="3">
        <f>25.1/16</f>
        <v>1.5687500000000001</v>
      </c>
      <c r="X1447" t="s">
        <v>1088</v>
      </c>
    </row>
    <row r="1448" spans="1:24" x14ac:dyDescent="0.35">
      <c r="A1448" t="s">
        <v>1086</v>
      </c>
      <c r="B1448" t="s">
        <v>522</v>
      </c>
      <c r="C1448" t="s">
        <v>366</v>
      </c>
      <c r="D1448">
        <v>2015</v>
      </c>
      <c r="E1448">
        <v>265</v>
      </c>
      <c r="F1448" t="s">
        <v>600</v>
      </c>
      <c r="G1448" t="s">
        <v>163</v>
      </c>
      <c r="H1448" t="s">
        <v>381</v>
      </c>
      <c r="K1448" t="s">
        <v>378</v>
      </c>
      <c r="M1448" t="s">
        <v>970</v>
      </c>
      <c r="N1448" t="s">
        <v>538</v>
      </c>
      <c r="O1448" t="s">
        <v>373</v>
      </c>
      <c r="P1448" t="s">
        <v>374</v>
      </c>
      <c r="Q1448" s="2" t="s">
        <v>230</v>
      </c>
      <c r="R1448" s="3">
        <v>17</v>
      </c>
      <c r="S1448" s="3">
        <v>1.69</v>
      </c>
      <c r="U1448" s="3">
        <v>-1.25</v>
      </c>
      <c r="V1448" s="3">
        <f>23.7/16.7</f>
        <v>1.4191616766467066</v>
      </c>
      <c r="X1448" t="s">
        <v>1088</v>
      </c>
    </row>
    <row r="1449" spans="1:24" x14ac:dyDescent="0.35">
      <c r="A1449" t="s">
        <v>1086</v>
      </c>
      <c r="B1449" t="s">
        <v>522</v>
      </c>
      <c r="C1449" t="s">
        <v>366</v>
      </c>
      <c r="D1449">
        <v>2015</v>
      </c>
      <c r="E1449">
        <v>265</v>
      </c>
      <c r="F1449" t="s">
        <v>600</v>
      </c>
      <c r="G1449" t="s">
        <v>163</v>
      </c>
      <c r="H1449" t="s">
        <v>381</v>
      </c>
      <c r="K1449" t="s">
        <v>378</v>
      </c>
      <c r="M1449" t="s">
        <v>970</v>
      </c>
      <c r="N1449" t="s">
        <v>538</v>
      </c>
      <c r="O1449" t="s">
        <v>373</v>
      </c>
      <c r="P1449" t="s">
        <v>374</v>
      </c>
      <c r="Q1449" s="2" t="s">
        <v>230</v>
      </c>
      <c r="R1449" s="3">
        <v>33</v>
      </c>
      <c r="S1449" s="3">
        <v>1.76</v>
      </c>
      <c r="U1449" s="3">
        <v>-2.5</v>
      </c>
      <c r="V1449" s="3">
        <f>22.8/17.2</f>
        <v>1.3255813953488373</v>
      </c>
      <c r="X1449" t="s">
        <v>1088</v>
      </c>
    </row>
    <row r="1450" spans="1:24" x14ac:dyDescent="0.35">
      <c r="A1450" t="s">
        <v>1091</v>
      </c>
      <c r="B1450" t="s">
        <v>398</v>
      </c>
      <c r="C1450" t="s">
        <v>922</v>
      </c>
      <c r="D1450">
        <v>2014</v>
      </c>
      <c r="E1450">
        <v>266</v>
      </c>
      <c r="F1450" t="s">
        <v>863</v>
      </c>
      <c r="G1450" t="s">
        <v>163</v>
      </c>
      <c r="H1450" t="s">
        <v>606</v>
      </c>
      <c r="I1450" t="s">
        <v>1073</v>
      </c>
      <c r="J1450" t="s">
        <v>1092</v>
      </c>
      <c r="K1450" t="s">
        <v>378</v>
      </c>
      <c r="L1450" t="s">
        <v>574</v>
      </c>
      <c r="M1450" t="s">
        <v>359</v>
      </c>
      <c r="N1450" t="s">
        <v>537</v>
      </c>
      <c r="O1450" t="s">
        <v>1090</v>
      </c>
      <c r="P1450" t="s">
        <v>1089</v>
      </c>
      <c r="Q1450" s="2" t="s">
        <v>230</v>
      </c>
      <c r="R1450" s="3">
        <v>0</v>
      </c>
      <c r="S1450" s="3">
        <v>1.43</v>
      </c>
      <c r="U1450" s="3">
        <v>0</v>
      </c>
      <c r="V1450" s="3">
        <f>1/1.6</f>
        <v>0.625</v>
      </c>
    </row>
    <row r="1451" spans="1:24" x14ac:dyDescent="0.35">
      <c r="A1451" t="s">
        <v>1091</v>
      </c>
      <c r="B1451" t="s">
        <v>398</v>
      </c>
      <c r="C1451" t="s">
        <v>922</v>
      </c>
      <c r="D1451">
        <v>2014</v>
      </c>
      <c r="E1451">
        <v>266</v>
      </c>
      <c r="F1451" t="s">
        <v>863</v>
      </c>
      <c r="G1451" t="s">
        <v>163</v>
      </c>
      <c r="H1451" t="s">
        <v>606</v>
      </c>
      <c r="I1451" t="s">
        <v>1073</v>
      </c>
      <c r="J1451" t="s">
        <v>1092</v>
      </c>
      <c r="K1451" t="s">
        <v>378</v>
      </c>
      <c r="L1451" t="s">
        <v>574</v>
      </c>
      <c r="M1451" t="s">
        <v>359</v>
      </c>
      <c r="N1451" t="s">
        <v>537</v>
      </c>
      <c r="O1451" t="s">
        <v>1090</v>
      </c>
      <c r="P1451" t="s">
        <v>1089</v>
      </c>
      <c r="Q1451" s="2" t="s">
        <v>230</v>
      </c>
      <c r="R1451" s="3">
        <v>100</v>
      </c>
      <c r="S1451" s="3">
        <v>1.43</v>
      </c>
      <c r="U1451" s="3">
        <v>-2.6</v>
      </c>
      <c r="V1451" s="3">
        <f>1/0.8</f>
        <v>1.25</v>
      </c>
    </row>
    <row r="1452" spans="1:24" x14ac:dyDescent="0.35">
      <c r="A1452" t="s">
        <v>1093</v>
      </c>
      <c r="B1452" t="s">
        <v>522</v>
      </c>
      <c r="C1452" t="s">
        <v>399</v>
      </c>
      <c r="D1452">
        <v>2014</v>
      </c>
      <c r="E1452">
        <v>267</v>
      </c>
      <c r="F1452" t="s">
        <v>600</v>
      </c>
      <c r="G1452" t="s">
        <v>163</v>
      </c>
      <c r="H1452" t="s">
        <v>193</v>
      </c>
      <c r="K1452" t="s">
        <v>394</v>
      </c>
      <c r="M1452" t="s">
        <v>348</v>
      </c>
      <c r="N1452" t="s">
        <v>538</v>
      </c>
      <c r="O1452" t="s">
        <v>95</v>
      </c>
      <c r="P1452" t="s">
        <v>401</v>
      </c>
      <c r="Q1452" s="2" t="s">
        <v>230</v>
      </c>
      <c r="R1452" s="3">
        <v>0</v>
      </c>
      <c r="S1452" s="3">
        <v>1.92</v>
      </c>
      <c r="T1452" s="3">
        <v>0</v>
      </c>
      <c r="U1452" s="3">
        <v>0</v>
      </c>
    </row>
    <row r="1453" spans="1:24" x14ac:dyDescent="0.35">
      <c r="A1453" t="s">
        <v>1093</v>
      </c>
      <c r="B1453" t="s">
        <v>522</v>
      </c>
      <c r="C1453" t="s">
        <v>399</v>
      </c>
      <c r="D1453">
        <v>2014</v>
      </c>
      <c r="E1453">
        <v>267</v>
      </c>
      <c r="F1453" t="s">
        <v>600</v>
      </c>
      <c r="G1453" t="s">
        <v>163</v>
      </c>
      <c r="H1453" t="s">
        <v>193</v>
      </c>
      <c r="K1453" t="s">
        <v>394</v>
      </c>
      <c r="M1453" t="s">
        <v>348</v>
      </c>
      <c r="N1453" t="s">
        <v>538</v>
      </c>
      <c r="O1453" t="s">
        <v>95</v>
      </c>
      <c r="P1453" t="s">
        <v>401</v>
      </c>
      <c r="Q1453" s="2" t="s">
        <v>230</v>
      </c>
      <c r="R1453" s="3">
        <v>16</v>
      </c>
      <c r="S1453" s="3">
        <v>2.11</v>
      </c>
      <c r="T1453" s="3">
        <v>-0.2</v>
      </c>
      <c r="U1453" s="3">
        <v>0</v>
      </c>
    </row>
    <row r="1454" spans="1:24" x14ac:dyDescent="0.35">
      <c r="A1454" t="s">
        <v>1093</v>
      </c>
      <c r="B1454" t="s">
        <v>522</v>
      </c>
      <c r="C1454" t="s">
        <v>399</v>
      </c>
      <c r="D1454">
        <v>2014</v>
      </c>
      <c r="E1454">
        <v>267</v>
      </c>
      <c r="F1454" t="s">
        <v>600</v>
      </c>
      <c r="G1454" t="s">
        <v>163</v>
      </c>
      <c r="H1454" t="s">
        <v>193</v>
      </c>
      <c r="K1454" t="s">
        <v>394</v>
      </c>
      <c r="M1454" t="s">
        <v>348</v>
      </c>
      <c r="N1454" t="s">
        <v>538</v>
      </c>
      <c r="O1454" t="s">
        <v>95</v>
      </c>
      <c r="P1454" t="s">
        <v>401</v>
      </c>
      <c r="Q1454" s="2" t="s">
        <v>230</v>
      </c>
      <c r="R1454" s="3">
        <v>24</v>
      </c>
      <c r="S1454" s="3">
        <v>1.7</v>
      </c>
      <c r="T1454" s="3">
        <v>-0.4</v>
      </c>
      <c r="U1454" s="3">
        <v>0</v>
      </c>
    </row>
    <row r="1455" spans="1:24" x14ac:dyDescent="0.35">
      <c r="A1455" t="s">
        <v>1093</v>
      </c>
      <c r="B1455" t="s">
        <v>522</v>
      </c>
      <c r="C1455" t="s">
        <v>399</v>
      </c>
      <c r="D1455">
        <v>2014</v>
      </c>
      <c r="E1455">
        <v>267</v>
      </c>
      <c r="F1455" t="s">
        <v>600</v>
      </c>
      <c r="G1455" t="s">
        <v>163</v>
      </c>
      <c r="H1455" t="s">
        <v>193</v>
      </c>
      <c r="K1455" t="s">
        <v>394</v>
      </c>
      <c r="M1455" t="s">
        <v>348</v>
      </c>
      <c r="N1455" t="s">
        <v>538</v>
      </c>
      <c r="O1455" t="s">
        <v>95</v>
      </c>
      <c r="P1455" t="s">
        <v>401</v>
      </c>
      <c r="Q1455" s="2" t="s">
        <v>230</v>
      </c>
      <c r="R1455" s="3">
        <v>32</v>
      </c>
      <c r="S1455" s="3">
        <v>1.86</v>
      </c>
      <c r="T1455" s="3">
        <v>-0.5</v>
      </c>
      <c r="U1455" s="3">
        <v>0</v>
      </c>
    </row>
    <row r="1456" spans="1:24" x14ac:dyDescent="0.35">
      <c r="A1456" t="s">
        <v>1093</v>
      </c>
      <c r="B1456" t="s">
        <v>522</v>
      </c>
      <c r="C1456" t="s">
        <v>399</v>
      </c>
      <c r="D1456">
        <v>2014</v>
      </c>
      <c r="E1456">
        <v>267</v>
      </c>
      <c r="F1456" t="s">
        <v>600</v>
      </c>
      <c r="G1456" t="s">
        <v>163</v>
      </c>
      <c r="H1456" t="s">
        <v>193</v>
      </c>
      <c r="K1456" t="s">
        <v>394</v>
      </c>
      <c r="M1456" t="s">
        <v>348</v>
      </c>
      <c r="N1456" t="s">
        <v>538</v>
      </c>
      <c r="O1456" t="s">
        <v>95</v>
      </c>
      <c r="P1456" t="s">
        <v>401</v>
      </c>
      <c r="Q1456" s="2" t="s">
        <v>230</v>
      </c>
      <c r="R1456" s="3">
        <v>47</v>
      </c>
      <c r="S1456" s="3">
        <v>1.91</v>
      </c>
      <c r="T1456" s="3">
        <v>-0.8</v>
      </c>
      <c r="U1456" s="3">
        <v>0</v>
      </c>
    </row>
    <row r="1457" spans="1:24" x14ac:dyDescent="0.35">
      <c r="A1457" t="s">
        <v>1008</v>
      </c>
      <c r="B1457" t="s">
        <v>468</v>
      </c>
      <c r="C1457" t="s">
        <v>370</v>
      </c>
      <c r="D1457">
        <v>2015</v>
      </c>
      <c r="E1457">
        <v>268</v>
      </c>
      <c r="F1457" t="s">
        <v>600</v>
      </c>
      <c r="G1457" t="s">
        <v>163</v>
      </c>
      <c r="H1457" t="s">
        <v>606</v>
      </c>
      <c r="K1457" t="s">
        <v>394</v>
      </c>
      <c r="M1457" t="s">
        <v>359</v>
      </c>
      <c r="N1457" t="s">
        <v>173</v>
      </c>
      <c r="O1457" t="s">
        <v>439</v>
      </c>
      <c r="P1457" t="s">
        <v>172</v>
      </c>
      <c r="Q1457" s="2" t="s">
        <v>556</v>
      </c>
      <c r="R1457" s="3">
        <v>0</v>
      </c>
      <c r="T1457" s="3">
        <v>0</v>
      </c>
      <c r="U1457" s="3">
        <v>0</v>
      </c>
      <c r="V1457" s="3">
        <v>2.7</v>
      </c>
    </row>
    <row r="1458" spans="1:24" x14ac:dyDescent="0.35">
      <c r="A1458" t="s">
        <v>1008</v>
      </c>
      <c r="B1458" t="s">
        <v>468</v>
      </c>
      <c r="C1458" t="s">
        <v>370</v>
      </c>
      <c r="D1458">
        <v>2015</v>
      </c>
      <c r="E1458">
        <v>268</v>
      </c>
      <c r="F1458" t="s">
        <v>600</v>
      </c>
      <c r="G1458" t="s">
        <v>163</v>
      </c>
      <c r="H1458" t="s">
        <v>606</v>
      </c>
      <c r="K1458" t="s">
        <v>394</v>
      </c>
      <c r="M1458" t="s">
        <v>359</v>
      </c>
      <c r="N1458" t="s">
        <v>173</v>
      </c>
      <c r="O1458" t="s">
        <v>439</v>
      </c>
      <c r="P1458" t="s">
        <v>172</v>
      </c>
      <c r="Q1458" s="2" t="s">
        <v>556</v>
      </c>
      <c r="R1458" s="3">
        <v>25</v>
      </c>
      <c r="T1458" s="3">
        <v>0</v>
      </c>
      <c r="U1458" s="3">
        <v>4.8</v>
      </c>
      <c r="V1458" s="3">
        <v>2.8</v>
      </c>
    </row>
    <row r="1459" spans="1:24" x14ac:dyDescent="0.35">
      <c r="A1459" t="s">
        <v>1008</v>
      </c>
      <c r="B1459" t="s">
        <v>468</v>
      </c>
      <c r="C1459" t="s">
        <v>370</v>
      </c>
      <c r="D1459">
        <v>2015</v>
      </c>
      <c r="E1459">
        <v>268</v>
      </c>
      <c r="F1459" t="s">
        <v>600</v>
      </c>
      <c r="G1459" t="s">
        <v>163</v>
      </c>
      <c r="H1459" t="s">
        <v>606</v>
      </c>
      <c r="K1459" t="s">
        <v>394</v>
      </c>
      <c r="M1459" t="s">
        <v>359</v>
      </c>
      <c r="N1459" t="s">
        <v>173</v>
      </c>
      <c r="O1459" t="s">
        <v>439</v>
      </c>
      <c r="P1459" t="s">
        <v>172</v>
      </c>
      <c r="Q1459" s="2" t="s">
        <v>556</v>
      </c>
      <c r="R1459" s="3">
        <v>50</v>
      </c>
      <c r="T1459" s="3">
        <v>0</v>
      </c>
      <c r="U1459" s="3">
        <v>1.5</v>
      </c>
      <c r="V1459" s="3">
        <v>2.2999999999999998</v>
      </c>
    </row>
    <row r="1460" spans="1:24" x14ac:dyDescent="0.35">
      <c r="A1460" t="s">
        <v>1008</v>
      </c>
      <c r="B1460" t="s">
        <v>468</v>
      </c>
      <c r="C1460" t="s">
        <v>370</v>
      </c>
      <c r="D1460">
        <v>2015</v>
      </c>
      <c r="E1460">
        <v>268</v>
      </c>
      <c r="F1460" t="s">
        <v>600</v>
      </c>
      <c r="G1460" t="s">
        <v>163</v>
      </c>
      <c r="H1460" t="s">
        <v>606</v>
      </c>
      <c r="K1460" t="s">
        <v>394</v>
      </c>
      <c r="M1460" t="s">
        <v>359</v>
      </c>
      <c r="N1460" t="s">
        <v>173</v>
      </c>
      <c r="O1460" t="s">
        <v>439</v>
      </c>
      <c r="P1460" t="s">
        <v>172</v>
      </c>
      <c r="Q1460" s="2" t="s">
        <v>556</v>
      </c>
      <c r="R1460" s="3">
        <v>75</v>
      </c>
      <c r="T1460" s="3">
        <v>0</v>
      </c>
      <c r="U1460" s="3">
        <v>2.2999999999999998</v>
      </c>
      <c r="V1460" s="3">
        <v>1.9</v>
      </c>
    </row>
    <row r="1461" spans="1:24" x14ac:dyDescent="0.35">
      <c r="A1461" t="s">
        <v>1008</v>
      </c>
      <c r="B1461" t="s">
        <v>468</v>
      </c>
      <c r="C1461" t="s">
        <v>370</v>
      </c>
      <c r="D1461">
        <v>2015</v>
      </c>
      <c r="E1461">
        <v>268</v>
      </c>
      <c r="F1461" t="s">
        <v>600</v>
      </c>
      <c r="G1461" t="s">
        <v>163</v>
      </c>
      <c r="H1461" t="s">
        <v>606</v>
      </c>
      <c r="K1461" t="s">
        <v>394</v>
      </c>
      <c r="M1461" t="s">
        <v>359</v>
      </c>
      <c r="N1461" t="s">
        <v>173</v>
      </c>
      <c r="O1461" t="s">
        <v>439</v>
      </c>
      <c r="P1461" t="s">
        <v>172</v>
      </c>
      <c r="Q1461" s="2" t="s">
        <v>556</v>
      </c>
      <c r="R1461" s="3">
        <v>100</v>
      </c>
      <c r="T1461" s="3">
        <v>0</v>
      </c>
      <c r="U1461" s="3">
        <v>1.85</v>
      </c>
      <c r="V1461" s="3">
        <v>1.8</v>
      </c>
    </row>
    <row r="1462" spans="1:24" x14ac:dyDescent="0.35">
      <c r="A1462" t="s">
        <v>1008</v>
      </c>
      <c r="B1462" t="s">
        <v>468</v>
      </c>
      <c r="C1462" t="s">
        <v>370</v>
      </c>
      <c r="D1462">
        <v>2015</v>
      </c>
      <c r="E1462">
        <v>268</v>
      </c>
      <c r="F1462" t="s">
        <v>600</v>
      </c>
      <c r="G1462" t="s">
        <v>163</v>
      </c>
      <c r="H1462" t="s">
        <v>606</v>
      </c>
      <c r="K1462" t="s">
        <v>394</v>
      </c>
      <c r="M1462" t="s">
        <v>359</v>
      </c>
      <c r="N1462" t="s">
        <v>173</v>
      </c>
      <c r="O1462" t="s">
        <v>439</v>
      </c>
      <c r="P1462" t="s">
        <v>172</v>
      </c>
      <c r="Q1462" s="2" t="s">
        <v>556</v>
      </c>
      <c r="R1462" s="3">
        <v>100</v>
      </c>
      <c r="T1462" s="3">
        <v>0</v>
      </c>
      <c r="U1462" s="3">
        <v>0.77</v>
      </c>
      <c r="V1462" s="3">
        <v>2.8</v>
      </c>
    </row>
    <row r="1463" spans="1:24" x14ac:dyDescent="0.35">
      <c r="A1463" t="s">
        <v>1094</v>
      </c>
      <c r="B1463" t="s">
        <v>532</v>
      </c>
      <c r="C1463" t="s">
        <v>485</v>
      </c>
      <c r="D1463">
        <v>2014</v>
      </c>
      <c r="E1463">
        <v>269</v>
      </c>
      <c r="F1463" t="s">
        <v>863</v>
      </c>
      <c r="G1463" t="s">
        <v>829</v>
      </c>
      <c r="H1463" t="s">
        <v>1062</v>
      </c>
      <c r="I1463" t="s">
        <v>1073</v>
      </c>
      <c r="J1463" t="s">
        <v>1092</v>
      </c>
      <c r="K1463" t="s">
        <v>378</v>
      </c>
      <c r="M1463" t="s">
        <v>359</v>
      </c>
      <c r="N1463" t="s">
        <v>380</v>
      </c>
      <c r="O1463" t="s">
        <v>1096</v>
      </c>
      <c r="P1463" t="s">
        <v>1095</v>
      </c>
      <c r="Q1463" s="2" t="s">
        <v>230</v>
      </c>
      <c r="R1463" s="3">
        <v>0</v>
      </c>
      <c r="S1463" s="3">
        <v>1.2</v>
      </c>
      <c r="U1463" s="3">
        <v>0</v>
      </c>
      <c r="V1463" s="3">
        <v>4.46</v>
      </c>
    </row>
    <row r="1464" spans="1:24" x14ac:dyDescent="0.35">
      <c r="A1464" t="s">
        <v>1094</v>
      </c>
      <c r="B1464" t="s">
        <v>532</v>
      </c>
      <c r="C1464" t="s">
        <v>485</v>
      </c>
      <c r="D1464">
        <v>2014</v>
      </c>
      <c r="E1464">
        <v>269</v>
      </c>
      <c r="F1464" t="s">
        <v>863</v>
      </c>
      <c r="G1464" t="s">
        <v>829</v>
      </c>
      <c r="H1464" t="s">
        <v>1062</v>
      </c>
      <c r="I1464" t="s">
        <v>1073</v>
      </c>
      <c r="J1464" t="s">
        <v>1092</v>
      </c>
      <c r="K1464" t="s">
        <v>378</v>
      </c>
      <c r="M1464" t="s">
        <v>359</v>
      </c>
      <c r="N1464" t="s">
        <v>380</v>
      </c>
      <c r="O1464" t="s">
        <v>1096</v>
      </c>
      <c r="P1464" t="s">
        <v>1095</v>
      </c>
      <c r="Q1464" s="2" t="s">
        <v>230</v>
      </c>
      <c r="R1464" s="3">
        <v>100</v>
      </c>
      <c r="S1464" s="3">
        <v>1.3</v>
      </c>
      <c r="U1464" s="3">
        <v>0</v>
      </c>
      <c r="V1464" s="3">
        <v>0.85</v>
      </c>
    </row>
    <row r="1465" spans="1:24" x14ac:dyDescent="0.35">
      <c r="A1465" t="s">
        <v>526</v>
      </c>
      <c r="B1465" t="s">
        <v>522</v>
      </c>
      <c r="C1465" t="s">
        <v>342</v>
      </c>
      <c r="D1465">
        <v>2009</v>
      </c>
      <c r="E1465">
        <v>270</v>
      </c>
      <c r="F1465" t="s">
        <v>600</v>
      </c>
      <c r="G1465" t="s">
        <v>829</v>
      </c>
      <c r="H1465" t="s">
        <v>1062</v>
      </c>
      <c r="K1465" t="s">
        <v>394</v>
      </c>
      <c r="M1465" t="s">
        <v>359</v>
      </c>
      <c r="N1465" t="s">
        <v>380</v>
      </c>
      <c r="O1465" t="s">
        <v>285</v>
      </c>
      <c r="P1465" t="s">
        <v>349</v>
      </c>
      <c r="Q1465" s="2" t="s">
        <v>230</v>
      </c>
      <c r="R1465" s="3">
        <v>0</v>
      </c>
      <c r="T1465" s="3">
        <v>0</v>
      </c>
      <c r="U1465" s="3">
        <v>0</v>
      </c>
      <c r="V1465" s="3">
        <v>2.9436501261564341</v>
      </c>
    </row>
    <row r="1466" spans="1:24" x14ac:dyDescent="0.35">
      <c r="A1466" t="s">
        <v>526</v>
      </c>
      <c r="B1466" t="s">
        <v>522</v>
      </c>
      <c r="C1466" t="s">
        <v>342</v>
      </c>
      <c r="D1466">
        <v>2009</v>
      </c>
      <c r="E1466">
        <v>270</v>
      </c>
      <c r="F1466" t="s">
        <v>600</v>
      </c>
      <c r="G1466" t="s">
        <v>829</v>
      </c>
      <c r="H1466" t="s">
        <v>1062</v>
      </c>
      <c r="K1466" t="s">
        <v>394</v>
      </c>
      <c r="M1466" t="s">
        <v>359</v>
      </c>
      <c r="N1466" t="s">
        <v>380</v>
      </c>
      <c r="O1466" t="s">
        <v>285</v>
      </c>
      <c r="P1466" t="s">
        <v>349</v>
      </c>
      <c r="Q1466" s="2" t="s">
        <v>230</v>
      </c>
      <c r="R1466" s="3">
        <v>100</v>
      </c>
      <c r="T1466" s="3">
        <v>0</v>
      </c>
      <c r="U1466" s="3">
        <v>0</v>
      </c>
      <c r="V1466" s="3">
        <v>0.9123745191856647</v>
      </c>
    </row>
    <row r="1467" spans="1:24" x14ac:dyDescent="0.35">
      <c r="A1467" t="s">
        <v>526</v>
      </c>
      <c r="B1467" t="s">
        <v>522</v>
      </c>
      <c r="C1467" t="s">
        <v>342</v>
      </c>
      <c r="D1467">
        <v>2009</v>
      </c>
      <c r="E1467">
        <v>270</v>
      </c>
      <c r="F1467" t="s">
        <v>600</v>
      </c>
      <c r="G1467" t="s">
        <v>829</v>
      </c>
      <c r="H1467" t="s">
        <v>1062</v>
      </c>
      <c r="K1467" t="s">
        <v>394</v>
      </c>
      <c r="M1467" t="s">
        <v>359</v>
      </c>
      <c r="N1467" t="s">
        <v>380</v>
      </c>
      <c r="O1467" t="s">
        <v>285</v>
      </c>
      <c r="P1467" t="s">
        <v>349</v>
      </c>
      <c r="Q1467" s="2" t="s">
        <v>230</v>
      </c>
      <c r="R1467" s="3">
        <v>0</v>
      </c>
      <c r="T1467" s="3">
        <v>0</v>
      </c>
      <c r="U1467" s="3">
        <v>0</v>
      </c>
      <c r="V1467" s="3">
        <v>3.8513513513513513</v>
      </c>
    </row>
    <row r="1468" spans="1:24" x14ac:dyDescent="0.35">
      <c r="A1468" t="s">
        <v>526</v>
      </c>
      <c r="B1468" t="s">
        <v>522</v>
      </c>
      <c r="C1468" t="s">
        <v>342</v>
      </c>
      <c r="D1468">
        <v>2009</v>
      </c>
      <c r="E1468">
        <v>270</v>
      </c>
      <c r="F1468" t="s">
        <v>600</v>
      </c>
      <c r="G1468" t="s">
        <v>829</v>
      </c>
      <c r="H1468" t="s">
        <v>1062</v>
      </c>
      <c r="K1468" t="s">
        <v>394</v>
      </c>
      <c r="M1468" t="s">
        <v>359</v>
      </c>
      <c r="N1468" t="s">
        <v>380</v>
      </c>
      <c r="O1468" t="s">
        <v>285</v>
      </c>
      <c r="P1468" t="s">
        <v>349</v>
      </c>
      <c r="Q1468" s="2" t="s">
        <v>230</v>
      </c>
      <c r="R1468" s="3">
        <v>93</v>
      </c>
      <c r="T1468" s="3">
        <v>0</v>
      </c>
      <c r="U1468" s="3">
        <v>0</v>
      </c>
      <c r="V1468" s="3">
        <v>0.88871879916656027</v>
      </c>
    </row>
    <row r="1469" spans="1:24" x14ac:dyDescent="0.35">
      <c r="A1469" t="s">
        <v>526</v>
      </c>
      <c r="B1469" t="s">
        <v>522</v>
      </c>
      <c r="C1469" t="s">
        <v>342</v>
      </c>
      <c r="D1469">
        <v>2009</v>
      </c>
      <c r="E1469">
        <v>270</v>
      </c>
      <c r="F1469" t="s">
        <v>600</v>
      </c>
      <c r="G1469" t="s">
        <v>829</v>
      </c>
      <c r="H1469" t="s">
        <v>1062</v>
      </c>
      <c r="K1469" t="s">
        <v>394</v>
      </c>
      <c r="M1469" t="s">
        <v>359</v>
      </c>
      <c r="N1469" t="s">
        <v>380</v>
      </c>
      <c r="O1469" t="s">
        <v>285</v>
      </c>
      <c r="P1469" t="s">
        <v>349</v>
      </c>
      <c r="Q1469" s="2" t="s">
        <v>230</v>
      </c>
      <c r="R1469" s="3">
        <v>0</v>
      </c>
      <c r="T1469" s="3">
        <v>0</v>
      </c>
      <c r="U1469" s="3">
        <v>0</v>
      </c>
      <c r="V1469" s="3">
        <v>4.112903225806452</v>
      </c>
    </row>
    <row r="1470" spans="1:24" x14ac:dyDescent="0.35">
      <c r="A1470" t="s">
        <v>526</v>
      </c>
      <c r="B1470" t="s">
        <v>522</v>
      </c>
      <c r="C1470" t="s">
        <v>342</v>
      </c>
      <c r="D1470">
        <v>2009</v>
      </c>
      <c r="E1470">
        <v>270</v>
      </c>
      <c r="F1470" t="s">
        <v>600</v>
      </c>
      <c r="G1470" t="s">
        <v>829</v>
      </c>
      <c r="H1470" t="s">
        <v>1062</v>
      </c>
      <c r="K1470" t="s">
        <v>394</v>
      </c>
      <c r="M1470" t="s">
        <v>359</v>
      </c>
      <c r="N1470" t="s">
        <v>380</v>
      </c>
      <c r="O1470" t="s">
        <v>285</v>
      </c>
      <c r="P1470" t="s">
        <v>349</v>
      </c>
      <c r="Q1470" s="2" t="s">
        <v>230</v>
      </c>
      <c r="R1470" s="3">
        <v>15</v>
      </c>
      <c r="T1470" s="3">
        <v>0</v>
      </c>
      <c r="U1470" s="3">
        <v>0</v>
      </c>
      <c r="V1470" s="3">
        <v>0.88140379185155293</v>
      </c>
    </row>
    <row r="1471" spans="1:24" x14ac:dyDescent="0.35">
      <c r="A1471" t="s">
        <v>1097</v>
      </c>
      <c r="B1471" t="s">
        <v>522</v>
      </c>
      <c r="C1471" t="s">
        <v>415</v>
      </c>
      <c r="D1471">
        <v>2009</v>
      </c>
      <c r="E1471">
        <v>271</v>
      </c>
      <c r="F1471" t="s">
        <v>863</v>
      </c>
      <c r="G1471" t="s">
        <v>829</v>
      </c>
      <c r="H1471" t="s">
        <v>1062</v>
      </c>
      <c r="I1471" t="s">
        <v>1073</v>
      </c>
      <c r="J1471" t="s">
        <v>1098</v>
      </c>
      <c r="K1471" t="s">
        <v>378</v>
      </c>
      <c r="L1471" t="s">
        <v>1099</v>
      </c>
      <c r="M1471" t="s">
        <v>359</v>
      </c>
      <c r="N1471" t="s">
        <v>538</v>
      </c>
      <c r="O1471" t="s">
        <v>95</v>
      </c>
      <c r="P1471" s="2" t="s">
        <v>401</v>
      </c>
      <c r="Q1471" s="2" t="s">
        <v>891</v>
      </c>
      <c r="R1471" s="3">
        <v>0</v>
      </c>
      <c r="S1471" s="3">
        <f>1/0.72</f>
        <v>1.3888888888888888</v>
      </c>
      <c r="X1471" s="3"/>
    </row>
    <row r="1472" spans="1:24" x14ac:dyDescent="0.35">
      <c r="A1472" t="s">
        <v>1097</v>
      </c>
      <c r="B1472" t="s">
        <v>522</v>
      </c>
      <c r="C1472" t="s">
        <v>415</v>
      </c>
      <c r="D1472">
        <v>2009</v>
      </c>
      <c r="E1472">
        <v>271</v>
      </c>
      <c r="F1472" t="s">
        <v>863</v>
      </c>
      <c r="G1472" t="s">
        <v>829</v>
      </c>
      <c r="H1472" t="s">
        <v>1062</v>
      </c>
      <c r="I1472" t="s">
        <v>1073</v>
      </c>
      <c r="J1472" t="s">
        <v>1098</v>
      </c>
      <c r="K1472" t="s">
        <v>378</v>
      </c>
      <c r="L1472" t="s">
        <v>1099</v>
      </c>
      <c r="M1472" t="s">
        <v>359</v>
      </c>
      <c r="N1472" t="s">
        <v>538</v>
      </c>
      <c r="O1472" t="s">
        <v>95</v>
      </c>
      <c r="P1472" s="2" t="s">
        <v>401</v>
      </c>
      <c r="Q1472" s="2" t="s">
        <v>891</v>
      </c>
      <c r="R1472" s="3">
        <v>65</v>
      </c>
      <c r="S1472" s="3">
        <f>1/0.69</f>
        <v>1.4492753623188408</v>
      </c>
      <c r="X1472" s="3"/>
    </row>
    <row r="1473" spans="1:24" x14ac:dyDescent="0.35">
      <c r="A1473" t="s">
        <v>1097</v>
      </c>
      <c r="B1473" t="s">
        <v>522</v>
      </c>
      <c r="C1473" t="s">
        <v>415</v>
      </c>
      <c r="D1473">
        <v>2009</v>
      </c>
      <c r="E1473">
        <v>271</v>
      </c>
      <c r="F1473" t="s">
        <v>863</v>
      </c>
      <c r="G1473" t="s">
        <v>829</v>
      </c>
      <c r="H1473" t="s">
        <v>1062</v>
      </c>
      <c r="I1473" t="s">
        <v>1073</v>
      </c>
      <c r="J1473" t="s">
        <v>1098</v>
      </c>
      <c r="K1473" t="s">
        <v>378</v>
      </c>
      <c r="L1473" t="s">
        <v>1099</v>
      </c>
      <c r="M1473" t="s">
        <v>359</v>
      </c>
      <c r="N1473" t="s">
        <v>538</v>
      </c>
      <c r="O1473" t="s">
        <v>95</v>
      </c>
      <c r="P1473" s="2" t="s">
        <v>401</v>
      </c>
      <c r="Q1473" s="2" t="s">
        <v>891</v>
      </c>
      <c r="R1473" s="3">
        <v>0</v>
      </c>
      <c r="S1473" s="3">
        <f>1/0.7</f>
        <v>1.4285714285714286</v>
      </c>
      <c r="X1473" s="3"/>
    </row>
    <row r="1474" spans="1:24" x14ac:dyDescent="0.35">
      <c r="A1474" t="s">
        <v>1097</v>
      </c>
      <c r="B1474" t="s">
        <v>522</v>
      </c>
      <c r="C1474" t="s">
        <v>415</v>
      </c>
      <c r="D1474">
        <v>2009</v>
      </c>
      <c r="E1474">
        <v>271</v>
      </c>
      <c r="F1474" t="s">
        <v>863</v>
      </c>
      <c r="G1474" t="s">
        <v>829</v>
      </c>
      <c r="H1474" t="s">
        <v>1062</v>
      </c>
      <c r="I1474" t="s">
        <v>1073</v>
      </c>
      <c r="J1474" t="s">
        <v>1098</v>
      </c>
      <c r="K1474" t="s">
        <v>378</v>
      </c>
      <c r="L1474" t="s">
        <v>1099</v>
      </c>
      <c r="M1474" t="s">
        <v>359</v>
      </c>
      <c r="N1474" t="s">
        <v>538</v>
      </c>
      <c r="O1474" t="s">
        <v>95</v>
      </c>
      <c r="P1474" s="2" t="s">
        <v>401</v>
      </c>
      <c r="Q1474" s="2" t="s">
        <v>891</v>
      </c>
      <c r="R1474" s="3">
        <v>70</v>
      </c>
      <c r="S1474" s="3">
        <f>1/0.63</f>
        <v>1.5873015873015872</v>
      </c>
      <c r="X1474" s="3"/>
    </row>
    <row r="1475" spans="1:24" x14ac:dyDescent="0.35">
      <c r="A1475" t="s">
        <v>1100</v>
      </c>
      <c r="B1475" t="s">
        <v>398</v>
      </c>
      <c r="C1475" t="s">
        <v>533</v>
      </c>
      <c r="D1475">
        <v>2016</v>
      </c>
      <c r="E1475">
        <v>272</v>
      </c>
      <c r="F1475" t="s">
        <v>600</v>
      </c>
      <c r="G1475" t="s">
        <v>829</v>
      </c>
      <c r="H1475" t="s">
        <v>1062</v>
      </c>
      <c r="K1475" t="s">
        <v>394</v>
      </c>
      <c r="M1475" t="s">
        <v>359</v>
      </c>
      <c r="N1475" t="s">
        <v>538</v>
      </c>
      <c r="O1475" t="s">
        <v>948</v>
      </c>
      <c r="P1475" t="s">
        <v>947</v>
      </c>
      <c r="Q1475" s="2" t="s">
        <v>230</v>
      </c>
      <c r="R1475" s="3">
        <v>0</v>
      </c>
      <c r="S1475" s="3">
        <v>1.46</v>
      </c>
      <c r="T1475" s="3">
        <v>0</v>
      </c>
      <c r="U1475" s="3">
        <v>0</v>
      </c>
      <c r="V1475" s="3">
        <f>1/2.12</f>
        <v>0.47169811320754712</v>
      </c>
      <c r="X1475" s="3"/>
    </row>
    <row r="1476" spans="1:24" x14ac:dyDescent="0.35">
      <c r="A1476" t="s">
        <v>1100</v>
      </c>
      <c r="B1476" t="s">
        <v>398</v>
      </c>
      <c r="C1476" t="s">
        <v>533</v>
      </c>
      <c r="D1476">
        <v>2016</v>
      </c>
      <c r="E1476">
        <v>272</v>
      </c>
      <c r="F1476" t="s">
        <v>600</v>
      </c>
      <c r="G1476" t="s">
        <v>829</v>
      </c>
      <c r="H1476" t="s">
        <v>1062</v>
      </c>
      <c r="K1476" t="s">
        <v>394</v>
      </c>
      <c r="M1476" t="s">
        <v>359</v>
      </c>
      <c r="N1476" t="s">
        <v>538</v>
      </c>
      <c r="O1476" t="s">
        <v>948</v>
      </c>
      <c r="P1476" t="s">
        <v>947</v>
      </c>
      <c r="Q1476" s="2" t="s">
        <v>230</v>
      </c>
      <c r="R1476" s="3">
        <v>20</v>
      </c>
      <c r="S1476" s="3">
        <v>1.31</v>
      </c>
      <c r="T1476" s="3">
        <v>0</v>
      </c>
      <c r="U1476" s="3">
        <v>0</v>
      </c>
      <c r="V1476" s="3">
        <f>1/1.28</f>
        <v>0.78125</v>
      </c>
      <c r="X1476" s="3"/>
    </row>
    <row r="1477" spans="1:24" x14ac:dyDescent="0.35">
      <c r="A1477" t="s">
        <v>1100</v>
      </c>
      <c r="B1477" t="s">
        <v>398</v>
      </c>
      <c r="C1477" t="s">
        <v>533</v>
      </c>
      <c r="D1477">
        <v>2016</v>
      </c>
      <c r="E1477">
        <v>272</v>
      </c>
      <c r="F1477" t="s">
        <v>600</v>
      </c>
      <c r="G1477" t="s">
        <v>829</v>
      </c>
      <c r="H1477" t="s">
        <v>1062</v>
      </c>
      <c r="K1477" t="s">
        <v>394</v>
      </c>
      <c r="M1477" t="s">
        <v>359</v>
      </c>
      <c r="N1477" t="s">
        <v>538</v>
      </c>
      <c r="O1477" t="s">
        <v>948</v>
      </c>
      <c r="P1477" t="s">
        <v>947</v>
      </c>
      <c r="Q1477" s="2" t="s">
        <v>230</v>
      </c>
      <c r="R1477" s="3">
        <v>40</v>
      </c>
      <c r="S1477" s="3">
        <v>1.45</v>
      </c>
      <c r="T1477" s="3">
        <v>0</v>
      </c>
      <c r="U1477" s="3">
        <v>0</v>
      </c>
      <c r="V1477" s="3">
        <f>1/0.96</f>
        <v>1.0416666666666667</v>
      </c>
    </row>
    <row r="1478" spans="1:24" x14ac:dyDescent="0.35">
      <c r="A1478" t="s">
        <v>1100</v>
      </c>
      <c r="B1478" t="s">
        <v>398</v>
      </c>
      <c r="C1478" t="s">
        <v>533</v>
      </c>
      <c r="D1478">
        <v>2016</v>
      </c>
      <c r="E1478">
        <v>272</v>
      </c>
      <c r="F1478" t="s">
        <v>600</v>
      </c>
      <c r="G1478" t="s">
        <v>829</v>
      </c>
      <c r="H1478" t="s">
        <v>1062</v>
      </c>
      <c r="K1478" t="s">
        <v>394</v>
      </c>
      <c r="M1478" t="s">
        <v>359</v>
      </c>
      <c r="N1478" t="s">
        <v>538</v>
      </c>
      <c r="O1478" t="s">
        <v>948</v>
      </c>
      <c r="P1478" t="s">
        <v>947</v>
      </c>
      <c r="Q1478" s="2" t="s">
        <v>230</v>
      </c>
      <c r="R1478" s="3">
        <v>60</v>
      </c>
      <c r="S1478" s="3">
        <v>1.53</v>
      </c>
      <c r="T1478" s="3">
        <v>0</v>
      </c>
      <c r="U1478" s="3">
        <v>0</v>
      </c>
      <c r="V1478" s="3">
        <f>1/0.58</f>
        <v>1.7241379310344829</v>
      </c>
    </row>
    <row r="1479" spans="1:24" x14ac:dyDescent="0.35">
      <c r="A1479" t="s">
        <v>1100</v>
      </c>
      <c r="B1479" t="s">
        <v>398</v>
      </c>
      <c r="C1479" t="s">
        <v>533</v>
      </c>
      <c r="D1479">
        <v>2016</v>
      </c>
      <c r="E1479">
        <v>272</v>
      </c>
      <c r="F1479" t="s">
        <v>600</v>
      </c>
      <c r="G1479" t="s">
        <v>829</v>
      </c>
      <c r="H1479" t="s">
        <v>1062</v>
      </c>
      <c r="K1479" t="s">
        <v>394</v>
      </c>
      <c r="M1479" t="s">
        <v>359</v>
      </c>
      <c r="N1479" t="s">
        <v>538</v>
      </c>
      <c r="O1479" t="s">
        <v>948</v>
      </c>
      <c r="P1479" t="s">
        <v>947</v>
      </c>
      <c r="Q1479" s="2" t="s">
        <v>230</v>
      </c>
      <c r="R1479" s="3">
        <v>80</v>
      </c>
      <c r="S1479" s="3">
        <v>1.46</v>
      </c>
      <c r="T1479" s="3">
        <v>0</v>
      </c>
      <c r="U1479" s="3">
        <v>0</v>
      </c>
      <c r="V1479" s="3">
        <f>1/0.44</f>
        <v>2.2727272727272729</v>
      </c>
    </row>
    <row r="1480" spans="1:24" x14ac:dyDescent="0.35">
      <c r="A1480" t="s">
        <v>1100</v>
      </c>
      <c r="B1480" t="s">
        <v>398</v>
      </c>
      <c r="C1480" t="s">
        <v>533</v>
      </c>
      <c r="D1480">
        <v>2016</v>
      </c>
      <c r="E1480">
        <v>272</v>
      </c>
      <c r="F1480" t="s">
        <v>600</v>
      </c>
      <c r="G1480" t="s">
        <v>829</v>
      </c>
      <c r="H1480" t="s">
        <v>1062</v>
      </c>
      <c r="K1480" t="s">
        <v>394</v>
      </c>
      <c r="M1480" t="s">
        <v>359</v>
      </c>
      <c r="N1480" t="s">
        <v>538</v>
      </c>
      <c r="O1480" t="s">
        <v>948</v>
      </c>
      <c r="P1480" t="s">
        <v>947</v>
      </c>
      <c r="Q1480" s="2" t="s">
        <v>230</v>
      </c>
      <c r="R1480" s="3">
        <v>100</v>
      </c>
      <c r="S1480" s="3">
        <v>2.08</v>
      </c>
      <c r="T1480" s="3">
        <v>0</v>
      </c>
      <c r="U1480" s="3">
        <v>0</v>
      </c>
      <c r="V1480" s="3">
        <f>1/0.31</f>
        <v>3.2258064516129035</v>
      </c>
    </row>
    <row r="1481" spans="1:24" x14ac:dyDescent="0.35">
      <c r="A1481" t="s">
        <v>1101</v>
      </c>
      <c r="B1481" t="s">
        <v>468</v>
      </c>
      <c r="C1481" t="s">
        <v>385</v>
      </c>
      <c r="D1481">
        <v>2011</v>
      </c>
      <c r="E1481">
        <v>273</v>
      </c>
      <c r="F1481" t="s">
        <v>600</v>
      </c>
      <c r="G1481" t="s">
        <v>829</v>
      </c>
      <c r="H1481" t="s">
        <v>1062</v>
      </c>
      <c r="K1481" t="s">
        <v>394</v>
      </c>
      <c r="M1481" t="s">
        <v>348</v>
      </c>
      <c r="N1481" t="s">
        <v>173</v>
      </c>
      <c r="O1481" t="s">
        <v>439</v>
      </c>
      <c r="P1481" t="s">
        <v>172</v>
      </c>
      <c r="Q1481" s="2" t="s">
        <v>520</v>
      </c>
      <c r="R1481" s="3">
        <v>0</v>
      </c>
      <c r="S1481" s="3">
        <v>1.96</v>
      </c>
      <c r="T1481" s="3">
        <v>0</v>
      </c>
      <c r="U1481" s="3">
        <v>0</v>
      </c>
      <c r="X1481" t="s">
        <v>1088</v>
      </c>
    </row>
    <row r="1482" spans="1:24" x14ac:dyDescent="0.35">
      <c r="A1482" t="s">
        <v>1101</v>
      </c>
      <c r="B1482" t="s">
        <v>468</v>
      </c>
      <c r="C1482" t="s">
        <v>385</v>
      </c>
      <c r="D1482">
        <v>2011</v>
      </c>
      <c r="E1482">
        <v>273</v>
      </c>
      <c r="F1482" t="s">
        <v>600</v>
      </c>
      <c r="G1482" t="s">
        <v>829</v>
      </c>
      <c r="H1482" t="s">
        <v>1062</v>
      </c>
      <c r="K1482" t="s">
        <v>394</v>
      </c>
      <c r="M1482" t="s">
        <v>348</v>
      </c>
      <c r="N1482" t="s">
        <v>173</v>
      </c>
      <c r="O1482" t="s">
        <v>439</v>
      </c>
      <c r="P1482" t="s">
        <v>172</v>
      </c>
      <c r="Q1482" s="2" t="s">
        <v>520</v>
      </c>
      <c r="R1482" s="3">
        <v>50</v>
      </c>
      <c r="S1482" s="3">
        <v>2</v>
      </c>
      <c r="T1482" s="3">
        <v>1.2</v>
      </c>
      <c r="U1482" s="3">
        <v>-10.8</v>
      </c>
      <c r="X1482" t="s">
        <v>1088</v>
      </c>
    </row>
    <row r="1483" spans="1:24" x14ac:dyDescent="0.35">
      <c r="A1483" t="s">
        <v>1101</v>
      </c>
      <c r="B1483" t="s">
        <v>468</v>
      </c>
      <c r="C1483" t="s">
        <v>385</v>
      </c>
      <c r="D1483">
        <v>2011</v>
      </c>
      <c r="E1483">
        <v>273</v>
      </c>
      <c r="F1483" t="s">
        <v>600</v>
      </c>
      <c r="G1483" t="s">
        <v>829</v>
      </c>
      <c r="H1483" t="s">
        <v>1062</v>
      </c>
      <c r="K1483" t="s">
        <v>394</v>
      </c>
      <c r="M1483" t="s">
        <v>348</v>
      </c>
      <c r="N1483" t="s">
        <v>173</v>
      </c>
      <c r="O1483" t="s">
        <v>439</v>
      </c>
      <c r="P1483" t="s">
        <v>172</v>
      </c>
      <c r="Q1483" s="2" t="s">
        <v>520</v>
      </c>
      <c r="R1483" s="3">
        <v>100</v>
      </c>
      <c r="S1483" s="3">
        <v>1.89</v>
      </c>
      <c r="T1483" s="3">
        <v>2.4</v>
      </c>
      <c r="U1483" s="3">
        <v>-21.6</v>
      </c>
      <c r="X1483" t="s">
        <v>1088</v>
      </c>
    </row>
    <row r="1484" spans="1:24" x14ac:dyDescent="0.35">
      <c r="A1484" t="s">
        <v>1101</v>
      </c>
      <c r="B1484" t="s">
        <v>468</v>
      </c>
      <c r="C1484" t="s">
        <v>385</v>
      </c>
      <c r="D1484">
        <v>2011</v>
      </c>
      <c r="E1484">
        <v>273</v>
      </c>
      <c r="F1484" t="s">
        <v>600</v>
      </c>
      <c r="G1484" t="s">
        <v>829</v>
      </c>
      <c r="H1484" t="s">
        <v>1062</v>
      </c>
      <c r="K1484" t="s">
        <v>394</v>
      </c>
      <c r="M1484" t="s">
        <v>348</v>
      </c>
      <c r="N1484" t="s">
        <v>173</v>
      </c>
      <c r="O1484" t="s">
        <v>439</v>
      </c>
      <c r="P1484" t="s">
        <v>172</v>
      </c>
      <c r="Q1484" s="2" t="s">
        <v>520</v>
      </c>
      <c r="R1484" s="3">
        <v>0</v>
      </c>
      <c r="S1484" s="3">
        <v>1.87</v>
      </c>
      <c r="T1484" s="3">
        <v>0</v>
      </c>
      <c r="U1484" s="3">
        <v>0</v>
      </c>
      <c r="X1484" t="s">
        <v>1088</v>
      </c>
    </row>
    <row r="1485" spans="1:24" x14ac:dyDescent="0.35">
      <c r="A1485" t="s">
        <v>1101</v>
      </c>
      <c r="B1485" t="s">
        <v>468</v>
      </c>
      <c r="C1485" t="s">
        <v>385</v>
      </c>
      <c r="D1485">
        <v>2011</v>
      </c>
      <c r="E1485">
        <v>273</v>
      </c>
      <c r="F1485" t="s">
        <v>600</v>
      </c>
      <c r="G1485" t="s">
        <v>829</v>
      </c>
      <c r="H1485" t="s">
        <v>1062</v>
      </c>
      <c r="K1485" t="s">
        <v>394</v>
      </c>
      <c r="M1485" t="s">
        <v>348</v>
      </c>
      <c r="N1485" t="s">
        <v>173</v>
      </c>
      <c r="O1485" t="s">
        <v>439</v>
      </c>
      <c r="P1485" t="s">
        <v>172</v>
      </c>
      <c r="Q1485" s="2" t="s">
        <v>520</v>
      </c>
      <c r="R1485" s="3">
        <v>50</v>
      </c>
      <c r="S1485" s="3">
        <v>1.83</v>
      </c>
      <c r="T1485" s="3">
        <v>0</v>
      </c>
      <c r="U1485" s="3">
        <v>-10.8</v>
      </c>
      <c r="X1485" t="s">
        <v>1088</v>
      </c>
    </row>
    <row r="1486" spans="1:24" x14ac:dyDescent="0.35">
      <c r="A1486" t="s">
        <v>1101</v>
      </c>
      <c r="B1486" t="s">
        <v>468</v>
      </c>
      <c r="C1486" t="s">
        <v>385</v>
      </c>
      <c r="D1486">
        <v>2011</v>
      </c>
      <c r="E1486">
        <v>273</v>
      </c>
      <c r="F1486" t="s">
        <v>600</v>
      </c>
      <c r="G1486" t="s">
        <v>829</v>
      </c>
      <c r="H1486" t="s">
        <v>1062</v>
      </c>
      <c r="K1486" t="s">
        <v>394</v>
      </c>
      <c r="M1486" t="s">
        <v>348</v>
      </c>
      <c r="N1486" t="s">
        <v>173</v>
      </c>
      <c r="O1486" t="s">
        <v>439</v>
      </c>
      <c r="P1486" t="s">
        <v>172</v>
      </c>
      <c r="Q1486" s="2" t="s">
        <v>520</v>
      </c>
      <c r="R1486" s="3">
        <v>100</v>
      </c>
      <c r="S1486" s="3">
        <v>1.96</v>
      </c>
      <c r="T1486" s="3">
        <v>0</v>
      </c>
      <c r="U1486" s="3">
        <v>-21.6</v>
      </c>
      <c r="X1486" t="s">
        <v>1088</v>
      </c>
    </row>
    <row r="1487" spans="1:24" x14ac:dyDescent="0.35">
      <c r="A1487" t="s">
        <v>1102</v>
      </c>
      <c r="B1487" t="s">
        <v>522</v>
      </c>
      <c r="C1487" t="s">
        <v>797</v>
      </c>
      <c r="D1487">
        <v>2009</v>
      </c>
      <c r="E1487">
        <v>274</v>
      </c>
      <c r="F1487" t="s">
        <v>600</v>
      </c>
      <c r="G1487" t="s">
        <v>829</v>
      </c>
      <c r="H1487" t="s">
        <v>1062</v>
      </c>
      <c r="K1487" t="s">
        <v>394</v>
      </c>
      <c r="M1487" t="s">
        <v>359</v>
      </c>
      <c r="N1487" t="s">
        <v>538</v>
      </c>
      <c r="O1487" t="s">
        <v>95</v>
      </c>
      <c r="P1487" t="s">
        <v>401</v>
      </c>
      <c r="Q1487" s="2" t="s">
        <v>520</v>
      </c>
      <c r="R1487" s="3">
        <v>0</v>
      </c>
      <c r="S1487" s="3">
        <v>1.69</v>
      </c>
      <c r="T1487" s="3">
        <v>0</v>
      </c>
      <c r="U1487" s="3">
        <v>0</v>
      </c>
      <c r="V1487" s="3">
        <v>2.75</v>
      </c>
    </row>
    <row r="1488" spans="1:24" x14ac:dyDescent="0.35">
      <c r="A1488" t="s">
        <v>1102</v>
      </c>
      <c r="B1488" t="s">
        <v>522</v>
      </c>
      <c r="C1488" t="s">
        <v>797</v>
      </c>
      <c r="D1488">
        <v>2009</v>
      </c>
      <c r="E1488">
        <v>274</v>
      </c>
      <c r="F1488" t="s">
        <v>600</v>
      </c>
      <c r="G1488" t="s">
        <v>829</v>
      </c>
      <c r="H1488" t="s">
        <v>1062</v>
      </c>
      <c r="K1488" t="s">
        <v>394</v>
      </c>
      <c r="M1488" t="s">
        <v>359</v>
      </c>
      <c r="N1488" t="s">
        <v>538</v>
      </c>
      <c r="O1488" t="s">
        <v>95</v>
      </c>
      <c r="P1488" t="s">
        <v>401</v>
      </c>
      <c r="Q1488" s="2" t="s">
        <v>520</v>
      </c>
      <c r="R1488" s="3">
        <v>100</v>
      </c>
      <c r="S1488" s="3">
        <v>1.72</v>
      </c>
      <c r="T1488" s="3">
        <v>0</v>
      </c>
      <c r="U1488" s="3">
        <v>0</v>
      </c>
      <c r="V1488" s="3">
        <v>0.56000000000000005</v>
      </c>
    </row>
    <row r="1489" spans="1:24" x14ac:dyDescent="0.35">
      <c r="A1489" t="s">
        <v>1107</v>
      </c>
      <c r="B1489" t="s">
        <v>522</v>
      </c>
      <c r="C1489" t="s">
        <v>456</v>
      </c>
      <c r="D1489">
        <v>2010</v>
      </c>
      <c r="E1489">
        <v>275</v>
      </c>
      <c r="F1489" t="s">
        <v>600</v>
      </c>
      <c r="G1489" t="s">
        <v>829</v>
      </c>
      <c r="H1489" t="s">
        <v>1103</v>
      </c>
      <c r="K1489" t="s">
        <v>394</v>
      </c>
      <c r="M1489" t="s">
        <v>359</v>
      </c>
      <c r="N1489" t="s">
        <v>173</v>
      </c>
      <c r="O1489" t="s">
        <v>439</v>
      </c>
      <c r="P1489" t="s">
        <v>172</v>
      </c>
      <c r="Q1489" s="2" t="s">
        <v>467</v>
      </c>
      <c r="R1489" s="3">
        <v>0</v>
      </c>
      <c r="S1489" s="3">
        <v>1.24</v>
      </c>
      <c r="U1489" s="3">
        <v>0</v>
      </c>
      <c r="V1489" s="3">
        <v>1.49</v>
      </c>
    </row>
    <row r="1490" spans="1:24" x14ac:dyDescent="0.35">
      <c r="A1490" t="s">
        <v>1107</v>
      </c>
      <c r="B1490" t="s">
        <v>522</v>
      </c>
      <c r="C1490" t="s">
        <v>456</v>
      </c>
      <c r="D1490">
        <v>2010</v>
      </c>
      <c r="E1490">
        <v>275</v>
      </c>
      <c r="F1490" t="s">
        <v>600</v>
      </c>
      <c r="G1490" t="s">
        <v>829</v>
      </c>
      <c r="H1490" t="s">
        <v>1103</v>
      </c>
      <c r="K1490" t="s">
        <v>394</v>
      </c>
      <c r="M1490" t="s">
        <v>359</v>
      </c>
      <c r="N1490" t="s">
        <v>173</v>
      </c>
      <c r="O1490" t="s">
        <v>439</v>
      </c>
      <c r="P1490" t="s">
        <v>172</v>
      </c>
      <c r="Q1490" s="2" t="s">
        <v>467</v>
      </c>
      <c r="R1490" s="3">
        <v>50</v>
      </c>
      <c r="S1490" s="3">
        <v>1.19</v>
      </c>
      <c r="U1490" s="3">
        <v>0</v>
      </c>
      <c r="V1490" s="3">
        <v>1</v>
      </c>
    </row>
    <row r="1491" spans="1:24" x14ac:dyDescent="0.35">
      <c r="A1491" t="s">
        <v>1107</v>
      </c>
      <c r="B1491" t="s">
        <v>522</v>
      </c>
      <c r="C1491" t="s">
        <v>456</v>
      </c>
      <c r="D1491">
        <v>2010</v>
      </c>
      <c r="E1491">
        <v>275</v>
      </c>
      <c r="F1491" t="s">
        <v>600</v>
      </c>
      <c r="G1491" t="s">
        <v>829</v>
      </c>
      <c r="H1491" t="s">
        <v>1103</v>
      </c>
      <c r="K1491" t="s">
        <v>394</v>
      </c>
      <c r="M1491" t="s">
        <v>359</v>
      </c>
      <c r="N1491" t="s">
        <v>173</v>
      </c>
      <c r="O1491" t="s">
        <v>439</v>
      </c>
      <c r="P1491" t="s">
        <v>172</v>
      </c>
      <c r="Q1491" s="2" t="s">
        <v>467</v>
      </c>
      <c r="R1491" s="3">
        <v>60</v>
      </c>
      <c r="S1491" s="3">
        <v>1.24</v>
      </c>
      <c r="U1491" s="3">
        <v>0</v>
      </c>
      <c r="V1491" s="3">
        <v>0.88</v>
      </c>
    </row>
    <row r="1492" spans="1:24" x14ac:dyDescent="0.35">
      <c r="A1492" t="s">
        <v>1107</v>
      </c>
      <c r="B1492" t="s">
        <v>522</v>
      </c>
      <c r="C1492" t="s">
        <v>456</v>
      </c>
      <c r="D1492">
        <v>2010</v>
      </c>
      <c r="E1492">
        <v>275</v>
      </c>
      <c r="F1492" t="s">
        <v>600</v>
      </c>
      <c r="G1492" t="s">
        <v>829</v>
      </c>
      <c r="H1492" t="s">
        <v>1103</v>
      </c>
      <c r="K1492" t="s">
        <v>394</v>
      </c>
      <c r="M1492" t="s">
        <v>359</v>
      </c>
      <c r="N1492" t="s">
        <v>173</v>
      </c>
      <c r="O1492" t="s">
        <v>439</v>
      </c>
      <c r="P1492" t="s">
        <v>172</v>
      </c>
      <c r="Q1492" s="2" t="s">
        <v>467</v>
      </c>
      <c r="R1492" s="3">
        <v>70</v>
      </c>
      <c r="S1492" s="3">
        <v>1.1599999999999999</v>
      </c>
      <c r="U1492" s="3">
        <v>0</v>
      </c>
      <c r="V1492" s="3">
        <v>0.74</v>
      </c>
    </row>
    <row r="1493" spans="1:24" x14ac:dyDescent="0.35">
      <c r="A1493" t="s">
        <v>1107</v>
      </c>
      <c r="B1493" t="s">
        <v>522</v>
      </c>
      <c r="C1493" t="s">
        <v>456</v>
      </c>
      <c r="D1493">
        <v>2010</v>
      </c>
      <c r="E1493">
        <v>275</v>
      </c>
      <c r="F1493" t="s">
        <v>600</v>
      </c>
      <c r="G1493" t="s">
        <v>829</v>
      </c>
      <c r="H1493" t="s">
        <v>1103</v>
      </c>
      <c r="K1493" t="s">
        <v>394</v>
      </c>
      <c r="M1493" t="s">
        <v>359</v>
      </c>
      <c r="N1493" t="s">
        <v>173</v>
      </c>
      <c r="O1493" t="s">
        <v>439</v>
      </c>
      <c r="P1493" t="s">
        <v>172</v>
      </c>
      <c r="Q1493" s="2" t="s">
        <v>467</v>
      </c>
      <c r="R1493" s="3">
        <v>80</v>
      </c>
      <c r="S1493" s="3">
        <v>1.26</v>
      </c>
      <c r="U1493" s="3">
        <v>0</v>
      </c>
      <c r="V1493" s="3">
        <v>0.63</v>
      </c>
    </row>
    <row r="1494" spans="1:24" x14ac:dyDescent="0.35">
      <c r="A1494" t="s">
        <v>1107</v>
      </c>
      <c r="B1494" t="s">
        <v>522</v>
      </c>
      <c r="C1494" t="s">
        <v>456</v>
      </c>
      <c r="D1494">
        <v>2010</v>
      </c>
      <c r="E1494">
        <v>275</v>
      </c>
      <c r="F1494" t="s">
        <v>600</v>
      </c>
      <c r="G1494" t="s">
        <v>829</v>
      </c>
      <c r="H1494" t="s">
        <v>1103</v>
      </c>
      <c r="K1494" t="s">
        <v>394</v>
      </c>
      <c r="M1494" t="s">
        <v>359</v>
      </c>
      <c r="N1494" t="s">
        <v>173</v>
      </c>
      <c r="O1494" t="s">
        <v>439</v>
      </c>
      <c r="P1494" t="s">
        <v>172</v>
      </c>
      <c r="Q1494" s="2" t="s">
        <v>467</v>
      </c>
      <c r="R1494" s="3">
        <v>90</v>
      </c>
      <c r="S1494" s="3">
        <v>1.18</v>
      </c>
      <c r="U1494" s="3">
        <v>0</v>
      </c>
      <c r="V1494" s="3">
        <v>0.45</v>
      </c>
    </row>
    <row r="1495" spans="1:24" x14ac:dyDescent="0.35">
      <c r="A1495" t="s">
        <v>1107</v>
      </c>
      <c r="B1495" t="s">
        <v>522</v>
      </c>
      <c r="C1495" t="s">
        <v>456</v>
      </c>
      <c r="D1495">
        <v>2010</v>
      </c>
      <c r="E1495">
        <v>275</v>
      </c>
      <c r="F1495" t="s">
        <v>863</v>
      </c>
      <c r="G1495" t="s">
        <v>829</v>
      </c>
      <c r="H1495" t="s">
        <v>1104</v>
      </c>
      <c r="I1495" t="s">
        <v>1073</v>
      </c>
      <c r="J1495" t="s">
        <v>1092</v>
      </c>
      <c r="K1495" t="s">
        <v>394</v>
      </c>
      <c r="M1495" t="s">
        <v>359</v>
      </c>
      <c r="N1495" t="s">
        <v>173</v>
      </c>
      <c r="O1495" t="s">
        <v>439</v>
      </c>
      <c r="P1495" t="s">
        <v>172</v>
      </c>
      <c r="Q1495" s="2" t="s">
        <v>467</v>
      </c>
      <c r="R1495" s="3">
        <v>0</v>
      </c>
      <c r="S1495" s="3">
        <v>1.24</v>
      </c>
      <c r="U1495" s="3">
        <v>0</v>
      </c>
      <c r="V1495" s="3">
        <v>1.49</v>
      </c>
    </row>
    <row r="1496" spans="1:24" x14ac:dyDescent="0.35">
      <c r="A1496" t="s">
        <v>1107</v>
      </c>
      <c r="B1496" t="s">
        <v>522</v>
      </c>
      <c r="C1496" t="s">
        <v>456</v>
      </c>
      <c r="D1496">
        <v>2010</v>
      </c>
      <c r="E1496">
        <v>275</v>
      </c>
      <c r="F1496" t="s">
        <v>600</v>
      </c>
      <c r="G1496" t="s">
        <v>829</v>
      </c>
      <c r="H1496" t="s">
        <v>1104</v>
      </c>
      <c r="I1496" t="s">
        <v>1073</v>
      </c>
      <c r="J1496" t="s">
        <v>1092</v>
      </c>
      <c r="K1496" t="s">
        <v>394</v>
      </c>
      <c r="M1496" t="s">
        <v>359</v>
      </c>
      <c r="N1496" t="s">
        <v>173</v>
      </c>
      <c r="O1496" t="s">
        <v>439</v>
      </c>
      <c r="P1496" t="s">
        <v>172</v>
      </c>
      <c r="Q1496" s="2" t="s">
        <v>467</v>
      </c>
      <c r="R1496" s="3">
        <v>60</v>
      </c>
      <c r="S1496" s="3">
        <v>1.19</v>
      </c>
      <c r="U1496" s="3">
        <v>0</v>
      </c>
      <c r="V1496" s="3">
        <v>0.95</v>
      </c>
    </row>
    <row r="1497" spans="1:24" x14ac:dyDescent="0.35">
      <c r="A1497" t="s">
        <v>1107</v>
      </c>
      <c r="B1497" t="s">
        <v>522</v>
      </c>
      <c r="C1497" t="s">
        <v>456</v>
      </c>
      <c r="D1497">
        <v>2010</v>
      </c>
      <c r="E1497">
        <v>275</v>
      </c>
      <c r="F1497" t="s">
        <v>600</v>
      </c>
      <c r="G1497" t="s">
        <v>829</v>
      </c>
      <c r="H1497" t="s">
        <v>1104</v>
      </c>
      <c r="I1497" t="s">
        <v>1073</v>
      </c>
      <c r="J1497" t="s">
        <v>1092</v>
      </c>
      <c r="K1497" t="s">
        <v>394</v>
      </c>
      <c r="M1497" t="s">
        <v>359</v>
      </c>
      <c r="N1497" t="s">
        <v>173</v>
      </c>
      <c r="O1497" t="s">
        <v>439</v>
      </c>
      <c r="P1497" t="s">
        <v>172</v>
      </c>
      <c r="Q1497" s="2" t="s">
        <v>467</v>
      </c>
      <c r="R1497" s="3">
        <v>70</v>
      </c>
      <c r="S1497" s="3">
        <v>1.3</v>
      </c>
      <c r="U1497" s="3">
        <v>0</v>
      </c>
      <c r="V1497" s="3">
        <v>0.84</v>
      </c>
    </row>
    <row r="1498" spans="1:24" x14ac:dyDescent="0.35">
      <c r="A1498" t="s">
        <v>1107</v>
      </c>
      <c r="B1498" t="s">
        <v>522</v>
      </c>
      <c r="C1498" t="s">
        <v>456</v>
      </c>
      <c r="D1498">
        <v>2010</v>
      </c>
      <c r="E1498">
        <v>275</v>
      </c>
      <c r="F1498" t="s">
        <v>600</v>
      </c>
      <c r="G1498" t="s">
        <v>829</v>
      </c>
      <c r="H1498" t="s">
        <v>1104</v>
      </c>
      <c r="I1498" t="s">
        <v>1073</v>
      </c>
      <c r="J1498" t="s">
        <v>1092</v>
      </c>
      <c r="K1498" t="s">
        <v>394</v>
      </c>
      <c r="M1498" t="s">
        <v>359</v>
      </c>
      <c r="N1498" t="s">
        <v>173</v>
      </c>
      <c r="O1498" t="s">
        <v>439</v>
      </c>
      <c r="P1498" t="s">
        <v>172</v>
      </c>
      <c r="Q1498" s="2" t="s">
        <v>467</v>
      </c>
      <c r="R1498" s="3">
        <v>80</v>
      </c>
      <c r="S1498" s="3">
        <v>1.25</v>
      </c>
      <c r="U1498" s="3">
        <v>0</v>
      </c>
      <c r="V1498" s="3">
        <v>0.72</v>
      </c>
    </row>
    <row r="1499" spans="1:24" x14ac:dyDescent="0.35">
      <c r="A1499" t="s">
        <v>1107</v>
      </c>
      <c r="B1499" t="s">
        <v>522</v>
      </c>
      <c r="C1499" t="s">
        <v>456</v>
      </c>
      <c r="D1499">
        <v>2010</v>
      </c>
      <c r="E1499">
        <v>275</v>
      </c>
      <c r="F1499" t="s">
        <v>600</v>
      </c>
      <c r="G1499" t="s">
        <v>829</v>
      </c>
      <c r="H1499" t="s">
        <v>1104</v>
      </c>
      <c r="I1499" t="s">
        <v>1073</v>
      </c>
      <c r="J1499" t="s">
        <v>1092</v>
      </c>
      <c r="K1499" t="s">
        <v>394</v>
      </c>
      <c r="M1499" t="s">
        <v>359</v>
      </c>
      <c r="N1499" t="s">
        <v>173</v>
      </c>
      <c r="O1499" t="s">
        <v>439</v>
      </c>
      <c r="P1499" t="s">
        <v>172</v>
      </c>
      <c r="Q1499" s="2" t="s">
        <v>467</v>
      </c>
      <c r="R1499" s="3">
        <v>90</v>
      </c>
      <c r="S1499" s="3">
        <v>1.24</v>
      </c>
      <c r="U1499" s="3">
        <v>0</v>
      </c>
      <c r="V1499" s="3">
        <v>0.61</v>
      </c>
    </row>
    <row r="1500" spans="1:24" x14ac:dyDescent="0.35">
      <c r="A1500" t="s">
        <v>1107</v>
      </c>
      <c r="B1500" t="s">
        <v>522</v>
      </c>
      <c r="C1500" t="s">
        <v>1108</v>
      </c>
      <c r="D1500">
        <v>2016</v>
      </c>
      <c r="E1500">
        <v>276</v>
      </c>
      <c r="F1500" t="s">
        <v>600</v>
      </c>
      <c r="G1500" t="s">
        <v>829</v>
      </c>
      <c r="H1500" t="s">
        <v>1062</v>
      </c>
      <c r="K1500" t="s">
        <v>394</v>
      </c>
      <c r="M1500" t="s">
        <v>359</v>
      </c>
      <c r="N1500" t="s">
        <v>538</v>
      </c>
      <c r="O1500" t="s">
        <v>1106</v>
      </c>
      <c r="P1500" t="s">
        <v>1105</v>
      </c>
      <c r="Q1500" s="2" t="s">
        <v>230</v>
      </c>
      <c r="R1500" s="3">
        <v>0</v>
      </c>
      <c r="S1500" s="3">
        <f>1/0.22</f>
        <v>4.5454545454545459</v>
      </c>
      <c r="T1500" s="3">
        <v>0</v>
      </c>
      <c r="U1500" s="3">
        <v>0</v>
      </c>
      <c r="V1500" s="3">
        <v>1.63</v>
      </c>
      <c r="W1500" s="3" t="s">
        <v>1111</v>
      </c>
      <c r="X1500" t="s">
        <v>1112</v>
      </c>
    </row>
    <row r="1501" spans="1:24" x14ac:dyDescent="0.35">
      <c r="A1501" t="s">
        <v>1107</v>
      </c>
      <c r="B1501" t="s">
        <v>522</v>
      </c>
      <c r="C1501" t="s">
        <v>1108</v>
      </c>
      <c r="D1501">
        <v>2016</v>
      </c>
      <c r="E1501">
        <v>276</v>
      </c>
      <c r="F1501" t="s">
        <v>600</v>
      </c>
      <c r="G1501" t="s">
        <v>829</v>
      </c>
      <c r="H1501" t="s">
        <v>1062</v>
      </c>
      <c r="K1501" t="s">
        <v>394</v>
      </c>
      <c r="M1501" t="s">
        <v>359</v>
      </c>
      <c r="N1501" t="s">
        <v>538</v>
      </c>
      <c r="O1501" t="s">
        <v>1106</v>
      </c>
      <c r="P1501" t="s">
        <v>1105</v>
      </c>
      <c r="Q1501" s="2" t="s">
        <v>230</v>
      </c>
      <c r="R1501" s="3">
        <v>0</v>
      </c>
      <c r="S1501" s="3">
        <f>1/0.31</f>
        <v>3.2258064516129035</v>
      </c>
      <c r="T1501" s="3">
        <v>0</v>
      </c>
      <c r="U1501" s="3">
        <v>-4.5</v>
      </c>
      <c r="V1501" s="3">
        <v>1.8</v>
      </c>
      <c r="W1501" s="3" t="s">
        <v>1111</v>
      </c>
      <c r="X1501" t="s">
        <v>1112</v>
      </c>
    </row>
    <row r="1502" spans="1:24" x14ac:dyDescent="0.35">
      <c r="A1502" t="s">
        <v>1107</v>
      </c>
      <c r="B1502" t="s">
        <v>522</v>
      </c>
      <c r="C1502" t="s">
        <v>1108</v>
      </c>
      <c r="D1502">
        <v>2016</v>
      </c>
      <c r="E1502">
        <v>276</v>
      </c>
      <c r="F1502" t="s">
        <v>600</v>
      </c>
      <c r="G1502" t="s">
        <v>829</v>
      </c>
      <c r="H1502" t="s">
        <v>1062</v>
      </c>
      <c r="K1502" t="s">
        <v>394</v>
      </c>
      <c r="M1502" t="s">
        <v>359</v>
      </c>
      <c r="N1502" t="s">
        <v>538</v>
      </c>
      <c r="O1502" t="s">
        <v>1106</v>
      </c>
      <c r="P1502" t="s">
        <v>1105</v>
      </c>
      <c r="Q1502" s="2" t="s">
        <v>230</v>
      </c>
      <c r="R1502" s="3">
        <v>0</v>
      </c>
      <c r="S1502" s="3">
        <f>1/0.33</f>
        <v>3.0303030303030303</v>
      </c>
      <c r="T1502" s="3">
        <v>0</v>
      </c>
      <c r="U1502" s="3">
        <v>-9.1999999999999993</v>
      </c>
      <c r="V1502" s="3">
        <v>2.08</v>
      </c>
      <c r="W1502" s="3" t="s">
        <v>1111</v>
      </c>
      <c r="X1502" t="s">
        <v>1112</v>
      </c>
    </row>
    <row r="1503" spans="1:24" x14ac:dyDescent="0.35">
      <c r="A1503" t="s">
        <v>1107</v>
      </c>
      <c r="B1503" t="s">
        <v>522</v>
      </c>
      <c r="C1503" t="s">
        <v>1108</v>
      </c>
      <c r="D1503">
        <v>2016</v>
      </c>
      <c r="E1503">
        <v>276</v>
      </c>
      <c r="F1503" t="s">
        <v>600</v>
      </c>
      <c r="G1503" t="s">
        <v>829</v>
      </c>
      <c r="H1503" t="s">
        <v>1062</v>
      </c>
      <c r="K1503" t="s">
        <v>394</v>
      </c>
      <c r="M1503" t="s">
        <v>359</v>
      </c>
      <c r="N1503" t="s">
        <v>538</v>
      </c>
      <c r="O1503" t="s">
        <v>1106</v>
      </c>
      <c r="P1503" t="s">
        <v>1105</v>
      </c>
      <c r="Q1503" s="2" t="s">
        <v>230</v>
      </c>
      <c r="R1503" s="3">
        <v>25</v>
      </c>
      <c r="S1503" s="3">
        <f>1/0.26</f>
        <v>3.8461538461538458</v>
      </c>
      <c r="T1503" s="3">
        <v>0</v>
      </c>
      <c r="U1503" s="3">
        <v>0</v>
      </c>
      <c r="V1503" s="3">
        <v>1.57</v>
      </c>
      <c r="W1503" s="3" t="s">
        <v>1111</v>
      </c>
      <c r="X1503" t="s">
        <v>1112</v>
      </c>
    </row>
    <row r="1504" spans="1:24" x14ac:dyDescent="0.35">
      <c r="A1504" t="s">
        <v>1107</v>
      </c>
      <c r="B1504" t="s">
        <v>522</v>
      </c>
      <c r="C1504" t="s">
        <v>1108</v>
      </c>
      <c r="D1504">
        <v>2016</v>
      </c>
      <c r="E1504">
        <v>276</v>
      </c>
      <c r="F1504" t="s">
        <v>600</v>
      </c>
      <c r="G1504" t="s">
        <v>829</v>
      </c>
      <c r="H1504" t="s">
        <v>1062</v>
      </c>
      <c r="K1504" t="s">
        <v>394</v>
      </c>
      <c r="M1504" t="s">
        <v>359</v>
      </c>
      <c r="N1504" t="s">
        <v>538</v>
      </c>
      <c r="O1504" t="s">
        <v>1106</v>
      </c>
      <c r="P1504" t="s">
        <v>1105</v>
      </c>
      <c r="Q1504" s="2" t="s">
        <v>230</v>
      </c>
      <c r="R1504" s="3">
        <v>25</v>
      </c>
      <c r="S1504" s="3">
        <f>1/0.29</f>
        <v>3.4482758620689657</v>
      </c>
      <c r="T1504" s="3">
        <v>0</v>
      </c>
      <c r="U1504" s="3">
        <v>-4.5</v>
      </c>
      <c r="V1504" s="3">
        <v>1.46</v>
      </c>
      <c r="W1504" s="3" t="s">
        <v>1111</v>
      </c>
      <c r="X1504" t="s">
        <v>1112</v>
      </c>
    </row>
    <row r="1505" spans="1:24" x14ac:dyDescent="0.35">
      <c r="A1505" t="s">
        <v>1107</v>
      </c>
      <c r="B1505" t="s">
        <v>522</v>
      </c>
      <c r="C1505" t="s">
        <v>1108</v>
      </c>
      <c r="D1505">
        <v>2016</v>
      </c>
      <c r="E1505">
        <v>276</v>
      </c>
      <c r="F1505" t="s">
        <v>600</v>
      </c>
      <c r="G1505" t="s">
        <v>829</v>
      </c>
      <c r="H1505" t="s">
        <v>1062</v>
      </c>
      <c r="K1505" t="s">
        <v>394</v>
      </c>
      <c r="M1505" t="s">
        <v>359</v>
      </c>
      <c r="N1505" t="s">
        <v>538</v>
      </c>
      <c r="O1505" t="s">
        <v>1106</v>
      </c>
      <c r="P1505" t="s">
        <v>1105</v>
      </c>
      <c r="Q1505" s="2" t="s">
        <v>230</v>
      </c>
      <c r="R1505" s="3">
        <v>25</v>
      </c>
      <c r="S1505" s="3">
        <f>1/0.25</f>
        <v>4</v>
      </c>
      <c r="T1505" s="3">
        <v>0</v>
      </c>
      <c r="U1505" s="3">
        <v>-9.1999999999999993</v>
      </c>
      <c r="V1505" s="3">
        <v>1.44</v>
      </c>
      <c r="W1505" s="3" t="s">
        <v>1111</v>
      </c>
      <c r="X1505" t="s">
        <v>1112</v>
      </c>
    </row>
    <row r="1506" spans="1:24" x14ac:dyDescent="0.35">
      <c r="A1506" t="s">
        <v>1107</v>
      </c>
      <c r="B1506" t="s">
        <v>522</v>
      </c>
      <c r="C1506" t="s">
        <v>1108</v>
      </c>
      <c r="D1506">
        <v>2016</v>
      </c>
      <c r="E1506">
        <v>276</v>
      </c>
      <c r="F1506" t="s">
        <v>600</v>
      </c>
      <c r="G1506" t="s">
        <v>829</v>
      </c>
      <c r="H1506" t="s">
        <v>1062</v>
      </c>
      <c r="K1506" t="s">
        <v>394</v>
      </c>
      <c r="M1506" t="s">
        <v>359</v>
      </c>
      <c r="N1506" t="s">
        <v>538</v>
      </c>
      <c r="O1506" t="s">
        <v>1106</v>
      </c>
      <c r="P1506" t="s">
        <v>1105</v>
      </c>
      <c r="Q1506" s="2" t="s">
        <v>230</v>
      </c>
      <c r="R1506" s="3">
        <v>50</v>
      </c>
      <c r="S1506" s="3">
        <f>1/0.25</f>
        <v>4</v>
      </c>
      <c r="T1506" s="3">
        <v>0</v>
      </c>
      <c r="U1506" s="3">
        <v>0</v>
      </c>
      <c r="V1506" s="3">
        <v>1.55</v>
      </c>
      <c r="W1506" s="3" t="s">
        <v>1111</v>
      </c>
      <c r="X1506" t="s">
        <v>1112</v>
      </c>
    </row>
    <row r="1507" spans="1:24" x14ac:dyDescent="0.35">
      <c r="A1507" t="s">
        <v>1107</v>
      </c>
      <c r="B1507" t="s">
        <v>522</v>
      </c>
      <c r="C1507" t="s">
        <v>1108</v>
      </c>
      <c r="D1507">
        <v>2016</v>
      </c>
      <c r="E1507">
        <v>276</v>
      </c>
      <c r="F1507" t="s">
        <v>600</v>
      </c>
      <c r="G1507" t="s">
        <v>829</v>
      </c>
      <c r="H1507" t="s">
        <v>1062</v>
      </c>
      <c r="K1507" t="s">
        <v>394</v>
      </c>
      <c r="M1507" t="s">
        <v>359</v>
      </c>
      <c r="N1507" t="s">
        <v>538</v>
      </c>
      <c r="O1507" t="s">
        <v>1106</v>
      </c>
      <c r="P1507" t="s">
        <v>1105</v>
      </c>
      <c r="Q1507" s="2" t="s">
        <v>230</v>
      </c>
      <c r="R1507" s="3">
        <v>50</v>
      </c>
      <c r="S1507" s="3">
        <f>1/0.27</f>
        <v>3.7037037037037033</v>
      </c>
      <c r="T1507" s="3">
        <v>0</v>
      </c>
      <c r="U1507" s="3">
        <v>-4.5</v>
      </c>
      <c r="V1507" s="3">
        <v>1.17</v>
      </c>
      <c r="W1507" s="3" t="s">
        <v>1111</v>
      </c>
      <c r="X1507" t="s">
        <v>1112</v>
      </c>
    </row>
    <row r="1508" spans="1:24" x14ac:dyDescent="0.35">
      <c r="A1508" t="s">
        <v>1107</v>
      </c>
      <c r="B1508" t="s">
        <v>522</v>
      </c>
      <c r="C1508" t="s">
        <v>1108</v>
      </c>
      <c r="D1508">
        <v>2016</v>
      </c>
      <c r="E1508">
        <v>276</v>
      </c>
      <c r="F1508" t="s">
        <v>600</v>
      </c>
      <c r="G1508" t="s">
        <v>829</v>
      </c>
      <c r="H1508" t="s">
        <v>1062</v>
      </c>
      <c r="K1508" t="s">
        <v>394</v>
      </c>
      <c r="M1508" t="s">
        <v>359</v>
      </c>
      <c r="N1508" t="s">
        <v>538</v>
      </c>
      <c r="O1508" t="s">
        <v>1106</v>
      </c>
      <c r="P1508" t="s">
        <v>1105</v>
      </c>
      <c r="Q1508" s="2" t="s">
        <v>230</v>
      </c>
      <c r="R1508" s="3">
        <v>50</v>
      </c>
      <c r="S1508" s="3">
        <f>1/0.32</f>
        <v>3.125</v>
      </c>
      <c r="T1508" s="3">
        <v>0</v>
      </c>
      <c r="U1508" s="3">
        <v>-9.1999999999999993</v>
      </c>
      <c r="V1508" s="3">
        <v>1.07</v>
      </c>
      <c r="W1508" s="3" t="s">
        <v>1111</v>
      </c>
      <c r="X1508" t="s">
        <v>1112</v>
      </c>
    </row>
    <row r="1509" spans="1:24" x14ac:dyDescent="0.35">
      <c r="A1509" t="s">
        <v>1107</v>
      </c>
      <c r="B1509" t="s">
        <v>522</v>
      </c>
      <c r="C1509" t="s">
        <v>1108</v>
      </c>
      <c r="D1509">
        <v>2016</v>
      </c>
      <c r="E1509">
        <v>276</v>
      </c>
      <c r="F1509" t="s">
        <v>600</v>
      </c>
      <c r="G1509" t="s">
        <v>829</v>
      </c>
      <c r="H1509" t="s">
        <v>1062</v>
      </c>
      <c r="K1509" t="s">
        <v>394</v>
      </c>
      <c r="M1509" t="s">
        <v>359</v>
      </c>
      <c r="N1509" t="s">
        <v>538</v>
      </c>
      <c r="O1509" t="s">
        <v>1106</v>
      </c>
      <c r="P1509" t="s">
        <v>1105</v>
      </c>
      <c r="Q1509" s="2" t="s">
        <v>230</v>
      </c>
      <c r="R1509" s="3">
        <v>0</v>
      </c>
      <c r="S1509" s="3">
        <f>1/0.22</f>
        <v>4.5454545454545459</v>
      </c>
      <c r="T1509" s="3">
        <v>0</v>
      </c>
      <c r="U1509" s="3">
        <v>0</v>
      </c>
      <c r="V1509" s="3">
        <v>1.63</v>
      </c>
      <c r="W1509" s="3" t="s">
        <v>1110</v>
      </c>
      <c r="X1509" t="s">
        <v>1112</v>
      </c>
    </row>
    <row r="1510" spans="1:24" x14ac:dyDescent="0.35">
      <c r="A1510" t="s">
        <v>1107</v>
      </c>
      <c r="B1510" t="s">
        <v>522</v>
      </c>
      <c r="C1510" t="s">
        <v>1108</v>
      </c>
      <c r="D1510">
        <v>2016</v>
      </c>
      <c r="E1510">
        <v>276</v>
      </c>
      <c r="F1510" t="s">
        <v>600</v>
      </c>
      <c r="G1510" t="s">
        <v>829</v>
      </c>
      <c r="H1510" t="s">
        <v>1062</v>
      </c>
      <c r="K1510" t="s">
        <v>394</v>
      </c>
      <c r="M1510" t="s">
        <v>359</v>
      </c>
      <c r="N1510" t="s">
        <v>538</v>
      </c>
      <c r="O1510" t="s">
        <v>1106</v>
      </c>
      <c r="P1510" t="s">
        <v>1105</v>
      </c>
      <c r="Q1510" s="2" t="s">
        <v>230</v>
      </c>
      <c r="R1510" s="3">
        <v>0</v>
      </c>
      <c r="S1510" s="3">
        <f>1/0.31</f>
        <v>3.2258064516129035</v>
      </c>
      <c r="T1510" s="3">
        <v>0</v>
      </c>
      <c r="U1510" s="3">
        <v>-4.5</v>
      </c>
      <c r="V1510" s="3">
        <v>1.8</v>
      </c>
      <c r="W1510" s="3" t="s">
        <v>1110</v>
      </c>
      <c r="X1510" t="s">
        <v>1112</v>
      </c>
    </row>
    <row r="1511" spans="1:24" x14ac:dyDescent="0.35">
      <c r="A1511" t="s">
        <v>1107</v>
      </c>
      <c r="B1511" t="s">
        <v>522</v>
      </c>
      <c r="C1511" t="s">
        <v>1108</v>
      </c>
      <c r="D1511">
        <v>2016</v>
      </c>
      <c r="E1511">
        <v>276</v>
      </c>
      <c r="F1511" t="s">
        <v>600</v>
      </c>
      <c r="G1511" t="s">
        <v>829</v>
      </c>
      <c r="H1511" t="s">
        <v>1062</v>
      </c>
      <c r="K1511" t="s">
        <v>394</v>
      </c>
      <c r="M1511" t="s">
        <v>359</v>
      </c>
      <c r="N1511" t="s">
        <v>538</v>
      </c>
      <c r="O1511" t="s">
        <v>1106</v>
      </c>
      <c r="P1511" t="s">
        <v>1105</v>
      </c>
      <c r="Q1511" s="2" t="s">
        <v>230</v>
      </c>
      <c r="R1511" s="3">
        <v>0</v>
      </c>
      <c r="S1511" s="3">
        <f>1/0.33</f>
        <v>3.0303030303030303</v>
      </c>
      <c r="T1511" s="3">
        <v>0</v>
      </c>
      <c r="U1511" s="3">
        <v>-9.1999999999999993</v>
      </c>
      <c r="V1511" s="3">
        <v>2.08</v>
      </c>
      <c r="W1511" s="3" t="s">
        <v>1110</v>
      </c>
      <c r="X1511" t="s">
        <v>1112</v>
      </c>
    </row>
    <row r="1512" spans="1:24" x14ac:dyDescent="0.35">
      <c r="A1512" t="s">
        <v>1107</v>
      </c>
      <c r="B1512" t="s">
        <v>522</v>
      </c>
      <c r="C1512" t="s">
        <v>1108</v>
      </c>
      <c r="D1512">
        <v>2016</v>
      </c>
      <c r="E1512">
        <v>276</v>
      </c>
      <c r="F1512" t="s">
        <v>600</v>
      </c>
      <c r="G1512" t="s">
        <v>829</v>
      </c>
      <c r="H1512" t="s">
        <v>1062</v>
      </c>
      <c r="K1512" t="s">
        <v>394</v>
      </c>
      <c r="M1512" t="s">
        <v>359</v>
      </c>
      <c r="N1512" t="s">
        <v>538</v>
      </c>
      <c r="O1512" t="s">
        <v>1106</v>
      </c>
      <c r="P1512" t="s">
        <v>1105</v>
      </c>
      <c r="Q1512" s="2" t="s">
        <v>230</v>
      </c>
      <c r="R1512" s="3">
        <v>25</v>
      </c>
      <c r="S1512" s="3">
        <f>1/0.26</f>
        <v>3.8461538461538458</v>
      </c>
      <c r="T1512" s="3">
        <v>0</v>
      </c>
      <c r="U1512" s="3">
        <v>0</v>
      </c>
      <c r="V1512" s="3">
        <v>1.57</v>
      </c>
      <c r="W1512" s="3" t="s">
        <v>1110</v>
      </c>
      <c r="X1512" t="s">
        <v>1112</v>
      </c>
    </row>
    <row r="1513" spans="1:24" x14ac:dyDescent="0.35">
      <c r="A1513" t="s">
        <v>1107</v>
      </c>
      <c r="B1513" t="s">
        <v>522</v>
      </c>
      <c r="C1513" t="s">
        <v>1108</v>
      </c>
      <c r="D1513">
        <v>2016</v>
      </c>
      <c r="E1513">
        <v>276</v>
      </c>
      <c r="F1513" t="s">
        <v>600</v>
      </c>
      <c r="G1513" t="s">
        <v>829</v>
      </c>
      <c r="H1513" t="s">
        <v>1062</v>
      </c>
      <c r="K1513" t="s">
        <v>394</v>
      </c>
      <c r="M1513" t="s">
        <v>359</v>
      </c>
      <c r="N1513" t="s">
        <v>538</v>
      </c>
      <c r="O1513" t="s">
        <v>1106</v>
      </c>
      <c r="P1513" t="s">
        <v>1105</v>
      </c>
      <c r="Q1513" s="2" t="s">
        <v>230</v>
      </c>
      <c r="R1513" s="3">
        <v>25</v>
      </c>
      <c r="S1513" s="3">
        <f>1/0.29</f>
        <v>3.4482758620689657</v>
      </c>
      <c r="T1513" s="3">
        <v>0</v>
      </c>
      <c r="U1513" s="3">
        <v>-4.5</v>
      </c>
      <c r="V1513" s="3">
        <v>1.46</v>
      </c>
      <c r="W1513" s="3" t="s">
        <v>1110</v>
      </c>
      <c r="X1513" t="s">
        <v>1112</v>
      </c>
    </row>
    <row r="1514" spans="1:24" x14ac:dyDescent="0.35">
      <c r="A1514" t="s">
        <v>1107</v>
      </c>
      <c r="B1514" t="s">
        <v>522</v>
      </c>
      <c r="C1514" t="s">
        <v>1108</v>
      </c>
      <c r="D1514">
        <v>2016</v>
      </c>
      <c r="E1514">
        <v>276</v>
      </c>
      <c r="F1514" t="s">
        <v>600</v>
      </c>
      <c r="G1514" t="s">
        <v>829</v>
      </c>
      <c r="H1514" t="s">
        <v>1062</v>
      </c>
      <c r="K1514" t="s">
        <v>394</v>
      </c>
      <c r="M1514" t="s">
        <v>359</v>
      </c>
      <c r="N1514" t="s">
        <v>538</v>
      </c>
      <c r="O1514" t="s">
        <v>1106</v>
      </c>
      <c r="P1514" t="s">
        <v>1105</v>
      </c>
      <c r="Q1514" s="2" t="s">
        <v>230</v>
      </c>
      <c r="R1514" s="3">
        <v>25</v>
      </c>
      <c r="S1514" s="3">
        <f>1/0.25</f>
        <v>4</v>
      </c>
      <c r="T1514" s="3">
        <v>0</v>
      </c>
      <c r="U1514" s="3">
        <v>-9.1999999999999993</v>
      </c>
      <c r="V1514" s="3">
        <v>1.44</v>
      </c>
      <c r="W1514" s="3" t="s">
        <v>1110</v>
      </c>
      <c r="X1514" t="s">
        <v>1112</v>
      </c>
    </row>
    <row r="1515" spans="1:24" x14ac:dyDescent="0.35">
      <c r="A1515" t="s">
        <v>1107</v>
      </c>
      <c r="B1515" t="s">
        <v>522</v>
      </c>
      <c r="C1515" t="s">
        <v>1108</v>
      </c>
      <c r="D1515">
        <v>2016</v>
      </c>
      <c r="E1515">
        <v>276</v>
      </c>
      <c r="F1515" t="s">
        <v>600</v>
      </c>
      <c r="G1515" t="s">
        <v>829</v>
      </c>
      <c r="H1515" t="s">
        <v>1062</v>
      </c>
      <c r="K1515" t="s">
        <v>394</v>
      </c>
      <c r="M1515" t="s">
        <v>359</v>
      </c>
      <c r="N1515" t="s">
        <v>538</v>
      </c>
      <c r="O1515" t="s">
        <v>1106</v>
      </c>
      <c r="P1515" t="s">
        <v>1105</v>
      </c>
      <c r="Q1515" s="2" t="s">
        <v>230</v>
      </c>
      <c r="R1515" s="3">
        <v>50</v>
      </c>
      <c r="S1515" s="3">
        <f>1/0.25</f>
        <v>4</v>
      </c>
      <c r="T1515" s="3">
        <v>0</v>
      </c>
      <c r="U1515" s="3">
        <v>0</v>
      </c>
      <c r="V1515" s="3">
        <v>1.55</v>
      </c>
      <c r="W1515" s="3" t="s">
        <v>1110</v>
      </c>
      <c r="X1515" t="s">
        <v>1112</v>
      </c>
    </row>
    <row r="1516" spans="1:24" x14ac:dyDescent="0.35">
      <c r="A1516" t="s">
        <v>1107</v>
      </c>
      <c r="B1516" t="s">
        <v>522</v>
      </c>
      <c r="C1516" t="s">
        <v>1108</v>
      </c>
      <c r="D1516">
        <v>2016</v>
      </c>
      <c r="E1516">
        <v>276</v>
      </c>
      <c r="F1516" t="s">
        <v>600</v>
      </c>
      <c r="G1516" t="s">
        <v>829</v>
      </c>
      <c r="H1516" t="s">
        <v>1062</v>
      </c>
      <c r="K1516" t="s">
        <v>394</v>
      </c>
      <c r="M1516" t="s">
        <v>359</v>
      </c>
      <c r="N1516" t="s">
        <v>538</v>
      </c>
      <c r="O1516" t="s">
        <v>1106</v>
      </c>
      <c r="P1516" t="s">
        <v>1105</v>
      </c>
      <c r="Q1516" s="2" t="s">
        <v>230</v>
      </c>
      <c r="R1516" s="3">
        <v>50</v>
      </c>
      <c r="S1516" s="3">
        <f>1/0.27</f>
        <v>3.7037037037037033</v>
      </c>
      <c r="T1516" s="3">
        <v>0</v>
      </c>
      <c r="U1516" s="3">
        <v>-4.5</v>
      </c>
      <c r="V1516" s="3">
        <v>1.17</v>
      </c>
      <c r="W1516" s="3" t="s">
        <v>1110</v>
      </c>
      <c r="X1516" t="s">
        <v>1112</v>
      </c>
    </row>
    <row r="1517" spans="1:24" x14ac:dyDescent="0.35">
      <c r="A1517" t="s">
        <v>1107</v>
      </c>
      <c r="B1517" t="s">
        <v>522</v>
      </c>
      <c r="C1517" t="s">
        <v>1108</v>
      </c>
      <c r="D1517">
        <v>2016</v>
      </c>
      <c r="E1517">
        <v>276</v>
      </c>
      <c r="F1517" t="s">
        <v>600</v>
      </c>
      <c r="G1517" t="s">
        <v>829</v>
      </c>
      <c r="H1517" t="s">
        <v>1062</v>
      </c>
      <c r="K1517" t="s">
        <v>394</v>
      </c>
      <c r="M1517" t="s">
        <v>359</v>
      </c>
      <c r="N1517" t="s">
        <v>538</v>
      </c>
      <c r="O1517" t="s">
        <v>1106</v>
      </c>
      <c r="P1517" t="s">
        <v>1105</v>
      </c>
      <c r="Q1517" s="2" t="s">
        <v>230</v>
      </c>
      <c r="R1517" s="3">
        <v>50</v>
      </c>
      <c r="S1517" s="3">
        <f>1/0.32</f>
        <v>3.125</v>
      </c>
      <c r="T1517" s="3">
        <v>0</v>
      </c>
      <c r="U1517" s="3">
        <v>-9.1999999999999993</v>
      </c>
      <c r="V1517" s="3">
        <v>1.07</v>
      </c>
      <c r="W1517" s="3" t="s">
        <v>1110</v>
      </c>
      <c r="X1517" t="s">
        <v>1112</v>
      </c>
    </row>
    <row r="1518" spans="1:24" x14ac:dyDescent="0.35">
      <c r="A1518" t="s">
        <v>1113</v>
      </c>
      <c r="B1518" t="s">
        <v>532</v>
      </c>
      <c r="C1518" t="s">
        <v>370</v>
      </c>
      <c r="D1518">
        <v>2013</v>
      </c>
      <c r="E1518">
        <v>277</v>
      </c>
      <c r="F1518" t="s">
        <v>600</v>
      </c>
      <c r="G1518" t="s">
        <v>829</v>
      </c>
      <c r="H1518" t="s">
        <v>1062</v>
      </c>
      <c r="K1518" t="s">
        <v>394</v>
      </c>
      <c r="M1518" t="s">
        <v>359</v>
      </c>
      <c r="N1518" t="s">
        <v>417</v>
      </c>
      <c r="O1518" t="s">
        <v>1114</v>
      </c>
      <c r="P1518" t="s">
        <v>899</v>
      </c>
      <c r="Q1518" s="2" t="s">
        <v>230</v>
      </c>
      <c r="R1518" s="3">
        <v>0</v>
      </c>
      <c r="T1518" s="3">
        <v>0</v>
      </c>
      <c r="U1518" s="3">
        <v>0</v>
      </c>
      <c r="V1518" s="3">
        <f>1/2</f>
        <v>0.5</v>
      </c>
      <c r="W1518" s="3" t="s">
        <v>1111</v>
      </c>
    </row>
    <row r="1519" spans="1:24" x14ac:dyDescent="0.35">
      <c r="A1519" t="s">
        <v>1113</v>
      </c>
      <c r="B1519" t="s">
        <v>532</v>
      </c>
      <c r="C1519" t="s">
        <v>370</v>
      </c>
      <c r="D1519">
        <v>2013</v>
      </c>
      <c r="E1519">
        <v>277</v>
      </c>
      <c r="F1519" t="s">
        <v>600</v>
      </c>
      <c r="G1519" t="s">
        <v>829</v>
      </c>
      <c r="H1519" t="s">
        <v>1062</v>
      </c>
      <c r="K1519" t="s">
        <v>394</v>
      </c>
      <c r="M1519" t="s">
        <v>359</v>
      </c>
      <c r="N1519" t="s">
        <v>417</v>
      </c>
      <c r="O1519" t="s">
        <v>1114</v>
      </c>
      <c r="P1519" t="s">
        <v>899</v>
      </c>
      <c r="Q1519" s="2" t="s">
        <v>230</v>
      </c>
      <c r="R1519" s="3">
        <v>100</v>
      </c>
      <c r="T1519" s="3">
        <v>0</v>
      </c>
      <c r="U1519" s="3">
        <v>0</v>
      </c>
      <c r="V1519" s="3">
        <f>1/5.6</f>
        <v>0.17857142857142858</v>
      </c>
      <c r="W1519" s="3" t="s">
        <v>1111</v>
      </c>
    </row>
    <row r="1520" spans="1:24" x14ac:dyDescent="0.35">
      <c r="A1520" t="s">
        <v>1117</v>
      </c>
      <c r="B1520" t="s">
        <v>398</v>
      </c>
      <c r="C1520" t="s">
        <v>485</v>
      </c>
      <c r="D1520">
        <v>2011</v>
      </c>
      <c r="E1520">
        <v>278</v>
      </c>
      <c r="F1520" t="s">
        <v>863</v>
      </c>
      <c r="G1520" t="s">
        <v>829</v>
      </c>
      <c r="H1520" t="s">
        <v>1062</v>
      </c>
      <c r="I1520" t="s">
        <v>1073</v>
      </c>
      <c r="J1520" t="s">
        <v>1098</v>
      </c>
      <c r="M1520" t="s">
        <v>359</v>
      </c>
      <c r="N1520" t="s">
        <v>380</v>
      </c>
      <c r="O1520" t="s">
        <v>1116</v>
      </c>
      <c r="P1520" t="s">
        <v>1115</v>
      </c>
      <c r="Q1520" s="2" t="s">
        <v>230</v>
      </c>
      <c r="R1520" s="3">
        <v>0</v>
      </c>
      <c r="T1520" s="3">
        <v>0</v>
      </c>
      <c r="U1520" s="3">
        <v>0</v>
      </c>
      <c r="V1520" s="3">
        <v>3.48</v>
      </c>
      <c r="W1520" s="3" t="s">
        <v>1118</v>
      </c>
    </row>
    <row r="1521" spans="1:23" x14ac:dyDescent="0.35">
      <c r="A1521" t="s">
        <v>1117</v>
      </c>
      <c r="B1521" t="s">
        <v>398</v>
      </c>
      <c r="C1521" t="s">
        <v>485</v>
      </c>
      <c r="D1521">
        <v>2011</v>
      </c>
      <c r="E1521">
        <v>278</v>
      </c>
      <c r="F1521" t="s">
        <v>863</v>
      </c>
      <c r="G1521" t="s">
        <v>829</v>
      </c>
      <c r="H1521" t="s">
        <v>1062</v>
      </c>
      <c r="I1521" t="s">
        <v>1073</v>
      </c>
      <c r="J1521" t="s">
        <v>1098</v>
      </c>
      <c r="M1521" t="s">
        <v>359</v>
      </c>
      <c r="N1521" t="s">
        <v>380</v>
      </c>
      <c r="O1521" t="s">
        <v>1116</v>
      </c>
      <c r="P1521" t="s">
        <v>1115</v>
      </c>
      <c r="Q1521" s="2" t="s">
        <v>230</v>
      </c>
      <c r="R1521" s="3">
        <v>0</v>
      </c>
      <c r="T1521" s="3">
        <v>0</v>
      </c>
      <c r="U1521" s="3">
        <v>0</v>
      </c>
      <c r="V1521" s="3">
        <v>2.86</v>
      </c>
      <c r="W1521" s="3" t="s">
        <v>1118</v>
      </c>
    </row>
    <row r="1522" spans="1:23" x14ac:dyDescent="0.35">
      <c r="A1522" t="s">
        <v>1117</v>
      </c>
      <c r="B1522" t="s">
        <v>398</v>
      </c>
      <c r="C1522" t="s">
        <v>485</v>
      </c>
      <c r="D1522">
        <v>2011</v>
      </c>
      <c r="E1522">
        <v>278</v>
      </c>
      <c r="F1522" t="s">
        <v>863</v>
      </c>
      <c r="G1522" t="s">
        <v>829</v>
      </c>
      <c r="H1522" t="s">
        <v>1062</v>
      </c>
      <c r="I1522" t="s">
        <v>1073</v>
      </c>
      <c r="J1522" t="s">
        <v>1098</v>
      </c>
      <c r="M1522" t="s">
        <v>359</v>
      </c>
      <c r="N1522" t="s">
        <v>380</v>
      </c>
      <c r="O1522" t="s">
        <v>1116</v>
      </c>
      <c r="P1522" t="s">
        <v>1115</v>
      </c>
      <c r="Q1522" s="2" t="s">
        <v>230</v>
      </c>
      <c r="R1522" s="3">
        <v>100</v>
      </c>
      <c r="T1522" s="3">
        <v>0</v>
      </c>
      <c r="U1522" s="3">
        <v>0</v>
      </c>
      <c r="V1522" s="3">
        <v>0.39</v>
      </c>
      <c r="W1522" s="3" t="s">
        <v>1118</v>
      </c>
    </row>
    <row r="1523" spans="1:23" x14ac:dyDescent="0.35">
      <c r="A1523" t="s">
        <v>1117</v>
      </c>
      <c r="B1523" t="s">
        <v>398</v>
      </c>
      <c r="C1523" t="s">
        <v>485</v>
      </c>
      <c r="D1523">
        <v>2011</v>
      </c>
      <c r="E1523">
        <v>278</v>
      </c>
      <c r="F1523" t="s">
        <v>863</v>
      </c>
      <c r="G1523" t="s">
        <v>829</v>
      </c>
      <c r="H1523" t="s">
        <v>1062</v>
      </c>
      <c r="I1523" t="s">
        <v>1073</v>
      </c>
      <c r="J1523" t="s">
        <v>1098</v>
      </c>
      <c r="M1523" t="s">
        <v>359</v>
      </c>
      <c r="N1523" t="s">
        <v>380</v>
      </c>
      <c r="O1523" t="s">
        <v>1116</v>
      </c>
      <c r="P1523" t="s">
        <v>1115</v>
      </c>
      <c r="Q1523" s="2" t="s">
        <v>230</v>
      </c>
      <c r="R1523" s="3">
        <v>100</v>
      </c>
      <c r="T1523" s="3">
        <v>0</v>
      </c>
      <c r="U1523" s="3">
        <v>0</v>
      </c>
      <c r="V1523" s="3">
        <v>0.53</v>
      </c>
      <c r="W1523" s="3" t="s">
        <v>1118</v>
      </c>
    </row>
    <row r="1524" spans="1:23" x14ac:dyDescent="0.35">
      <c r="A1524" t="s">
        <v>1119</v>
      </c>
      <c r="B1524" t="s">
        <v>1120</v>
      </c>
      <c r="C1524" t="s">
        <v>533</v>
      </c>
      <c r="D1524">
        <v>2017</v>
      </c>
      <c r="E1524">
        <v>279</v>
      </c>
      <c r="F1524" t="s">
        <v>600</v>
      </c>
      <c r="G1524" t="s">
        <v>829</v>
      </c>
      <c r="H1524" t="s">
        <v>1062</v>
      </c>
      <c r="K1524" t="s">
        <v>378</v>
      </c>
      <c r="L1524" t="s">
        <v>1099</v>
      </c>
      <c r="M1524" t="s">
        <v>359</v>
      </c>
      <c r="N1524" t="s">
        <v>380</v>
      </c>
      <c r="O1524" t="s">
        <v>413</v>
      </c>
      <c r="P1524" t="s">
        <v>131</v>
      </c>
      <c r="Q1524" s="2" t="s">
        <v>230</v>
      </c>
      <c r="R1524" s="3">
        <v>0</v>
      </c>
      <c r="S1524" s="3">
        <v>0.96</v>
      </c>
      <c r="T1524" s="3">
        <v>0</v>
      </c>
      <c r="U1524" s="3">
        <v>0</v>
      </c>
    </row>
    <row r="1525" spans="1:23" x14ac:dyDescent="0.35">
      <c r="A1525" t="s">
        <v>1119</v>
      </c>
      <c r="B1525" t="s">
        <v>1120</v>
      </c>
      <c r="C1525" t="s">
        <v>533</v>
      </c>
      <c r="D1525">
        <v>2017</v>
      </c>
      <c r="E1525">
        <v>279</v>
      </c>
      <c r="F1525" t="s">
        <v>600</v>
      </c>
      <c r="G1525" t="s">
        <v>829</v>
      </c>
      <c r="H1525" t="s">
        <v>1062</v>
      </c>
      <c r="K1525" t="s">
        <v>378</v>
      </c>
      <c r="L1525" t="s">
        <v>1099</v>
      </c>
      <c r="M1525" t="s">
        <v>359</v>
      </c>
      <c r="N1525" t="s">
        <v>380</v>
      </c>
      <c r="O1525" t="s">
        <v>413</v>
      </c>
      <c r="P1525" t="s">
        <v>131</v>
      </c>
      <c r="Q1525" s="2" t="s">
        <v>230</v>
      </c>
      <c r="R1525" s="3">
        <v>100</v>
      </c>
      <c r="S1525" s="3">
        <v>0.95</v>
      </c>
      <c r="T1525" s="3">
        <v>0</v>
      </c>
      <c r="U1525" s="3">
        <v>0</v>
      </c>
    </row>
    <row r="1526" spans="1:23" x14ac:dyDescent="0.35">
      <c r="A1526" t="s">
        <v>1119</v>
      </c>
      <c r="B1526" t="s">
        <v>1120</v>
      </c>
      <c r="C1526" t="s">
        <v>533</v>
      </c>
      <c r="D1526">
        <v>2017</v>
      </c>
      <c r="E1526">
        <v>279</v>
      </c>
      <c r="F1526" t="s">
        <v>863</v>
      </c>
      <c r="G1526" t="s">
        <v>829</v>
      </c>
      <c r="H1526" t="s">
        <v>1062</v>
      </c>
      <c r="I1526" t="s">
        <v>1073</v>
      </c>
      <c r="J1526" t="s">
        <v>1092</v>
      </c>
      <c r="K1526" t="s">
        <v>378</v>
      </c>
      <c r="L1526" t="s">
        <v>1099</v>
      </c>
      <c r="M1526" t="s">
        <v>359</v>
      </c>
      <c r="N1526" t="s">
        <v>380</v>
      </c>
      <c r="O1526" t="s">
        <v>413</v>
      </c>
      <c r="P1526" t="s">
        <v>131</v>
      </c>
      <c r="Q1526" s="2" t="s">
        <v>230</v>
      </c>
      <c r="R1526" s="3">
        <v>0</v>
      </c>
      <c r="S1526" s="3">
        <v>0.96</v>
      </c>
      <c r="T1526" s="3">
        <v>0</v>
      </c>
      <c r="U1526" s="3">
        <v>0</v>
      </c>
    </row>
    <row r="1527" spans="1:23" x14ac:dyDescent="0.35">
      <c r="A1527" t="s">
        <v>1119</v>
      </c>
      <c r="B1527" t="s">
        <v>1120</v>
      </c>
      <c r="C1527" t="s">
        <v>533</v>
      </c>
      <c r="D1527">
        <v>2017</v>
      </c>
      <c r="E1527">
        <v>279</v>
      </c>
      <c r="F1527" t="s">
        <v>863</v>
      </c>
      <c r="G1527" t="s">
        <v>829</v>
      </c>
      <c r="H1527" t="s">
        <v>1062</v>
      </c>
      <c r="I1527" t="s">
        <v>1073</v>
      </c>
      <c r="J1527" t="s">
        <v>1092</v>
      </c>
      <c r="K1527" t="s">
        <v>378</v>
      </c>
      <c r="L1527" t="s">
        <v>1099</v>
      </c>
      <c r="M1527" t="s">
        <v>359</v>
      </c>
      <c r="N1527" t="s">
        <v>380</v>
      </c>
      <c r="O1527" t="s">
        <v>413</v>
      </c>
      <c r="P1527" t="s">
        <v>131</v>
      </c>
      <c r="Q1527" s="2" t="s">
        <v>230</v>
      </c>
      <c r="R1527" s="3">
        <v>100</v>
      </c>
      <c r="S1527" s="3">
        <v>0.97</v>
      </c>
      <c r="T1527" s="3">
        <v>0</v>
      </c>
      <c r="U1527" s="3">
        <v>0</v>
      </c>
    </row>
    <row r="1528" spans="1:23" x14ac:dyDescent="0.35">
      <c r="A1528" t="s">
        <v>1121</v>
      </c>
      <c r="B1528" t="s">
        <v>468</v>
      </c>
      <c r="C1528" t="s">
        <v>342</v>
      </c>
      <c r="D1528">
        <v>2013</v>
      </c>
      <c r="E1528">
        <v>280</v>
      </c>
      <c r="F1528" t="s">
        <v>600</v>
      </c>
      <c r="G1528" t="s">
        <v>829</v>
      </c>
      <c r="H1528" t="s">
        <v>1062</v>
      </c>
      <c r="K1528" t="s">
        <v>394</v>
      </c>
      <c r="M1528" t="s">
        <v>359</v>
      </c>
      <c r="N1528" t="s">
        <v>380</v>
      </c>
      <c r="O1528" t="s">
        <v>285</v>
      </c>
      <c r="P1528" t="s">
        <v>349</v>
      </c>
      <c r="Q1528" s="2" t="s">
        <v>891</v>
      </c>
      <c r="R1528" s="3">
        <v>0</v>
      </c>
      <c r="S1528" s="3">
        <v>1.17</v>
      </c>
      <c r="T1528" s="3">
        <v>0</v>
      </c>
      <c r="U1528" s="3">
        <v>0</v>
      </c>
      <c r="V1528" s="3">
        <v>3.8</v>
      </c>
      <c r="W1528" s="3" t="s">
        <v>1111</v>
      </c>
    </row>
    <row r="1529" spans="1:23" x14ac:dyDescent="0.35">
      <c r="A1529" t="s">
        <v>1121</v>
      </c>
      <c r="B1529" t="s">
        <v>468</v>
      </c>
      <c r="C1529" t="s">
        <v>342</v>
      </c>
      <c r="D1529">
        <v>2013</v>
      </c>
      <c r="E1529">
        <v>280</v>
      </c>
      <c r="F1529" t="s">
        <v>600</v>
      </c>
      <c r="G1529" t="s">
        <v>829</v>
      </c>
      <c r="H1529" t="s">
        <v>1062</v>
      </c>
      <c r="K1529" t="s">
        <v>394</v>
      </c>
      <c r="M1529" t="s">
        <v>359</v>
      </c>
      <c r="N1529" t="s">
        <v>380</v>
      </c>
      <c r="O1529" t="s">
        <v>285</v>
      </c>
      <c r="P1529" t="s">
        <v>349</v>
      </c>
      <c r="Q1529" s="2" t="s">
        <v>891</v>
      </c>
      <c r="R1529" s="3">
        <v>80</v>
      </c>
      <c r="S1529" s="3">
        <v>1.05</v>
      </c>
      <c r="T1529" s="3">
        <v>0</v>
      </c>
      <c r="U1529" s="3">
        <v>0</v>
      </c>
      <c r="V1529" s="3">
        <v>0.3</v>
      </c>
      <c r="W1529" s="3" t="s">
        <v>1111</v>
      </c>
    </row>
    <row r="1530" spans="1:23" x14ac:dyDescent="0.35">
      <c r="A1530" t="s">
        <v>1122</v>
      </c>
      <c r="B1530" t="s">
        <v>522</v>
      </c>
      <c r="C1530" t="s">
        <v>385</v>
      </c>
      <c r="D1530">
        <v>2013</v>
      </c>
      <c r="E1530">
        <v>281</v>
      </c>
      <c r="F1530" t="s">
        <v>600</v>
      </c>
      <c r="G1530" t="s">
        <v>829</v>
      </c>
      <c r="H1530" t="s">
        <v>1062</v>
      </c>
      <c r="K1530" t="s">
        <v>378</v>
      </c>
      <c r="L1530" t="s">
        <v>1123</v>
      </c>
      <c r="M1530" t="s">
        <v>359</v>
      </c>
      <c r="N1530" t="s">
        <v>537</v>
      </c>
      <c r="O1530" t="s">
        <v>1124</v>
      </c>
      <c r="P1530" t="s">
        <v>1125</v>
      </c>
      <c r="Q1530" s="2" t="s">
        <v>230</v>
      </c>
      <c r="R1530" s="3">
        <v>0</v>
      </c>
      <c r="S1530" s="3">
        <v>0.56000000000000005</v>
      </c>
      <c r="T1530" s="3">
        <v>0</v>
      </c>
      <c r="U1530" s="3">
        <v>0</v>
      </c>
      <c r="V1530" s="3">
        <v>1.81</v>
      </c>
      <c r="W1530" s="3" t="s">
        <v>1110</v>
      </c>
    </row>
    <row r="1531" spans="1:23" x14ac:dyDescent="0.35">
      <c r="A1531" t="s">
        <v>1122</v>
      </c>
      <c r="B1531" t="s">
        <v>522</v>
      </c>
      <c r="C1531" t="s">
        <v>385</v>
      </c>
      <c r="D1531">
        <v>2013</v>
      </c>
      <c r="E1531">
        <v>281</v>
      </c>
      <c r="F1531" t="s">
        <v>600</v>
      </c>
      <c r="G1531" t="s">
        <v>829</v>
      </c>
      <c r="H1531" t="s">
        <v>1062</v>
      </c>
      <c r="K1531" t="s">
        <v>378</v>
      </c>
      <c r="L1531" t="s">
        <v>1123</v>
      </c>
      <c r="M1531" t="s">
        <v>359</v>
      </c>
      <c r="N1531" t="s">
        <v>537</v>
      </c>
      <c r="O1531" t="s">
        <v>1124</v>
      </c>
      <c r="P1531" t="s">
        <v>1125</v>
      </c>
      <c r="Q1531" s="2" t="s">
        <v>230</v>
      </c>
      <c r="R1531" s="3">
        <v>100</v>
      </c>
      <c r="S1531" s="3">
        <v>0.43</v>
      </c>
      <c r="T1531" s="3">
        <v>0</v>
      </c>
      <c r="U1531" s="3">
        <v>0</v>
      </c>
      <c r="V1531" s="3">
        <v>0.94</v>
      </c>
      <c r="W1531" s="3" t="s">
        <v>1110</v>
      </c>
    </row>
    <row r="1532" spans="1:23" x14ac:dyDescent="0.35">
      <c r="A1532" t="s">
        <v>1122</v>
      </c>
      <c r="B1532" t="s">
        <v>522</v>
      </c>
      <c r="C1532" t="s">
        <v>385</v>
      </c>
      <c r="D1532">
        <v>2013</v>
      </c>
      <c r="E1532">
        <v>281</v>
      </c>
      <c r="F1532" t="s">
        <v>863</v>
      </c>
      <c r="G1532" t="s">
        <v>829</v>
      </c>
      <c r="H1532" t="s">
        <v>1062</v>
      </c>
      <c r="I1532" t="s">
        <v>1073</v>
      </c>
      <c r="J1532" t="s">
        <v>1126</v>
      </c>
      <c r="K1532" t="s">
        <v>378</v>
      </c>
      <c r="L1532" t="s">
        <v>1123</v>
      </c>
      <c r="M1532" t="s">
        <v>359</v>
      </c>
      <c r="N1532" t="s">
        <v>537</v>
      </c>
      <c r="O1532" t="s">
        <v>1124</v>
      </c>
      <c r="P1532" t="s">
        <v>1125</v>
      </c>
      <c r="Q1532" s="2" t="s">
        <v>230</v>
      </c>
      <c r="R1532" s="3">
        <v>0</v>
      </c>
      <c r="S1532" s="3">
        <v>0.56000000000000005</v>
      </c>
      <c r="T1532" s="3">
        <v>0</v>
      </c>
      <c r="U1532" s="3">
        <v>0</v>
      </c>
      <c r="V1532" s="3">
        <v>1.81</v>
      </c>
      <c r="W1532" s="3" t="s">
        <v>1110</v>
      </c>
    </row>
    <row r="1533" spans="1:23" x14ac:dyDescent="0.35">
      <c r="A1533" t="s">
        <v>1122</v>
      </c>
      <c r="B1533" t="s">
        <v>522</v>
      </c>
      <c r="C1533" t="s">
        <v>385</v>
      </c>
      <c r="D1533">
        <v>2013</v>
      </c>
      <c r="E1533">
        <v>281</v>
      </c>
      <c r="F1533" t="s">
        <v>863</v>
      </c>
      <c r="G1533" t="s">
        <v>829</v>
      </c>
      <c r="H1533" t="s">
        <v>1062</v>
      </c>
      <c r="I1533" t="s">
        <v>1073</v>
      </c>
      <c r="J1533" t="s">
        <v>1126</v>
      </c>
      <c r="K1533" t="s">
        <v>378</v>
      </c>
      <c r="L1533" t="s">
        <v>1123</v>
      </c>
      <c r="M1533" t="s">
        <v>359</v>
      </c>
      <c r="N1533" t="s">
        <v>537</v>
      </c>
      <c r="O1533" t="s">
        <v>1124</v>
      </c>
      <c r="P1533" t="s">
        <v>1125</v>
      </c>
      <c r="Q1533" s="2" t="s">
        <v>230</v>
      </c>
      <c r="R1533" s="3">
        <v>100</v>
      </c>
      <c r="S1533" s="3">
        <v>0.47</v>
      </c>
      <c r="T1533" s="3">
        <v>0</v>
      </c>
      <c r="U1533" s="3">
        <v>0</v>
      </c>
      <c r="V1533" s="3">
        <v>0.55000000000000004</v>
      </c>
      <c r="W1533" s="3" t="s">
        <v>1110</v>
      </c>
    </row>
    <row r="1534" spans="1:23" x14ac:dyDescent="0.35">
      <c r="A1534" t="s">
        <v>1127</v>
      </c>
      <c r="B1534" t="s">
        <v>508</v>
      </c>
      <c r="C1534" t="s">
        <v>399</v>
      </c>
      <c r="D1534">
        <v>2017</v>
      </c>
      <c r="E1534">
        <v>282</v>
      </c>
      <c r="F1534" t="s">
        <v>600</v>
      </c>
      <c r="G1534" t="s">
        <v>829</v>
      </c>
      <c r="H1534" t="s">
        <v>1062</v>
      </c>
      <c r="K1534" t="s">
        <v>394</v>
      </c>
      <c r="M1534" t="s">
        <v>359</v>
      </c>
      <c r="N1534" t="s">
        <v>538</v>
      </c>
      <c r="O1534" t="s">
        <v>941</v>
      </c>
      <c r="P1534" t="s">
        <v>940</v>
      </c>
      <c r="Q1534" s="2" t="s">
        <v>230</v>
      </c>
      <c r="R1534" s="3">
        <v>0</v>
      </c>
      <c r="S1534" s="3">
        <v>2.17</v>
      </c>
      <c r="T1534" s="3">
        <v>0</v>
      </c>
      <c r="U1534" s="3">
        <v>0</v>
      </c>
    </row>
    <row r="1535" spans="1:23" x14ac:dyDescent="0.35">
      <c r="A1535" t="s">
        <v>1127</v>
      </c>
      <c r="B1535" t="s">
        <v>508</v>
      </c>
      <c r="C1535" t="s">
        <v>399</v>
      </c>
      <c r="D1535">
        <v>2017</v>
      </c>
      <c r="E1535">
        <v>282</v>
      </c>
      <c r="F1535" t="s">
        <v>600</v>
      </c>
      <c r="G1535" t="s">
        <v>829</v>
      </c>
      <c r="H1535" t="s">
        <v>1062</v>
      </c>
      <c r="K1535" t="s">
        <v>394</v>
      </c>
      <c r="M1535" t="s">
        <v>359</v>
      </c>
      <c r="N1535" t="s">
        <v>538</v>
      </c>
      <c r="O1535" t="s">
        <v>941</v>
      </c>
      <c r="P1535" t="s">
        <v>940</v>
      </c>
      <c r="Q1535" s="2" t="s">
        <v>230</v>
      </c>
      <c r="R1535" s="3">
        <v>32</v>
      </c>
      <c r="S1535" s="3">
        <v>2.11</v>
      </c>
      <c r="T1535" s="3">
        <v>0</v>
      </c>
      <c r="U1535" s="3">
        <v>0</v>
      </c>
    </row>
    <row r="1536" spans="1:23" x14ac:dyDescent="0.35">
      <c r="A1536" t="s">
        <v>1127</v>
      </c>
      <c r="B1536" t="s">
        <v>508</v>
      </c>
      <c r="C1536" t="s">
        <v>399</v>
      </c>
      <c r="D1536">
        <v>2017</v>
      </c>
      <c r="E1536">
        <v>282</v>
      </c>
      <c r="F1536" t="s">
        <v>600</v>
      </c>
      <c r="G1536" t="s">
        <v>829</v>
      </c>
      <c r="H1536" t="s">
        <v>1062</v>
      </c>
      <c r="K1536" t="s">
        <v>394</v>
      </c>
      <c r="M1536" t="s">
        <v>359</v>
      </c>
      <c r="N1536" t="s">
        <v>538</v>
      </c>
      <c r="O1536" t="s">
        <v>941</v>
      </c>
      <c r="P1536" t="s">
        <v>940</v>
      </c>
      <c r="Q1536" s="2" t="s">
        <v>230</v>
      </c>
      <c r="R1536" s="3">
        <v>64</v>
      </c>
      <c r="S1536" s="3">
        <v>2.2799999999999998</v>
      </c>
      <c r="T1536" s="3">
        <v>0</v>
      </c>
      <c r="U1536" s="3">
        <v>0</v>
      </c>
    </row>
    <row r="1537" spans="1:23" x14ac:dyDescent="0.35">
      <c r="A1537" t="s">
        <v>1127</v>
      </c>
      <c r="B1537" t="s">
        <v>508</v>
      </c>
      <c r="C1537" t="s">
        <v>399</v>
      </c>
      <c r="D1537">
        <v>2017</v>
      </c>
      <c r="E1537">
        <v>282</v>
      </c>
      <c r="F1537" t="s">
        <v>600</v>
      </c>
      <c r="G1537" t="s">
        <v>829</v>
      </c>
      <c r="H1537" t="s">
        <v>1062</v>
      </c>
      <c r="K1537" t="s">
        <v>394</v>
      </c>
      <c r="M1537" t="s">
        <v>359</v>
      </c>
      <c r="N1537" t="s">
        <v>538</v>
      </c>
      <c r="O1537" t="s">
        <v>941</v>
      </c>
      <c r="P1537" t="s">
        <v>940</v>
      </c>
      <c r="Q1537" s="2" t="s">
        <v>230</v>
      </c>
      <c r="R1537" s="3">
        <v>96</v>
      </c>
      <c r="S1537" s="3">
        <v>2.2799999999999998</v>
      </c>
      <c r="T1537" s="3">
        <v>0</v>
      </c>
      <c r="U1537" s="3">
        <v>0</v>
      </c>
    </row>
    <row r="1538" spans="1:23" x14ac:dyDescent="0.35">
      <c r="A1538" t="s">
        <v>1128</v>
      </c>
      <c r="B1538" t="s">
        <v>522</v>
      </c>
      <c r="C1538" t="s">
        <v>370</v>
      </c>
      <c r="D1538">
        <v>2008</v>
      </c>
      <c r="E1538">
        <v>283</v>
      </c>
      <c r="F1538" t="s">
        <v>600</v>
      </c>
      <c r="G1538" t="s">
        <v>829</v>
      </c>
      <c r="H1538" t="s">
        <v>1062</v>
      </c>
      <c r="K1538" t="s">
        <v>394</v>
      </c>
      <c r="M1538" t="s">
        <v>359</v>
      </c>
      <c r="N1538" t="s">
        <v>538</v>
      </c>
      <c r="O1538" t="s">
        <v>762</v>
      </c>
      <c r="P1538" t="s">
        <v>761</v>
      </c>
      <c r="Q1538" s="2" t="s">
        <v>230</v>
      </c>
      <c r="R1538" s="3">
        <v>0</v>
      </c>
      <c r="S1538" s="3">
        <v>1.0900000000000001</v>
      </c>
      <c r="T1538" s="3">
        <v>0</v>
      </c>
      <c r="U1538" s="3">
        <v>0</v>
      </c>
      <c r="V1538" s="3">
        <v>1.45</v>
      </c>
      <c r="W1538" s="3" t="s">
        <v>1129</v>
      </c>
    </row>
    <row r="1539" spans="1:23" x14ac:dyDescent="0.35">
      <c r="A1539" t="s">
        <v>1128</v>
      </c>
      <c r="B1539" t="s">
        <v>522</v>
      </c>
      <c r="C1539" t="s">
        <v>370</v>
      </c>
      <c r="D1539">
        <v>2008</v>
      </c>
      <c r="E1539">
        <v>283</v>
      </c>
      <c r="F1539" t="s">
        <v>600</v>
      </c>
      <c r="G1539" t="s">
        <v>829</v>
      </c>
      <c r="H1539" t="s">
        <v>1062</v>
      </c>
      <c r="K1539" t="s">
        <v>394</v>
      </c>
      <c r="M1539" t="s">
        <v>359</v>
      </c>
      <c r="N1539" t="s">
        <v>538</v>
      </c>
      <c r="O1539" t="s">
        <v>762</v>
      </c>
      <c r="P1539" t="s">
        <v>761</v>
      </c>
      <c r="Q1539" s="2" t="s">
        <v>230</v>
      </c>
      <c r="R1539" s="3">
        <v>60</v>
      </c>
      <c r="S1539" s="3">
        <v>1.1100000000000001</v>
      </c>
      <c r="T1539" s="3">
        <v>0</v>
      </c>
      <c r="U1539" s="3">
        <v>0</v>
      </c>
      <c r="V1539" s="3">
        <v>0.31</v>
      </c>
      <c r="W1539" s="3" t="s">
        <v>1129</v>
      </c>
    </row>
    <row r="1540" spans="1:23" x14ac:dyDescent="0.35">
      <c r="A1540" t="s">
        <v>1128</v>
      </c>
      <c r="B1540" t="s">
        <v>522</v>
      </c>
      <c r="C1540" t="s">
        <v>370</v>
      </c>
      <c r="D1540">
        <v>2008</v>
      </c>
      <c r="E1540">
        <v>283</v>
      </c>
      <c r="F1540" t="s">
        <v>600</v>
      </c>
      <c r="G1540" t="s">
        <v>829</v>
      </c>
      <c r="H1540" t="s">
        <v>1062</v>
      </c>
      <c r="K1540" t="s">
        <v>394</v>
      </c>
      <c r="M1540" t="s">
        <v>359</v>
      </c>
      <c r="N1540" t="s">
        <v>538</v>
      </c>
      <c r="O1540" t="s">
        <v>762</v>
      </c>
      <c r="P1540" t="s">
        <v>761</v>
      </c>
      <c r="Q1540" s="2" t="s">
        <v>230</v>
      </c>
      <c r="R1540" s="3">
        <v>80</v>
      </c>
      <c r="S1540" s="3">
        <v>1.1200000000000001</v>
      </c>
      <c r="T1540" s="3">
        <v>0</v>
      </c>
      <c r="U1540" s="3">
        <v>0</v>
      </c>
      <c r="V1540" s="3">
        <v>0.18</v>
      </c>
      <c r="W1540" s="3" t="s">
        <v>1129</v>
      </c>
    </row>
    <row r="1541" spans="1:23" x14ac:dyDescent="0.35">
      <c r="A1541" t="s">
        <v>1128</v>
      </c>
      <c r="B1541" t="s">
        <v>522</v>
      </c>
      <c r="C1541" t="s">
        <v>370</v>
      </c>
      <c r="D1541">
        <v>2008</v>
      </c>
      <c r="E1541">
        <v>283</v>
      </c>
      <c r="F1541" t="s">
        <v>600</v>
      </c>
      <c r="G1541" t="s">
        <v>829</v>
      </c>
      <c r="H1541" t="s">
        <v>1062</v>
      </c>
      <c r="K1541" t="s">
        <v>394</v>
      </c>
      <c r="M1541" t="s">
        <v>359</v>
      </c>
      <c r="N1541" t="s">
        <v>538</v>
      </c>
      <c r="O1541" t="s">
        <v>762</v>
      </c>
      <c r="P1541" t="s">
        <v>761</v>
      </c>
      <c r="Q1541" s="2" t="s">
        <v>230</v>
      </c>
      <c r="R1541" s="3">
        <v>100</v>
      </c>
      <c r="S1541" s="3">
        <v>1.32</v>
      </c>
      <c r="T1541" s="3">
        <v>0</v>
      </c>
      <c r="U1541" s="3">
        <v>0</v>
      </c>
      <c r="V1541" s="3">
        <v>0.12</v>
      </c>
      <c r="W1541" s="3" t="s">
        <v>1129</v>
      </c>
    </row>
    <row r="1542" spans="1:23" x14ac:dyDescent="0.35">
      <c r="A1542" t="s">
        <v>934</v>
      </c>
      <c r="B1542" t="s">
        <v>522</v>
      </c>
      <c r="C1542" t="s">
        <v>370</v>
      </c>
      <c r="D1542">
        <v>2014</v>
      </c>
      <c r="E1542">
        <v>284</v>
      </c>
      <c r="F1542" t="s">
        <v>600</v>
      </c>
      <c r="G1542" t="s">
        <v>829</v>
      </c>
      <c r="H1542" t="s">
        <v>1062</v>
      </c>
      <c r="K1542" t="s">
        <v>394</v>
      </c>
      <c r="M1542" t="s">
        <v>359</v>
      </c>
      <c r="N1542" t="s">
        <v>538</v>
      </c>
      <c r="O1542" t="s">
        <v>149</v>
      </c>
      <c r="P1542" t="s">
        <v>935</v>
      </c>
      <c r="Q1542" s="2" t="s">
        <v>230</v>
      </c>
      <c r="R1542" s="3">
        <v>0</v>
      </c>
      <c r="S1542" s="3">
        <f>1/1.04</f>
        <v>0.96153846153846145</v>
      </c>
      <c r="T1542" s="3">
        <v>0</v>
      </c>
      <c r="U1542" s="3">
        <v>0</v>
      </c>
      <c r="V1542" s="3">
        <v>0.96</v>
      </c>
      <c r="W1542" s="3" t="s">
        <v>1110</v>
      </c>
    </row>
    <row r="1543" spans="1:23" x14ac:dyDescent="0.35">
      <c r="A1543" t="s">
        <v>934</v>
      </c>
      <c r="B1543" t="s">
        <v>522</v>
      </c>
      <c r="C1543" t="s">
        <v>370</v>
      </c>
      <c r="D1543">
        <v>2014</v>
      </c>
      <c r="E1543">
        <v>284</v>
      </c>
      <c r="F1543" t="s">
        <v>600</v>
      </c>
      <c r="G1543" t="s">
        <v>829</v>
      </c>
      <c r="H1543" t="s">
        <v>1062</v>
      </c>
      <c r="K1543" t="s">
        <v>394</v>
      </c>
      <c r="M1543" t="s">
        <v>359</v>
      </c>
      <c r="N1543" t="s">
        <v>538</v>
      </c>
      <c r="O1543" t="s">
        <v>149</v>
      </c>
      <c r="P1543" t="s">
        <v>935</v>
      </c>
      <c r="Q1543" s="2" t="s">
        <v>230</v>
      </c>
      <c r="R1543" s="3">
        <v>50</v>
      </c>
      <c r="S1543" s="3">
        <f>1/1.21</f>
        <v>0.82644628099173556</v>
      </c>
      <c r="T1543" s="3">
        <v>0</v>
      </c>
      <c r="U1543" s="3">
        <v>0</v>
      </c>
      <c r="V1543" s="3">
        <v>0.53</v>
      </c>
      <c r="W1543" s="3" t="s">
        <v>1110</v>
      </c>
    </row>
    <row r="1544" spans="1:23" x14ac:dyDescent="0.35">
      <c r="A1544" t="s">
        <v>934</v>
      </c>
      <c r="B1544" t="s">
        <v>522</v>
      </c>
      <c r="C1544" t="s">
        <v>370</v>
      </c>
      <c r="D1544">
        <v>2014</v>
      </c>
      <c r="E1544">
        <v>284</v>
      </c>
      <c r="F1544" t="s">
        <v>600</v>
      </c>
      <c r="G1544" t="s">
        <v>829</v>
      </c>
      <c r="H1544" t="s">
        <v>1062</v>
      </c>
      <c r="K1544" t="s">
        <v>394</v>
      </c>
      <c r="M1544" t="s">
        <v>359</v>
      </c>
      <c r="N1544" t="s">
        <v>538</v>
      </c>
      <c r="O1544" t="s">
        <v>149</v>
      </c>
      <c r="P1544" t="s">
        <v>935</v>
      </c>
      <c r="Q1544" s="2" t="s">
        <v>230</v>
      </c>
      <c r="R1544" s="3">
        <v>100</v>
      </c>
      <c r="S1544" s="3">
        <f>1/1.11</f>
        <v>0.9009009009009008</v>
      </c>
      <c r="T1544" s="3">
        <v>0</v>
      </c>
      <c r="U1544" s="3">
        <v>0</v>
      </c>
      <c r="V1544" s="3">
        <v>0.27</v>
      </c>
      <c r="W1544" s="3" t="s">
        <v>1110</v>
      </c>
    </row>
    <row r="1545" spans="1:23" x14ac:dyDescent="0.35">
      <c r="A1545" t="s">
        <v>1130</v>
      </c>
      <c r="B1545" t="s">
        <v>455</v>
      </c>
      <c r="C1545" t="s">
        <v>456</v>
      </c>
      <c r="D1545">
        <v>2015</v>
      </c>
      <c r="E1545">
        <v>285</v>
      </c>
      <c r="F1545" t="s">
        <v>863</v>
      </c>
      <c r="G1545" t="s">
        <v>829</v>
      </c>
      <c r="H1545" t="s">
        <v>1131</v>
      </c>
      <c r="I1545" t="s">
        <v>1073</v>
      </c>
      <c r="J1545" t="s">
        <v>1092</v>
      </c>
      <c r="K1545" t="s">
        <v>394</v>
      </c>
      <c r="M1545" t="s">
        <v>359</v>
      </c>
      <c r="N1545" t="s">
        <v>380</v>
      </c>
      <c r="O1545" t="s">
        <v>413</v>
      </c>
      <c r="P1545" t="s">
        <v>131</v>
      </c>
      <c r="Q1545" s="2" t="s">
        <v>229</v>
      </c>
      <c r="R1545" s="3">
        <v>0</v>
      </c>
      <c r="S1545" s="3">
        <f>1/0.63</f>
        <v>1.5873015873015872</v>
      </c>
      <c r="T1545" s="3">
        <v>0</v>
      </c>
      <c r="U1545" s="3">
        <v>0</v>
      </c>
    </row>
    <row r="1546" spans="1:23" x14ac:dyDescent="0.35">
      <c r="A1546" t="s">
        <v>1130</v>
      </c>
      <c r="B1546" t="s">
        <v>455</v>
      </c>
      <c r="C1546" t="s">
        <v>456</v>
      </c>
      <c r="D1546">
        <v>2015</v>
      </c>
      <c r="E1546">
        <v>285</v>
      </c>
      <c r="F1546" t="s">
        <v>863</v>
      </c>
      <c r="G1546" t="s">
        <v>829</v>
      </c>
      <c r="H1546" t="s">
        <v>1131</v>
      </c>
      <c r="I1546" t="s">
        <v>1073</v>
      </c>
      <c r="J1546" t="s">
        <v>1092</v>
      </c>
      <c r="K1546" t="s">
        <v>394</v>
      </c>
      <c r="M1546" t="s">
        <v>359</v>
      </c>
      <c r="N1546" t="s">
        <v>380</v>
      </c>
      <c r="O1546" t="s">
        <v>413</v>
      </c>
      <c r="P1546" t="s">
        <v>131</v>
      </c>
      <c r="Q1546" s="2" t="s">
        <v>229</v>
      </c>
      <c r="R1546" s="3">
        <v>25</v>
      </c>
      <c r="S1546" s="3">
        <f t="shared" ref="S1546:S1548" si="2">1/0.63</f>
        <v>1.5873015873015872</v>
      </c>
      <c r="T1546" s="3">
        <v>0</v>
      </c>
      <c r="U1546" s="3">
        <v>0</v>
      </c>
    </row>
    <row r="1547" spans="1:23" x14ac:dyDescent="0.35">
      <c r="A1547" t="s">
        <v>1130</v>
      </c>
      <c r="B1547" t="s">
        <v>455</v>
      </c>
      <c r="C1547" t="s">
        <v>456</v>
      </c>
      <c r="D1547">
        <v>2015</v>
      </c>
      <c r="E1547">
        <v>285</v>
      </c>
      <c r="F1547" t="s">
        <v>863</v>
      </c>
      <c r="G1547" t="s">
        <v>829</v>
      </c>
      <c r="H1547" t="s">
        <v>1131</v>
      </c>
      <c r="I1547" t="s">
        <v>1073</v>
      </c>
      <c r="J1547" t="s">
        <v>1092</v>
      </c>
      <c r="K1547" t="s">
        <v>394</v>
      </c>
      <c r="M1547" t="s">
        <v>359</v>
      </c>
      <c r="N1547" t="s">
        <v>380</v>
      </c>
      <c r="O1547" t="s">
        <v>413</v>
      </c>
      <c r="P1547" t="s">
        <v>131</v>
      </c>
      <c r="Q1547" s="2" t="s">
        <v>229</v>
      </c>
      <c r="R1547" s="3">
        <v>50</v>
      </c>
      <c r="S1547" s="3">
        <f>1/0.61</f>
        <v>1.639344262295082</v>
      </c>
      <c r="T1547" s="3">
        <v>0</v>
      </c>
      <c r="U1547" s="3">
        <v>0</v>
      </c>
    </row>
    <row r="1548" spans="1:23" x14ac:dyDescent="0.35">
      <c r="A1548" t="s">
        <v>1130</v>
      </c>
      <c r="B1548" t="s">
        <v>455</v>
      </c>
      <c r="C1548" t="s">
        <v>456</v>
      </c>
      <c r="D1548">
        <v>2015</v>
      </c>
      <c r="E1548">
        <v>285</v>
      </c>
      <c r="F1548" t="s">
        <v>863</v>
      </c>
      <c r="G1548" t="s">
        <v>829</v>
      </c>
      <c r="H1548" t="s">
        <v>1131</v>
      </c>
      <c r="I1548" t="s">
        <v>1073</v>
      </c>
      <c r="J1548" t="s">
        <v>1092</v>
      </c>
      <c r="K1548" t="s">
        <v>394</v>
      </c>
      <c r="M1548" t="s">
        <v>359</v>
      </c>
      <c r="N1548" t="s">
        <v>380</v>
      </c>
      <c r="O1548" t="s">
        <v>413</v>
      </c>
      <c r="P1548" t="s">
        <v>131</v>
      </c>
      <c r="Q1548" s="2" t="s">
        <v>229</v>
      </c>
      <c r="R1548" s="3">
        <v>75</v>
      </c>
      <c r="S1548" s="3">
        <f t="shared" si="2"/>
        <v>1.5873015873015872</v>
      </c>
      <c r="T1548" s="3">
        <v>0</v>
      </c>
      <c r="U1548" s="3">
        <v>0</v>
      </c>
    </row>
    <row r="1549" spans="1:23" x14ac:dyDescent="0.35">
      <c r="A1549" t="s">
        <v>1130</v>
      </c>
      <c r="B1549" t="s">
        <v>455</v>
      </c>
      <c r="C1549" t="s">
        <v>456</v>
      </c>
      <c r="D1549">
        <v>2015</v>
      </c>
      <c r="E1549">
        <v>285</v>
      </c>
      <c r="F1549" t="s">
        <v>863</v>
      </c>
      <c r="G1549" t="s">
        <v>829</v>
      </c>
      <c r="H1549" t="s">
        <v>1131</v>
      </c>
      <c r="I1549" t="s">
        <v>1073</v>
      </c>
      <c r="J1549" t="s">
        <v>1092</v>
      </c>
      <c r="K1549" t="s">
        <v>394</v>
      </c>
      <c r="M1549" t="s">
        <v>359</v>
      </c>
      <c r="N1549" t="s">
        <v>380</v>
      </c>
      <c r="O1549" t="s">
        <v>413</v>
      </c>
      <c r="P1549" t="s">
        <v>131</v>
      </c>
      <c r="Q1549" s="2" t="s">
        <v>229</v>
      </c>
      <c r="R1549" s="3">
        <v>0</v>
      </c>
      <c r="S1549" s="3">
        <f>1/0.49</f>
        <v>2.0408163265306123</v>
      </c>
      <c r="T1549" s="3">
        <v>0</v>
      </c>
      <c r="U1549" s="3">
        <v>0</v>
      </c>
    </row>
    <row r="1550" spans="1:23" x14ac:dyDescent="0.35">
      <c r="A1550" t="s">
        <v>1130</v>
      </c>
      <c r="B1550" t="s">
        <v>455</v>
      </c>
      <c r="C1550" t="s">
        <v>456</v>
      </c>
      <c r="D1550">
        <v>2015</v>
      </c>
      <c r="E1550">
        <v>285</v>
      </c>
      <c r="F1550" t="s">
        <v>863</v>
      </c>
      <c r="G1550" t="s">
        <v>829</v>
      </c>
      <c r="H1550" t="s">
        <v>1131</v>
      </c>
      <c r="I1550" t="s">
        <v>1073</v>
      </c>
      <c r="J1550" t="s">
        <v>1092</v>
      </c>
      <c r="K1550" t="s">
        <v>394</v>
      </c>
      <c r="M1550" t="s">
        <v>359</v>
      </c>
      <c r="N1550" t="s">
        <v>380</v>
      </c>
      <c r="O1550" t="s">
        <v>413</v>
      </c>
      <c r="P1550" t="s">
        <v>131</v>
      </c>
      <c r="Q1550" s="2" t="s">
        <v>229</v>
      </c>
      <c r="R1550" s="3">
        <v>25</v>
      </c>
      <c r="S1550" s="3">
        <f>1/0.48</f>
        <v>2.0833333333333335</v>
      </c>
      <c r="T1550" s="3">
        <v>0</v>
      </c>
      <c r="U1550" s="3">
        <v>0</v>
      </c>
    </row>
    <row r="1551" spans="1:23" x14ac:dyDescent="0.35">
      <c r="A1551" t="s">
        <v>1130</v>
      </c>
      <c r="B1551" t="s">
        <v>455</v>
      </c>
      <c r="C1551" t="s">
        <v>456</v>
      </c>
      <c r="D1551">
        <v>2015</v>
      </c>
      <c r="E1551">
        <v>285</v>
      </c>
      <c r="F1551" t="s">
        <v>863</v>
      </c>
      <c r="G1551" t="s">
        <v>829</v>
      </c>
      <c r="H1551" t="s">
        <v>1131</v>
      </c>
      <c r="I1551" t="s">
        <v>1073</v>
      </c>
      <c r="J1551" t="s">
        <v>1092</v>
      </c>
      <c r="K1551" t="s">
        <v>394</v>
      </c>
      <c r="M1551" t="s">
        <v>359</v>
      </c>
      <c r="N1551" t="s">
        <v>380</v>
      </c>
      <c r="O1551" t="s">
        <v>413</v>
      </c>
      <c r="P1551" t="s">
        <v>131</v>
      </c>
      <c r="Q1551" s="2" t="s">
        <v>229</v>
      </c>
      <c r="R1551" s="3">
        <v>50</v>
      </c>
      <c r="S1551" s="3">
        <f>1/0.5</f>
        <v>2</v>
      </c>
      <c r="T1551" s="3">
        <v>0</v>
      </c>
      <c r="U1551" s="3">
        <v>0</v>
      </c>
    </row>
    <row r="1552" spans="1:23" x14ac:dyDescent="0.35">
      <c r="A1552" t="s">
        <v>1130</v>
      </c>
      <c r="B1552" t="s">
        <v>455</v>
      </c>
      <c r="C1552" t="s">
        <v>456</v>
      </c>
      <c r="D1552">
        <v>2015</v>
      </c>
      <c r="E1552">
        <v>285</v>
      </c>
      <c r="F1552" t="s">
        <v>863</v>
      </c>
      <c r="G1552" t="s">
        <v>829</v>
      </c>
      <c r="H1552" t="s">
        <v>1131</v>
      </c>
      <c r="I1552" t="s">
        <v>1073</v>
      </c>
      <c r="J1552" t="s">
        <v>1092</v>
      </c>
      <c r="K1552" t="s">
        <v>394</v>
      </c>
      <c r="M1552" t="s">
        <v>359</v>
      </c>
      <c r="N1552" t="s">
        <v>380</v>
      </c>
      <c r="O1552" t="s">
        <v>413</v>
      </c>
      <c r="P1552" t="s">
        <v>131</v>
      </c>
      <c r="Q1552" s="2" t="s">
        <v>229</v>
      </c>
      <c r="R1552" s="3">
        <v>75</v>
      </c>
      <c r="S1552" s="3">
        <f>1/0.5</f>
        <v>2</v>
      </c>
      <c r="T1552" s="3">
        <v>0</v>
      </c>
      <c r="U1552" s="3">
        <v>0</v>
      </c>
    </row>
    <row r="1553" spans="1:23" x14ac:dyDescent="0.35">
      <c r="A1553" t="s">
        <v>959</v>
      </c>
      <c r="B1553" t="s">
        <v>522</v>
      </c>
      <c r="C1553" t="s">
        <v>385</v>
      </c>
      <c r="D1553">
        <v>2015</v>
      </c>
      <c r="E1553">
        <v>286</v>
      </c>
      <c r="F1553" t="s">
        <v>600</v>
      </c>
      <c r="G1553" t="s">
        <v>829</v>
      </c>
      <c r="H1553" t="s">
        <v>1062</v>
      </c>
      <c r="K1553" t="s">
        <v>394</v>
      </c>
      <c r="M1553" t="s">
        <v>359</v>
      </c>
      <c r="N1553" t="s">
        <v>380</v>
      </c>
      <c r="O1553" t="s">
        <v>413</v>
      </c>
      <c r="P1553" t="s">
        <v>131</v>
      </c>
      <c r="Q1553" s="2" t="s">
        <v>229</v>
      </c>
      <c r="R1553" s="3">
        <v>0</v>
      </c>
      <c r="S1553" s="3">
        <v>1.31</v>
      </c>
      <c r="T1553" s="3">
        <v>0</v>
      </c>
      <c r="U1553" s="3">
        <v>0</v>
      </c>
      <c r="V1553" s="3">
        <v>4.9000000000000004</v>
      </c>
      <c r="W1553" s="3" t="s">
        <v>1129</v>
      </c>
    </row>
    <row r="1554" spans="1:23" x14ac:dyDescent="0.35">
      <c r="A1554" t="s">
        <v>959</v>
      </c>
      <c r="B1554" t="s">
        <v>522</v>
      </c>
      <c r="C1554" t="s">
        <v>385</v>
      </c>
      <c r="D1554">
        <v>2015</v>
      </c>
      <c r="E1554">
        <v>286</v>
      </c>
      <c r="F1554" t="s">
        <v>600</v>
      </c>
      <c r="G1554" t="s">
        <v>829</v>
      </c>
      <c r="H1554" t="s">
        <v>1132</v>
      </c>
      <c r="K1554" t="s">
        <v>394</v>
      </c>
      <c r="M1554" t="s">
        <v>359</v>
      </c>
      <c r="N1554" t="s">
        <v>380</v>
      </c>
      <c r="O1554" t="s">
        <v>413</v>
      </c>
      <c r="P1554" t="s">
        <v>131</v>
      </c>
      <c r="Q1554" s="2" t="s">
        <v>229</v>
      </c>
      <c r="R1554" s="3">
        <v>100</v>
      </c>
      <c r="S1554" s="3">
        <v>1.23</v>
      </c>
      <c r="T1554" s="3">
        <v>0</v>
      </c>
      <c r="U1554" s="3">
        <v>0</v>
      </c>
      <c r="V1554" s="3">
        <v>2.6</v>
      </c>
      <c r="W1554" s="3" t="s">
        <v>1129</v>
      </c>
    </row>
    <row r="1555" spans="1:23" x14ac:dyDescent="0.35">
      <c r="A1555" t="s">
        <v>959</v>
      </c>
      <c r="B1555" t="s">
        <v>522</v>
      </c>
      <c r="C1555" t="s">
        <v>385</v>
      </c>
      <c r="D1555">
        <v>2015</v>
      </c>
      <c r="E1555">
        <v>286</v>
      </c>
      <c r="F1555" t="s">
        <v>600</v>
      </c>
      <c r="G1555" t="s">
        <v>829</v>
      </c>
      <c r="H1555" t="s">
        <v>1062</v>
      </c>
      <c r="K1555" t="s">
        <v>394</v>
      </c>
      <c r="M1555" t="s">
        <v>359</v>
      </c>
      <c r="N1555" t="s">
        <v>380</v>
      </c>
      <c r="O1555" t="s">
        <v>413</v>
      </c>
      <c r="P1555" t="s">
        <v>131</v>
      </c>
      <c r="Q1555" s="2" t="s">
        <v>229</v>
      </c>
      <c r="R1555" s="3">
        <v>100</v>
      </c>
      <c r="S1555" s="3">
        <v>1.42</v>
      </c>
      <c r="T1555" s="3">
        <v>0</v>
      </c>
      <c r="U1555" s="3">
        <v>0</v>
      </c>
      <c r="V1555" s="3">
        <v>0.7</v>
      </c>
      <c r="W1555" s="3" t="s">
        <v>1129</v>
      </c>
    </row>
    <row r="1556" spans="1:23" x14ac:dyDescent="0.35">
      <c r="A1556" t="s">
        <v>959</v>
      </c>
      <c r="B1556" t="s">
        <v>522</v>
      </c>
      <c r="C1556" t="s">
        <v>385</v>
      </c>
      <c r="D1556">
        <v>2015</v>
      </c>
      <c r="E1556">
        <v>286</v>
      </c>
      <c r="F1556" t="s">
        <v>600</v>
      </c>
      <c r="G1556" t="s">
        <v>829</v>
      </c>
      <c r="H1556" t="s">
        <v>1133</v>
      </c>
      <c r="K1556" t="s">
        <v>394</v>
      </c>
      <c r="M1556" t="s">
        <v>359</v>
      </c>
      <c r="N1556" t="s">
        <v>380</v>
      </c>
      <c r="O1556" t="s">
        <v>413</v>
      </c>
      <c r="P1556" t="s">
        <v>131</v>
      </c>
      <c r="Q1556" s="2" t="s">
        <v>229</v>
      </c>
      <c r="R1556" s="3">
        <v>100</v>
      </c>
      <c r="S1556" s="3">
        <v>1.29</v>
      </c>
      <c r="T1556" s="3">
        <v>0</v>
      </c>
      <c r="U1556">
        <v>-3.8</v>
      </c>
      <c r="V1556" s="3">
        <v>4.3</v>
      </c>
      <c r="W1556" s="3" t="s">
        <v>1129</v>
      </c>
    </row>
    <row r="1557" spans="1:23" x14ac:dyDescent="0.35">
      <c r="A1557" t="s">
        <v>959</v>
      </c>
      <c r="B1557" t="s">
        <v>522</v>
      </c>
      <c r="C1557" t="s">
        <v>385</v>
      </c>
      <c r="D1557">
        <v>2015</v>
      </c>
      <c r="E1557">
        <v>286</v>
      </c>
      <c r="F1557" t="s">
        <v>600</v>
      </c>
      <c r="G1557" t="s">
        <v>829</v>
      </c>
      <c r="H1557" t="s">
        <v>1134</v>
      </c>
      <c r="K1557" t="s">
        <v>394</v>
      </c>
      <c r="M1557" t="s">
        <v>359</v>
      </c>
      <c r="N1557" t="s">
        <v>380</v>
      </c>
      <c r="O1557" t="s">
        <v>413</v>
      </c>
      <c r="P1557" t="s">
        <v>131</v>
      </c>
      <c r="Q1557" s="2" t="s">
        <v>229</v>
      </c>
      <c r="R1557" s="3">
        <v>100</v>
      </c>
      <c r="S1557" s="3">
        <v>1.39</v>
      </c>
      <c r="T1557" s="3">
        <v>0</v>
      </c>
      <c r="U1557">
        <v>-3.8</v>
      </c>
      <c r="V1557" s="3">
        <v>1.5</v>
      </c>
      <c r="W1557" s="3" t="s">
        <v>1129</v>
      </c>
    </row>
    <row r="1558" spans="1:23" x14ac:dyDescent="0.35">
      <c r="A1558" t="s">
        <v>495</v>
      </c>
      <c r="B1558" t="s">
        <v>398</v>
      </c>
      <c r="C1558" t="s">
        <v>441</v>
      </c>
      <c r="D1558">
        <v>2008</v>
      </c>
      <c r="E1558">
        <v>287</v>
      </c>
      <c r="F1558" t="s">
        <v>600</v>
      </c>
      <c r="G1558" t="s">
        <v>829</v>
      </c>
      <c r="H1558" t="s">
        <v>1062</v>
      </c>
      <c r="K1558" t="s">
        <v>394</v>
      </c>
      <c r="M1558" t="s">
        <v>359</v>
      </c>
      <c r="N1558" t="s">
        <v>538</v>
      </c>
      <c r="O1558" t="s">
        <v>1136</v>
      </c>
      <c r="P1558" t="s">
        <v>1135</v>
      </c>
      <c r="Q1558" s="2" t="s">
        <v>229</v>
      </c>
      <c r="R1558" s="3">
        <v>0</v>
      </c>
      <c r="S1558" s="3">
        <v>1.75</v>
      </c>
      <c r="T1558" s="3">
        <v>0</v>
      </c>
      <c r="U1558" s="3">
        <v>0</v>
      </c>
      <c r="V1558" s="3">
        <v>3</v>
      </c>
      <c r="W1558" s="3" t="s">
        <v>1110</v>
      </c>
    </row>
    <row r="1559" spans="1:23" x14ac:dyDescent="0.35">
      <c r="A1559" t="s">
        <v>495</v>
      </c>
      <c r="B1559" t="s">
        <v>398</v>
      </c>
      <c r="C1559" t="s">
        <v>441</v>
      </c>
      <c r="D1559">
        <v>2008</v>
      </c>
      <c r="E1559">
        <v>287</v>
      </c>
      <c r="F1559" t="s">
        <v>600</v>
      </c>
      <c r="G1559" t="s">
        <v>829</v>
      </c>
      <c r="H1559" t="s">
        <v>1062</v>
      </c>
      <c r="K1559" t="s">
        <v>394</v>
      </c>
      <c r="M1559" t="s">
        <v>359</v>
      </c>
      <c r="N1559" t="s">
        <v>538</v>
      </c>
      <c r="O1559" t="s">
        <v>1136</v>
      </c>
      <c r="P1559" t="s">
        <v>1135</v>
      </c>
      <c r="Q1559" s="2" t="s">
        <v>229</v>
      </c>
      <c r="R1559" s="3">
        <v>100</v>
      </c>
      <c r="S1559" s="3">
        <v>1.68</v>
      </c>
      <c r="T1559" s="3">
        <v>0</v>
      </c>
      <c r="U1559" s="3">
        <v>0</v>
      </c>
      <c r="V1559" s="3">
        <v>0.5</v>
      </c>
      <c r="W1559" s="3" t="s">
        <v>1110</v>
      </c>
    </row>
    <row r="1560" spans="1:23" x14ac:dyDescent="0.35">
      <c r="A1560" t="s">
        <v>1137</v>
      </c>
      <c r="B1560" t="s">
        <v>468</v>
      </c>
      <c r="C1560" t="s">
        <v>385</v>
      </c>
      <c r="D1560">
        <v>2017</v>
      </c>
      <c r="E1560">
        <v>288</v>
      </c>
      <c r="F1560" t="s">
        <v>600</v>
      </c>
      <c r="G1560" t="s">
        <v>829</v>
      </c>
      <c r="H1560" t="s">
        <v>1062</v>
      </c>
      <c r="K1560" t="s">
        <v>394</v>
      </c>
      <c r="M1560" t="s">
        <v>359</v>
      </c>
      <c r="N1560" t="s">
        <v>173</v>
      </c>
      <c r="O1560" t="s">
        <v>439</v>
      </c>
      <c r="P1560" t="s">
        <v>172</v>
      </c>
      <c r="Q1560" s="2" t="s">
        <v>467</v>
      </c>
      <c r="R1560" s="3">
        <v>0</v>
      </c>
      <c r="S1560" s="3">
        <v>1.4</v>
      </c>
      <c r="T1560" s="3">
        <v>0</v>
      </c>
      <c r="U1560" s="3">
        <v>0</v>
      </c>
      <c r="V1560" s="3">
        <f>26.74/13.66</f>
        <v>1.9575402635431918</v>
      </c>
      <c r="W1560" s="3" t="s">
        <v>1110</v>
      </c>
    </row>
    <row r="1561" spans="1:23" x14ac:dyDescent="0.35">
      <c r="A1561" t="s">
        <v>1137</v>
      </c>
      <c r="B1561" t="s">
        <v>468</v>
      </c>
      <c r="C1561" t="s">
        <v>385</v>
      </c>
      <c r="D1561">
        <v>2017</v>
      </c>
      <c r="E1561">
        <v>288</v>
      </c>
      <c r="F1561" t="s">
        <v>600</v>
      </c>
      <c r="G1561" t="s">
        <v>829</v>
      </c>
      <c r="H1561" t="s">
        <v>1062</v>
      </c>
      <c r="K1561" t="s">
        <v>394</v>
      </c>
      <c r="M1561" t="s">
        <v>359</v>
      </c>
      <c r="N1561" t="s">
        <v>173</v>
      </c>
      <c r="O1561" t="s">
        <v>439</v>
      </c>
      <c r="P1561" t="s">
        <v>172</v>
      </c>
      <c r="Q1561" s="2" t="s">
        <v>467</v>
      </c>
      <c r="R1561" s="3">
        <v>56</v>
      </c>
      <c r="S1561" s="3">
        <v>1.43</v>
      </c>
      <c r="T1561" s="3">
        <v>0</v>
      </c>
      <c r="U1561" s="3">
        <v>0</v>
      </c>
      <c r="V1561" s="3">
        <f>25.35/16.64</f>
        <v>1.5234375</v>
      </c>
      <c r="W1561" s="3" t="s">
        <v>1110</v>
      </c>
    </row>
    <row r="1562" spans="1:23" x14ac:dyDescent="0.35">
      <c r="A1562" t="s">
        <v>1137</v>
      </c>
      <c r="B1562" t="s">
        <v>468</v>
      </c>
      <c r="C1562" t="s">
        <v>385</v>
      </c>
      <c r="D1562">
        <v>2017</v>
      </c>
      <c r="E1562">
        <v>288</v>
      </c>
      <c r="F1562" t="s">
        <v>600</v>
      </c>
      <c r="G1562" t="s">
        <v>829</v>
      </c>
      <c r="H1562" t="s">
        <v>1062</v>
      </c>
      <c r="K1562" t="s">
        <v>394</v>
      </c>
      <c r="M1562" t="s">
        <v>359</v>
      </c>
      <c r="N1562" t="s">
        <v>173</v>
      </c>
      <c r="O1562" t="s">
        <v>439</v>
      </c>
      <c r="P1562" t="s">
        <v>172</v>
      </c>
      <c r="Q1562" s="2" t="s">
        <v>467</v>
      </c>
      <c r="R1562" s="3">
        <v>0</v>
      </c>
      <c r="S1562" s="3">
        <v>1.05</v>
      </c>
      <c r="T1562" s="3">
        <v>0</v>
      </c>
      <c r="U1562" s="3">
        <v>0</v>
      </c>
      <c r="V1562" s="3">
        <f>28.67/14.22</f>
        <v>2.0161744022503516</v>
      </c>
      <c r="W1562" s="3" t="s">
        <v>1110</v>
      </c>
    </row>
    <row r="1563" spans="1:23" x14ac:dyDescent="0.35">
      <c r="A1563" t="s">
        <v>1137</v>
      </c>
      <c r="B1563" t="s">
        <v>468</v>
      </c>
      <c r="C1563" t="s">
        <v>385</v>
      </c>
      <c r="D1563">
        <v>2017</v>
      </c>
      <c r="E1563">
        <v>288</v>
      </c>
      <c r="F1563" t="s">
        <v>600</v>
      </c>
      <c r="G1563" t="s">
        <v>829</v>
      </c>
      <c r="H1563" t="s">
        <v>1062</v>
      </c>
      <c r="K1563" t="s">
        <v>394</v>
      </c>
      <c r="M1563" t="s">
        <v>359</v>
      </c>
      <c r="N1563" t="s">
        <v>173</v>
      </c>
      <c r="O1563" t="s">
        <v>439</v>
      </c>
      <c r="P1563" t="s">
        <v>172</v>
      </c>
      <c r="Q1563" s="2" t="s">
        <v>467</v>
      </c>
      <c r="R1563" s="3">
        <v>56</v>
      </c>
      <c r="S1563" s="3">
        <v>1.1100000000000001</v>
      </c>
      <c r="T1563" s="3">
        <v>0</v>
      </c>
      <c r="U1563" s="3">
        <v>0</v>
      </c>
      <c r="V1563" s="3">
        <f>24.11/17.06</f>
        <v>1.4132473622508792</v>
      </c>
      <c r="W1563" s="3" t="s">
        <v>1110</v>
      </c>
    </row>
    <row r="1564" spans="1:23" x14ac:dyDescent="0.35">
      <c r="A1564" t="s">
        <v>1002</v>
      </c>
      <c r="B1564" t="s">
        <v>468</v>
      </c>
      <c r="C1564" t="s">
        <v>385</v>
      </c>
      <c r="D1564">
        <v>2011</v>
      </c>
      <c r="E1564">
        <v>289</v>
      </c>
      <c r="F1564" t="s">
        <v>600</v>
      </c>
      <c r="G1564" t="s">
        <v>829</v>
      </c>
      <c r="H1564" t="s">
        <v>1062</v>
      </c>
      <c r="K1564" t="s">
        <v>394</v>
      </c>
      <c r="M1564" t="s">
        <v>359</v>
      </c>
      <c r="N1564" t="s">
        <v>538</v>
      </c>
      <c r="O1564" t="s">
        <v>705</v>
      </c>
      <c r="P1564" t="s">
        <v>706</v>
      </c>
      <c r="Q1564" s="2" t="s">
        <v>230</v>
      </c>
      <c r="R1564" s="3">
        <v>0</v>
      </c>
      <c r="S1564" s="3">
        <v>1.39</v>
      </c>
      <c r="T1564" s="3">
        <v>0</v>
      </c>
      <c r="U1564" s="3">
        <v>0</v>
      </c>
      <c r="V1564" s="3">
        <v>2.1</v>
      </c>
      <c r="W1564" s="3" t="s">
        <v>1110</v>
      </c>
    </row>
    <row r="1565" spans="1:23" x14ac:dyDescent="0.35">
      <c r="A1565" t="s">
        <v>1002</v>
      </c>
      <c r="B1565" t="s">
        <v>468</v>
      </c>
      <c r="C1565" t="s">
        <v>385</v>
      </c>
      <c r="D1565">
        <v>2011</v>
      </c>
      <c r="E1565">
        <v>289</v>
      </c>
      <c r="F1565" t="s">
        <v>600</v>
      </c>
      <c r="G1565" t="s">
        <v>829</v>
      </c>
      <c r="H1565" t="s">
        <v>1062</v>
      </c>
      <c r="K1565" t="s">
        <v>394</v>
      </c>
      <c r="M1565" t="s">
        <v>359</v>
      </c>
      <c r="N1565" t="s">
        <v>538</v>
      </c>
      <c r="O1565" t="s">
        <v>705</v>
      </c>
      <c r="P1565" t="s">
        <v>706</v>
      </c>
      <c r="Q1565" s="2" t="s">
        <v>230</v>
      </c>
      <c r="R1565" s="3">
        <v>33</v>
      </c>
      <c r="S1565" s="3">
        <v>1.45</v>
      </c>
      <c r="T1565" s="3">
        <v>0</v>
      </c>
      <c r="U1565" s="3">
        <v>0</v>
      </c>
      <c r="V1565" s="3">
        <v>1.4</v>
      </c>
      <c r="W1565" s="3" t="s">
        <v>1110</v>
      </c>
    </row>
    <row r="1566" spans="1:23" x14ac:dyDescent="0.35">
      <c r="A1566" t="s">
        <v>1002</v>
      </c>
      <c r="B1566" t="s">
        <v>468</v>
      </c>
      <c r="C1566" t="s">
        <v>385</v>
      </c>
      <c r="D1566">
        <v>2011</v>
      </c>
      <c r="E1566">
        <v>289</v>
      </c>
      <c r="F1566" t="s">
        <v>600</v>
      </c>
      <c r="G1566" t="s">
        <v>829</v>
      </c>
      <c r="H1566" t="s">
        <v>1062</v>
      </c>
      <c r="K1566" t="s">
        <v>394</v>
      </c>
      <c r="M1566" t="s">
        <v>359</v>
      </c>
      <c r="N1566" t="s">
        <v>538</v>
      </c>
      <c r="O1566" t="s">
        <v>705</v>
      </c>
      <c r="P1566" t="s">
        <v>706</v>
      </c>
      <c r="Q1566" s="2" t="s">
        <v>230</v>
      </c>
      <c r="R1566" s="3">
        <v>66</v>
      </c>
      <c r="S1566" s="3">
        <v>1.4</v>
      </c>
      <c r="T1566" s="3">
        <v>0</v>
      </c>
      <c r="U1566" s="3">
        <v>0</v>
      </c>
      <c r="V1566" s="3">
        <v>1</v>
      </c>
      <c r="W1566" s="3" t="s">
        <v>1110</v>
      </c>
    </row>
    <row r="1567" spans="1:23" x14ac:dyDescent="0.35">
      <c r="A1567" t="s">
        <v>1002</v>
      </c>
      <c r="B1567" t="s">
        <v>468</v>
      </c>
      <c r="C1567" t="s">
        <v>385</v>
      </c>
      <c r="D1567">
        <v>2011</v>
      </c>
      <c r="E1567">
        <v>289</v>
      </c>
      <c r="F1567" t="s">
        <v>600</v>
      </c>
      <c r="G1567" t="s">
        <v>829</v>
      </c>
      <c r="H1567" t="s">
        <v>1062</v>
      </c>
      <c r="K1567" t="s">
        <v>394</v>
      </c>
      <c r="M1567" t="s">
        <v>359</v>
      </c>
      <c r="N1567" t="s">
        <v>538</v>
      </c>
      <c r="O1567" t="s">
        <v>705</v>
      </c>
      <c r="P1567" t="s">
        <v>706</v>
      </c>
      <c r="Q1567" s="2" t="s">
        <v>230</v>
      </c>
      <c r="R1567" s="3">
        <v>100</v>
      </c>
      <c r="S1567" s="3">
        <v>1.46</v>
      </c>
      <c r="T1567" s="3">
        <v>0</v>
      </c>
      <c r="U1567" s="3">
        <v>0</v>
      </c>
      <c r="V1567" s="3">
        <v>0.7</v>
      </c>
      <c r="W1567" s="3" t="s">
        <v>1110</v>
      </c>
    </row>
    <row r="1568" spans="1:23" x14ac:dyDescent="0.35">
      <c r="A1568" t="s">
        <v>1002</v>
      </c>
      <c r="B1568" t="s">
        <v>384</v>
      </c>
      <c r="C1568" t="s">
        <v>385</v>
      </c>
      <c r="D1568">
        <v>2013</v>
      </c>
      <c r="E1568">
        <v>290</v>
      </c>
      <c r="F1568" t="s">
        <v>600</v>
      </c>
      <c r="G1568" t="s">
        <v>829</v>
      </c>
      <c r="H1568" t="s">
        <v>1062</v>
      </c>
      <c r="K1568" t="s">
        <v>394</v>
      </c>
      <c r="M1568" t="s">
        <v>359</v>
      </c>
      <c r="N1568" t="s">
        <v>538</v>
      </c>
      <c r="O1568" t="s">
        <v>866</v>
      </c>
      <c r="P1568" t="s">
        <v>865</v>
      </c>
      <c r="Q1568" s="2" t="s">
        <v>230</v>
      </c>
      <c r="R1568" s="3">
        <v>0</v>
      </c>
      <c r="S1568" s="3">
        <v>1.24</v>
      </c>
      <c r="T1568" s="3">
        <v>0</v>
      </c>
      <c r="U1568" s="3">
        <v>0</v>
      </c>
      <c r="V1568" s="3">
        <f>47.8/8.1</f>
        <v>5.9012345679012341</v>
      </c>
      <c r="W1568" s="3" t="s">
        <v>1110</v>
      </c>
    </row>
    <row r="1569" spans="1:23" x14ac:dyDescent="0.35">
      <c r="A1569" t="s">
        <v>1002</v>
      </c>
      <c r="B1569" t="s">
        <v>384</v>
      </c>
      <c r="C1569" t="s">
        <v>385</v>
      </c>
      <c r="D1569">
        <v>2013</v>
      </c>
      <c r="E1569">
        <v>290</v>
      </c>
      <c r="F1569" t="s">
        <v>600</v>
      </c>
      <c r="G1569" t="s">
        <v>829</v>
      </c>
      <c r="H1569" t="s">
        <v>1062</v>
      </c>
      <c r="K1569" t="s">
        <v>394</v>
      </c>
      <c r="M1569" t="s">
        <v>359</v>
      </c>
      <c r="N1569" t="s">
        <v>538</v>
      </c>
      <c r="O1569" t="s">
        <v>866</v>
      </c>
      <c r="P1569" t="s">
        <v>865</v>
      </c>
      <c r="Q1569" s="2" t="s">
        <v>230</v>
      </c>
      <c r="R1569" s="3">
        <v>25</v>
      </c>
      <c r="S1569" s="3">
        <v>1.24</v>
      </c>
      <c r="T1569" s="3">
        <v>0</v>
      </c>
      <c r="U1569" s="3">
        <v>0</v>
      </c>
      <c r="V1569" s="3">
        <f>49.2/13.3</f>
        <v>3.6992481203007519</v>
      </c>
      <c r="W1569" s="3" t="s">
        <v>1110</v>
      </c>
    </row>
    <row r="1570" spans="1:23" x14ac:dyDescent="0.35">
      <c r="A1570" t="s">
        <v>1002</v>
      </c>
      <c r="B1570" t="s">
        <v>384</v>
      </c>
      <c r="C1570" t="s">
        <v>385</v>
      </c>
      <c r="D1570">
        <v>2013</v>
      </c>
      <c r="E1570">
        <v>290</v>
      </c>
      <c r="F1570" t="s">
        <v>600</v>
      </c>
      <c r="G1570" t="s">
        <v>829</v>
      </c>
      <c r="H1570" t="s">
        <v>1062</v>
      </c>
      <c r="K1570" t="s">
        <v>394</v>
      </c>
      <c r="M1570" t="s">
        <v>359</v>
      </c>
      <c r="N1570" t="s">
        <v>538</v>
      </c>
      <c r="O1570" t="s">
        <v>866</v>
      </c>
      <c r="P1570" t="s">
        <v>865</v>
      </c>
      <c r="Q1570" s="2" t="s">
        <v>230</v>
      </c>
      <c r="R1570" s="3">
        <v>50</v>
      </c>
      <c r="S1570" s="3">
        <v>1.28</v>
      </c>
      <c r="T1570" s="3">
        <v>0</v>
      </c>
      <c r="U1570" s="3">
        <v>0</v>
      </c>
      <c r="V1570" s="3">
        <f>33.6/17.7</f>
        <v>1.8983050847457628</v>
      </c>
      <c r="W1570" s="3" t="s">
        <v>1110</v>
      </c>
    </row>
    <row r="1571" spans="1:23" x14ac:dyDescent="0.35">
      <c r="A1571" t="s">
        <v>1002</v>
      </c>
      <c r="B1571" t="s">
        <v>384</v>
      </c>
      <c r="C1571" t="s">
        <v>385</v>
      </c>
      <c r="D1571">
        <v>2013</v>
      </c>
      <c r="E1571">
        <v>290</v>
      </c>
      <c r="F1571" t="s">
        <v>600</v>
      </c>
      <c r="G1571" t="s">
        <v>829</v>
      </c>
      <c r="H1571" t="s">
        <v>1062</v>
      </c>
      <c r="K1571" t="s">
        <v>394</v>
      </c>
      <c r="M1571" t="s">
        <v>359</v>
      </c>
      <c r="N1571" t="s">
        <v>538</v>
      </c>
      <c r="O1571" t="s">
        <v>866</v>
      </c>
      <c r="P1571" t="s">
        <v>865</v>
      </c>
      <c r="Q1571" s="2" t="s">
        <v>230</v>
      </c>
      <c r="R1571" s="3">
        <v>75</v>
      </c>
      <c r="S1571" s="3">
        <v>1.31</v>
      </c>
      <c r="T1571" s="3">
        <v>0</v>
      </c>
      <c r="U1571" s="3">
        <v>0</v>
      </c>
      <c r="V1571" s="3">
        <f>27.9/24.2</f>
        <v>1.1528925619834711</v>
      </c>
      <c r="W1571" s="3" t="s">
        <v>1110</v>
      </c>
    </row>
    <row r="1572" spans="1:23" x14ac:dyDescent="0.35">
      <c r="A1572" t="s">
        <v>1002</v>
      </c>
      <c r="B1572" t="s">
        <v>384</v>
      </c>
      <c r="C1572" t="s">
        <v>385</v>
      </c>
      <c r="D1572">
        <v>2013</v>
      </c>
      <c r="E1572">
        <v>290</v>
      </c>
      <c r="F1572" t="s">
        <v>600</v>
      </c>
      <c r="G1572" t="s">
        <v>829</v>
      </c>
      <c r="H1572" t="s">
        <v>1062</v>
      </c>
      <c r="K1572" t="s">
        <v>394</v>
      </c>
      <c r="M1572" t="s">
        <v>359</v>
      </c>
      <c r="N1572" t="s">
        <v>538</v>
      </c>
      <c r="O1572" t="s">
        <v>866</v>
      </c>
      <c r="P1572" t="s">
        <v>865</v>
      </c>
      <c r="Q1572" s="2" t="s">
        <v>230</v>
      </c>
      <c r="R1572" s="3">
        <v>100</v>
      </c>
      <c r="S1572" s="3">
        <v>1.33</v>
      </c>
      <c r="T1572" s="3">
        <v>0</v>
      </c>
      <c r="U1572" s="3">
        <v>0</v>
      </c>
      <c r="V1572" s="3">
        <f>23.7/29.6</f>
        <v>0.80067567567567566</v>
      </c>
      <c r="W1572" s="3" t="s">
        <v>1110</v>
      </c>
    </row>
    <row r="1573" spans="1:23" x14ac:dyDescent="0.35">
      <c r="A1573" t="s">
        <v>1002</v>
      </c>
      <c r="B1573" t="s">
        <v>384</v>
      </c>
      <c r="C1573" t="s">
        <v>385</v>
      </c>
      <c r="D1573">
        <v>2013</v>
      </c>
      <c r="E1573">
        <v>290</v>
      </c>
      <c r="F1573" t="s">
        <v>600</v>
      </c>
      <c r="G1573" t="s">
        <v>829</v>
      </c>
      <c r="H1573" t="s">
        <v>1138</v>
      </c>
      <c r="K1573" t="s">
        <v>394</v>
      </c>
      <c r="M1573" t="s">
        <v>359</v>
      </c>
      <c r="N1573" t="s">
        <v>538</v>
      </c>
      <c r="O1573" t="s">
        <v>866</v>
      </c>
      <c r="P1573" t="s">
        <v>865</v>
      </c>
      <c r="Q1573" s="2" t="s">
        <v>230</v>
      </c>
      <c r="R1573" s="3">
        <v>0</v>
      </c>
      <c r="S1573" s="3">
        <v>1.24</v>
      </c>
      <c r="T1573" s="3">
        <v>0</v>
      </c>
      <c r="U1573" s="3">
        <v>0</v>
      </c>
      <c r="V1573" s="3">
        <f>47.8/8.1</f>
        <v>5.9012345679012341</v>
      </c>
      <c r="W1573" s="3" t="s">
        <v>1110</v>
      </c>
    </row>
    <row r="1574" spans="1:23" x14ac:dyDescent="0.35">
      <c r="A1574" t="s">
        <v>1002</v>
      </c>
      <c r="B1574" t="s">
        <v>384</v>
      </c>
      <c r="C1574" t="s">
        <v>385</v>
      </c>
      <c r="D1574">
        <v>2013</v>
      </c>
      <c r="E1574">
        <v>290</v>
      </c>
      <c r="F1574" t="s">
        <v>600</v>
      </c>
      <c r="G1574" t="s">
        <v>829</v>
      </c>
      <c r="H1574" t="s">
        <v>1138</v>
      </c>
      <c r="K1574" t="s">
        <v>394</v>
      </c>
      <c r="M1574" t="s">
        <v>359</v>
      </c>
      <c r="N1574" t="s">
        <v>538</v>
      </c>
      <c r="O1574" t="s">
        <v>866</v>
      </c>
      <c r="P1574" t="s">
        <v>865</v>
      </c>
      <c r="Q1574" s="2" t="s">
        <v>230</v>
      </c>
      <c r="R1574" s="3">
        <v>25</v>
      </c>
      <c r="S1574" s="3">
        <v>1.18</v>
      </c>
      <c r="T1574" s="3">
        <v>0</v>
      </c>
      <c r="U1574" s="3">
        <v>0</v>
      </c>
      <c r="V1574" s="3">
        <f>40.4/8.1</f>
        <v>4.9876543209876543</v>
      </c>
      <c r="W1574" s="3" t="s">
        <v>1110</v>
      </c>
    </row>
    <row r="1575" spans="1:23" x14ac:dyDescent="0.35">
      <c r="A1575" t="s">
        <v>1002</v>
      </c>
      <c r="B1575" t="s">
        <v>384</v>
      </c>
      <c r="C1575" t="s">
        <v>385</v>
      </c>
      <c r="D1575">
        <v>2013</v>
      </c>
      <c r="E1575">
        <v>290</v>
      </c>
      <c r="F1575" t="s">
        <v>600</v>
      </c>
      <c r="G1575" t="s">
        <v>829</v>
      </c>
      <c r="H1575" t="s">
        <v>1138</v>
      </c>
      <c r="K1575" t="s">
        <v>394</v>
      </c>
      <c r="M1575" t="s">
        <v>359</v>
      </c>
      <c r="N1575" t="s">
        <v>538</v>
      </c>
      <c r="O1575" t="s">
        <v>866</v>
      </c>
      <c r="P1575" t="s">
        <v>865</v>
      </c>
      <c r="Q1575" s="2" t="s">
        <v>230</v>
      </c>
      <c r="R1575" s="3">
        <v>50</v>
      </c>
      <c r="S1575" s="3">
        <v>1.18</v>
      </c>
      <c r="T1575" s="3">
        <v>0</v>
      </c>
      <c r="U1575" s="3">
        <v>0</v>
      </c>
      <c r="V1575" s="3">
        <f>39.1/9.1</f>
        <v>4.2967032967032974</v>
      </c>
      <c r="W1575" s="3" t="s">
        <v>1110</v>
      </c>
    </row>
    <row r="1576" spans="1:23" x14ac:dyDescent="0.35">
      <c r="A1576" t="s">
        <v>1002</v>
      </c>
      <c r="B1576" t="s">
        <v>384</v>
      </c>
      <c r="C1576" t="s">
        <v>385</v>
      </c>
      <c r="D1576">
        <v>2013</v>
      </c>
      <c r="E1576">
        <v>290</v>
      </c>
      <c r="F1576" t="s">
        <v>600</v>
      </c>
      <c r="G1576" t="s">
        <v>829</v>
      </c>
      <c r="H1576" t="s">
        <v>1138</v>
      </c>
      <c r="K1576" t="s">
        <v>394</v>
      </c>
      <c r="M1576" t="s">
        <v>359</v>
      </c>
      <c r="N1576" t="s">
        <v>538</v>
      </c>
      <c r="O1576" t="s">
        <v>866</v>
      </c>
      <c r="P1576" t="s">
        <v>865</v>
      </c>
      <c r="Q1576" s="2" t="s">
        <v>230</v>
      </c>
      <c r="R1576" s="3">
        <v>75</v>
      </c>
      <c r="S1576" s="3">
        <v>1.1499999999999999</v>
      </c>
      <c r="T1576" s="3">
        <v>0</v>
      </c>
      <c r="U1576" s="3">
        <v>0</v>
      </c>
      <c r="V1576" s="3">
        <f>39/10.3</f>
        <v>3.7864077669902909</v>
      </c>
      <c r="W1576" s="3" t="s">
        <v>1110</v>
      </c>
    </row>
    <row r="1577" spans="1:23" x14ac:dyDescent="0.35">
      <c r="A1577" t="s">
        <v>1002</v>
      </c>
      <c r="B1577" t="s">
        <v>384</v>
      </c>
      <c r="C1577" t="s">
        <v>385</v>
      </c>
      <c r="D1577">
        <v>2013</v>
      </c>
      <c r="E1577">
        <v>290</v>
      </c>
      <c r="F1577" t="s">
        <v>600</v>
      </c>
      <c r="G1577" t="s">
        <v>829</v>
      </c>
      <c r="H1577" t="s">
        <v>1138</v>
      </c>
      <c r="K1577" t="s">
        <v>394</v>
      </c>
      <c r="M1577" t="s">
        <v>359</v>
      </c>
      <c r="N1577" t="s">
        <v>538</v>
      </c>
      <c r="O1577" t="s">
        <v>866</v>
      </c>
      <c r="P1577" t="s">
        <v>865</v>
      </c>
      <c r="Q1577" s="2" t="s">
        <v>230</v>
      </c>
      <c r="R1577" s="3">
        <v>100</v>
      </c>
      <c r="S1577" s="3">
        <v>1.1599999999999999</v>
      </c>
      <c r="T1577" s="3">
        <v>0</v>
      </c>
      <c r="U1577" s="3">
        <v>0</v>
      </c>
      <c r="V1577" s="3">
        <f>38.1/13.2</f>
        <v>2.8863636363636367</v>
      </c>
      <c r="W1577" s="3" t="s">
        <v>1110</v>
      </c>
    </row>
    <row r="1578" spans="1:23" x14ac:dyDescent="0.35">
      <c r="A1578" t="s">
        <v>1139</v>
      </c>
      <c r="B1578" t="s">
        <v>398</v>
      </c>
      <c r="C1578" t="s">
        <v>1140</v>
      </c>
      <c r="D1578">
        <v>2010</v>
      </c>
      <c r="E1578">
        <v>291</v>
      </c>
      <c r="F1578" t="s">
        <v>600</v>
      </c>
      <c r="G1578" t="s">
        <v>829</v>
      </c>
      <c r="H1578" t="s">
        <v>1062</v>
      </c>
      <c r="K1578" t="s">
        <v>394</v>
      </c>
      <c r="M1578" t="s">
        <v>359</v>
      </c>
      <c r="N1578" t="s">
        <v>304</v>
      </c>
      <c r="O1578" t="s">
        <v>1142</v>
      </c>
      <c r="P1578" t="s">
        <v>1141</v>
      </c>
      <c r="Q1578" s="2" t="s">
        <v>230</v>
      </c>
      <c r="R1578" s="3">
        <v>0</v>
      </c>
      <c r="S1578" s="3">
        <v>1.52</v>
      </c>
      <c r="T1578" s="3">
        <v>0</v>
      </c>
      <c r="U1578" s="3">
        <v>0</v>
      </c>
      <c r="V1578" s="3">
        <f>14.49/5.87</f>
        <v>2.4684838160136287</v>
      </c>
      <c r="W1578" s="3" t="s">
        <v>1111</v>
      </c>
    </row>
    <row r="1579" spans="1:23" x14ac:dyDescent="0.35">
      <c r="A1579" t="s">
        <v>1139</v>
      </c>
      <c r="B1579" t="s">
        <v>398</v>
      </c>
      <c r="C1579" t="s">
        <v>1140</v>
      </c>
      <c r="D1579">
        <v>2010</v>
      </c>
      <c r="E1579">
        <v>291</v>
      </c>
      <c r="F1579" t="s">
        <v>600</v>
      </c>
      <c r="G1579" t="s">
        <v>829</v>
      </c>
      <c r="H1579" t="s">
        <v>1062</v>
      </c>
      <c r="K1579" t="s">
        <v>394</v>
      </c>
      <c r="M1579" t="s">
        <v>359</v>
      </c>
      <c r="N1579" t="s">
        <v>304</v>
      </c>
      <c r="O1579" t="s">
        <v>1142</v>
      </c>
      <c r="P1579" t="s">
        <v>1141</v>
      </c>
      <c r="Q1579" s="2" t="s">
        <v>230</v>
      </c>
      <c r="R1579" s="3">
        <v>100</v>
      </c>
      <c r="S1579" s="3">
        <v>2.4</v>
      </c>
      <c r="T1579" s="3">
        <v>0</v>
      </c>
      <c r="U1579" s="3">
        <v>0</v>
      </c>
      <c r="V1579" s="3">
        <f>5.56/8.4</f>
        <v>0.66190476190476188</v>
      </c>
      <c r="W1579" s="3" t="s">
        <v>1111</v>
      </c>
    </row>
    <row r="1580" spans="1:23" x14ac:dyDescent="0.35">
      <c r="A1580" t="s">
        <v>1143</v>
      </c>
      <c r="B1580" t="s">
        <v>532</v>
      </c>
      <c r="C1580" t="s">
        <v>692</v>
      </c>
      <c r="D1580">
        <v>2009</v>
      </c>
      <c r="E1580">
        <v>292</v>
      </c>
      <c r="F1580" t="s">
        <v>863</v>
      </c>
      <c r="G1580" t="s">
        <v>829</v>
      </c>
      <c r="H1580" t="s">
        <v>1062</v>
      </c>
      <c r="I1580" t="s">
        <v>1073</v>
      </c>
      <c r="J1580" t="s">
        <v>1144</v>
      </c>
      <c r="K1580" t="s">
        <v>394</v>
      </c>
      <c r="M1580" t="s">
        <v>359</v>
      </c>
      <c r="N1580" t="s">
        <v>538</v>
      </c>
      <c r="O1580" t="s">
        <v>95</v>
      </c>
      <c r="P1580" t="s">
        <v>401</v>
      </c>
      <c r="Q1580" s="2" t="s">
        <v>891</v>
      </c>
      <c r="R1580" s="3">
        <v>0</v>
      </c>
      <c r="S1580" s="3">
        <v>1.22</v>
      </c>
      <c r="T1580" s="3">
        <v>0</v>
      </c>
      <c r="U1580" s="3">
        <v>0</v>
      </c>
      <c r="V1580" s="3">
        <f>12.83/6.12</f>
        <v>2.09640522875817</v>
      </c>
      <c r="W1580" s="3" t="s">
        <v>1111</v>
      </c>
    </row>
    <row r="1581" spans="1:23" x14ac:dyDescent="0.35">
      <c r="A1581" t="s">
        <v>1143</v>
      </c>
      <c r="B1581" t="s">
        <v>532</v>
      </c>
      <c r="C1581" t="s">
        <v>692</v>
      </c>
      <c r="D1581">
        <v>2009</v>
      </c>
      <c r="E1581">
        <v>292</v>
      </c>
      <c r="F1581" t="s">
        <v>863</v>
      </c>
      <c r="G1581" t="s">
        <v>829</v>
      </c>
      <c r="H1581" t="s">
        <v>1062</v>
      </c>
      <c r="I1581" t="s">
        <v>1073</v>
      </c>
      <c r="J1581" t="s">
        <v>1144</v>
      </c>
      <c r="K1581" t="s">
        <v>394</v>
      </c>
      <c r="M1581" t="s">
        <v>359</v>
      </c>
      <c r="N1581" t="s">
        <v>538</v>
      </c>
      <c r="O1581" t="s">
        <v>95</v>
      </c>
      <c r="P1581" t="s">
        <v>401</v>
      </c>
      <c r="Q1581" s="2" t="s">
        <v>891</v>
      </c>
      <c r="R1581" s="3">
        <v>60</v>
      </c>
      <c r="S1581" s="3">
        <v>1.1299999999999999</v>
      </c>
      <c r="T1581" s="3">
        <v>0</v>
      </c>
      <c r="U1581" s="3">
        <v>0</v>
      </c>
      <c r="V1581" s="3">
        <f>11.15/3.85</f>
        <v>2.8961038961038961</v>
      </c>
      <c r="W1581" s="3" t="s">
        <v>1111</v>
      </c>
    </row>
    <row r="1582" spans="1:23" x14ac:dyDescent="0.35">
      <c r="A1582" t="s">
        <v>1145</v>
      </c>
      <c r="B1582" t="s">
        <v>455</v>
      </c>
      <c r="C1582" t="s">
        <v>370</v>
      </c>
      <c r="D1582">
        <v>2016</v>
      </c>
      <c r="E1582">
        <v>293</v>
      </c>
      <c r="F1582" t="s">
        <v>600</v>
      </c>
      <c r="G1582" t="s">
        <v>829</v>
      </c>
      <c r="H1582" t="s">
        <v>1062</v>
      </c>
      <c r="K1582" t="s">
        <v>394</v>
      </c>
      <c r="M1582" t="s">
        <v>359</v>
      </c>
      <c r="N1582" t="s">
        <v>173</v>
      </c>
      <c r="O1582" t="s">
        <v>439</v>
      </c>
      <c r="P1582" t="s">
        <v>172</v>
      </c>
      <c r="Q1582" s="2" t="s">
        <v>230</v>
      </c>
      <c r="R1582" s="3">
        <v>0</v>
      </c>
      <c r="S1582" s="3">
        <v>1.43</v>
      </c>
      <c r="T1582" s="3">
        <v>0</v>
      </c>
      <c r="U1582" s="3">
        <v>0</v>
      </c>
      <c r="V1582" s="3">
        <v>1.81</v>
      </c>
      <c r="W1582" s="3" t="s">
        <v>1110</v>
      </c>
    </row>
    <row r="1583" spans="1:23" x14ac:dyDescent="0.35">
      <c r="A1583" t="s">
        <v>1145</v>
      </c>
      <c r="B1583" t="s">
        <v>455</v>
      </c>
      <c r="C1583" t="s">
        <v>370</v>
      </c>
      <c r="D1583">
        <v>2016</v>
      </c>
      <c r="E1583">
        <v>293</v>
      </c>
      <c r="F1583" t="s">
        <v>600</v>
      </c>
      <c r="G1583" t="s">
        <v>829</v>
      </c>
      <c r="H1583" t="s">
        <v>1062</v>
      </c>
      <c r="K1583" t="s">
        <v>394</v>
      </c>
      <c r="M1583" t="s">
        <v>359</v>
      </c>
      <c r="N1583" t="s">
        <v>173</v>
      </c>
      <c r="O1583" t="s">
        <v>439</v>
      </c>
      <c r="P1583" t="s">
        <v>172</v>
      </c>
      <c r="Q1583" s="2" t="s">
        <v>230</v>
      </c>
      <c r="R1583" s="3">
        <v>25</v>
      </c>
      <c r="S1583" s="3">
        <v>1.43</v>
      </c>
      <c r="T1583" s="3">
        <v>0</v>
      </c>
      <c r="U1583" s="3">
        <v>0</v>
      </c>
      <c r="V1583" s="3">
        <v>1.65</v>
      </c>
      <c r="W1583" s="3" t="s">
        <v>1110</v>
      </c>
    </row>
    <row r="1584" spans="1:23" x14ac:dyDescent="0.35">
      <c r="A1584" t="s">
        <v>1145</v>
      </c>
      <c r="B1584" t="s">
        <v>455</v>
      </c>
      <c r="C1584" t="s">
        <v>370</v>
      </c>
      <c r="D1584">
        <v>2016</v>
      </c>
      <c r="E1584">
        <v>293</v>
      </c>
      <c r="F1584" t="s">
        <v>600</v>
      </c>
      <c r="G1584" t="s">
        <v>829</v>
      </c>
      <c r="H1584" t="s">
        <v>1062</v>
      </c>
      <c r="K1584" t="s">
        <v>394</v>
      </c>
      <c r="M1584" t="s">
        <v>359</v>
      </c>
      <c r="N1584" t="s">
        <v>173</v>
      </c>
      <c r="O1584" t="s">
        <v>439</v>
      </c>
      <c r="P1584" t="s">
        <v>172</v>
      </c>
      <c r="Q1584" s="2" t="s">
        <v>230</v>
      </c>
      <c r="R1584" s="3">
        <v>50</v>
      </c>
      <c r="S1584" s="3">
        <v>1.51</v>
      </c>
      <c r="T1584" s="3">
        <v>0</v>
      </c>
      <c r="U1584" s="3">
        <v>0</v>
      </c>
      <c r="V1584" s="3">
        <v>1.62</v>
      </c>
      <c r="W1584" s="3" t="s">
        <v>1110</v>
      </c>
    </row>
    <row r="1585" spans="1:23" x14ac:dyDescent="0.35">
      <c r="A1585" t="s">
        <v>1145</v>
      </c>
      <c r="B1585" t="s">
        <v>455</v>
      </c>
      <c r="C1585" t="s">
        <v>370</v>
      </c>
      <c r="D1585">
        <v>2016</v>
      </c>
      <c r="E1585">
        <v>293</v>
      </c>
      <c r="F1585" t="s">
        <v>600</v>
      </c>
      <c r="G1585" t="s">
        <v>829</v>
      </c>
      <c r="H1585" t="s">
        <v>1062</v>
      </c>
      <c r="K1585" t="s">
        <v>394</v>
      </c>
      <c r="M1585" t="s">
        <v>359</v>
      </c>
      <c r="N1585" t="s">
        <v>173</v>
      </c>
      <c r="O1585" t="s">
        <v>439</v>
      </c>
      <c r="P1585" t="s">
        <v>172</v>
      </c>
      <c r="Q1585" s="2" t="s">
        <v>230</v>
      </c>
      <c r="R1585" s="3">
        <v>75</v>
      </c>
      <c r="S1585" s="3">
        <v>1.55</v>
      </c>
      <c r="T1585" s="3">
        <v>0</v>
      </c>
      <c r="U1585" s="3">
        <v>0</v>
      </c>
      <c r="V1585" s="3">
        <v>1.34</v>
      </c>
      <c r="W1585" s="3" t="s">
        <v>1110</v>
      </c>
    </row>
    <row r="1586" spans="1:23" x14ac:dyDescent="0.35">
      <c r="A1586" t="s">
        <v>1145</v>
      </c>
      <c r="B1586" t="s">
        <v>455</v>
      </c>
      <c r="C1586" t="s">
        <v>370</v>
      </c>
      <c r="D1586">
        <v>2016</v>
      </c>
      <c r="E1586">
        <v>293</v>
      </c>
      <c r="F1586" t="s">
        <v>600</v>
      </c>
      <c r="G1586" t="s">
        <v>829</v>
      </c>
      <c r="H1586" t="s">
        <v>1062</v>
      </c>
      <c r="K1586" t="s">
        <v>394</v>
      </c>
      <c r="M1586" t="s">
        <v>359</v>
      </c>
      <c r="N1586" t="s">
        <v>173</v>
      </c>
      <c r="O1586" t="s">
        <v>439</v>
      </c>
      <c r="P1586" t="s">
        <v>172</v>
      </c>
      <c r="Q1586" s="2" t="s">
        <v>230</v>
      </c>
      <c r="R1586" s="3">
        <v>100</v>
      </c>
      <c r="S1586" s="3">
        <v>1.5</v>
      </c>
      <c r="T1586" s="3">
        <v>0</v>
      </c>
      <c r="U1586" s="3">
        <v>0</v>
      </c>
      <c r="V1586" s="3">
        <v>0.98</v>
      </c>
      <c r="W1586" s="3" t="s">
        <v>1110</v>
      </c>
    </row>
    <row r="1587" spans="1:23" x14ac:dyDescent="0.35">
      <c r="A1587" t="s">
        <v>1146</v>
      </c>
      <c r="B1587" t="s">
        <v>473</v>
      </c>
      <c r="C1587" t="s">
        <v>370</v>
      </c>
      <c r="D1587">
        <v>2015</v>
      </c>
      <c r="E1587">
        <v>294</v>
      </c>
      <c r="F1587" t="s">
        <v>600</v>
      </c>
      <c r="G1587" t="s">
        <v>829</v>
      </c>
      <c r="H1587" t="s">
        <v>1062</v>
      </c>
      <c r="K1587" t="s">
        <v>394</v>
      </c>
      <c r="M1587" t="s">
        <v>359</v>
      </c>
      <c r="N1587" t="s">
        <v>538</v>
      </c>
      <c r="O1587" t="s">
        <v>887</v>
      </c>
      <c r="P1587" t="s">
        <v>888</v>
      </c>
      <c r="Q1587" s="2" t="s">
        <v>230</v>
      </c>
      <c r="R1587" s="3">
        <v>0</v>
      </c>
      <c r="S1587" s="3">
        <f>1/0.82</f>
        <v>1.2195121951219512</v>
      </c>
      <c r="T1587" s="3">
        <v>0</v>
      </c>
      <c r="U1587" s="3">
        <v>0</v>
      </c>
      <c r="V1587" s="3">
        <v>0.91</v>
      </c>
      <c r="W1587" s="3" t="s">
        <v>1111</v>
      </c>
    </row>
    <row r="1588" spans="1:23" x14ac:dyDescent="0.35">
      <c r="A1588" t="s">
        <v>1146</v>
      </c>
      <c r="B1588" t="s">
        <v>473</v>
      </c>
      <c r="C1588" t="s">
        <v>370</v>
      </c>
      <c r="D1588">
        <v>2015</v>
      </c>
      <c r="E1588">
        <v>294</v>
      </c>
      <c r="F1588" t="s">
        <v>600</v>
      </c>
      <c r="G1588" t="s">
        <v>829</v>
      </c>
      <c r="H1588" t="s">
        <v>1062</v>
      </c>
      <c r="K1588" t="s">
        <v>394</v>
      </c>
      <c r="M1588" t="s">
        <v>359</v>
      </c>
      <c r="N1588" t="s">
        <v>538</v>
      </c>
      <c r="O1588" t="s">
        <v>887</v>
      </c>
      <c r="P1588" t="s">
        <v>888</v>
      </c>
      <c r="Q1588" s="2" t="s">
        <v>230</v>
      </c>
      <c r="R1588" s="3">
        <v>33</v>
      </c>
      <c r="S1588" s="3">
        <f>1/0.8</f>
        <v>1.25</v>
      </c>
      <c r="T1588" s="3">
        <v>0</v>
      </c>
      <c r="U1588" s="3">
        <v>0</v>
      </c>
      <c r="V1588" s="3">
        <v>0.51</v>
      </c>
      <c r="W1588" s="3" t="s">
        <v>1111</v>
      </c>
    </row>
    <row r="1589" spans="1:23" x14ac:dyDescent="0.35">
      <c r="A1589" t="s">
        <v>1146</v>
      </c>
      <c r="B1589" t="s">
        <v>473</v>
      </c>
      <c r="C1589" t="s">
        <v>370</v>
      </c>
      <c r="D1589">
        <v>2015</v>
      </c>
      <c r="E1589">
        <v>294</v>
      </c>
      <c r="F1589" t="s">
        <v>600</v>
      </c>
      <c r="G1589" t="s">
        <v>829</v>
      </c>
      <c r="H1589" t="s">
        <v>1062</v>
      </c>
      <c r="K1589" t="s">
        <v>394</v>
      </c>
      <c r="M1589" t="s">
        <v>359</v>
      </c>
      <c r="N1589" t="s">
        <v>538</v>
      </c>
      <c r="O1589" t="s">
        <v>887</v>
      </c>
      <c r="P1589" t="s">
        <v>888</v>
      </c>
      <c r="Q1589" s="2" t="s">
        <v>230</v>
      </c>
      <c r="R1589" s="3">
        <v>66</v>
      </c>
      <c r="S1589" s="3">
        <f>1/0.77</f>
        <v>1.2987012987012987</v>
      </c>
      <c r="T1589" s="3">
        <v>0</v>
      </c>
      <c r="U1589" s="3">
        <v>0</v>
      </c>
      <c r="V1589" s="3">
        <v>0.35</v>
      </c>
      <c r="W1589" s="3" t="s">
        <v>1111</v>
      </c>
    </row>
    <row r="1590" spans="1:23" x14ac:dyDescent="0.35">
      <c r="A1590" t="s">
        <v>1146</v>
      </c>
      <c r="B1590" t="s">
        <v>473</v>
      </c>
      <c r="C1590" t="s">
        <v>370</v>
      </c>
      <c r="D1590">
        <v>2015</v>
      </c>
      <c r="E1590">
        <v>294</v>
      </c>
      <c r="F1590" t="s">
        <v>600</v>
      </c>
      <c r="G1590" t="s">
        <v>829</v>
      </c>
      <c r="H1590" t="s">
        <v>1062</v>
      </c>
      <c r="K1590" t="s">
        <v>394</v>
      </c>
      <c r="M1590" t="s">
        <v>359</v>
      </c>
      <c r="N1590" t="s">
        <v>538</v>
      </c>
      <c r="O1590" t="s">
        <v>887</v>
      </c>
      <c r="P1590" t="s">
        <v>888</v>
      </c>
      <c r="Q1590" s="2" t="s">
        <v>230</v>
      </c>
      <c r="R1590" s="3">
        <v>100</v>
      </c>
      <c r="S1590" s="3">
        <f>1/0.75</f>
        <v>1.3333333333333333</v>
      </c>
      <c r="T1590" s="3">
        <v>0</v>
      </c>
      <c r="U1590" s="3">
        <v>0</v>
      </c>
      <c r="V1590" s="3">
        <v>0.22</v>
      </c>
      <c r="W1590" s="3" t="s">
        <v>1111</v>
      </c>
    </row>
  </sheetData>
  <sortState ref="A2:V49">
    <sortCondition ref="M2:M49"/>
    <sortCondition ref="N2:N49"/>
  </sortState>
  <pageMargins left="0.7" right="0.7" top="0.75" bottom="0.75" header="0.3" footer="0.3"/>
  <pageSetup orientation="portrait" r:id="rId1"/>
  <ignoredErrors>
    <ignoredError sqref="S363 S389 S154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98CA-9E37-4FEF-B17C-152F8708D1A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77"/>
  <sheetViews>
    <sheetView topLeftCell="A8" zoomScale="85" zoomScaleNormal="85" workbookViewId="0">
      <selection activeCell="I7" sqref="I7"/>
    </sheetView>
  </sheetViews>
  <sheetFormatPr defaultRowHeight="14.5" x14ac:dyDescent="0.35"/>
  <cols>
    <col min="1" max="1" width="19.81640625" bestFit="1" customWidth="1"/>
    <col min="2" max="2" width="21" bestFit="1" customWidth="1"/>
    <col min="3" max="3" width="15" bestFit="1" customWidth="1"/>
    <col min="4" max="4" width="10.453125" customWidth="1"/>
    <col min="5" max="5" width="10.7265625" bestFit="1" customWidth="1"/>
    <col min="7" max="7" width="27.7265625" bestFit="1" customWidth="1"/>
  </cols>
  <sheetData>
    <row r="1" spans="1:10" x14ac:dyDescent="0.35">
      <c r="A1" s="1" t="s">
        <v>231</v>
      </c>
      <c r="B1" s="1" t="s">
        <v>234</v>
      </c>
      <c r="C1" s="1" t="s">
        <v>233</v>
      </c>
      <c r="D1" s="1" t="s">
        <v>227</v>
      </c>
      <c r="E1" s="1" t="s">
        <v>232</v>
      </c>
      <c r="F1" s="1" t="s">
        <v>240</v>
      </c>
      <c r="G1" s="1" t="s">
        <v>243</v>
      </c>
    </row>
    <row r="2" spans="1:10" x14ac:dyDescent="0.35">
      <c r="A2" t="s">
        <v>235</v>
      </c>
      <c r="B2" t="s">
        <v>101</v>
      </c>
      <c r="C2" t="s">
        <v>236</v>
      </c>
      <c r="D2" t="s">
        <v>237</v>
      </c>
      <c r="E2" t="s">
        <v>194</v>
      </c>
      <c r="F2">
        <v>50</v>
      </c>
      <c r="G2" t="s">
        <v>244</v>
      </c>
      <c r="H2">
        <f>AVERAGE(F2:F4)</f>
        <v>22</v>
      </c>
    </row>
    <row r="3" spans="1:10" x14ac:dyDescent="0.35">
      <c r="A3" t="s">
        <v>235</v>
      </c>
      <c r="B3" t="s">
        <v>101</v>
      </c>
      <c r="C3" t="s">
        <v>236</v>
      </c>
      <c r="D3" t="s">
        <v>238</v>
      </c>
      <c r="E3" t="s">
        <v>194</v>
      </c>
      <c r="F3">
        <v>12</v>
      </c>
      <c r="G3" t="s">
        <v>244</v>
      </c>
    </row>
    <row r="4" spans="1:10" x14ac:dyDescent="0.35">
      <c r="A4" t="s">
        <v>235</v>
      </c>
      <c r="B4" t="s">
        <v>101</v>
      </c>
      <c r="C4" t="s">
        <v>242</v>
      </c>
      <c r="D4" t="s">
        <v>239</v>
      </c>
      <c r="E4" t="s">
        <v>194</v>
      </c>
      <c r="F4">
        <v>4</v>
      </c>
      <c r="G4" t="s">
        <v>244</v>
      </c>
    </row>
    <row r="5" spans="1:10" x14ac:dyDescent="0.35">
      <c r="A5" t="s">
        <v>235</v>
      </c>
      <c r="B5" t="s">
        <v>101</v>
      </c>
      <c r="C5" t="s">
        <v>236</v>
      </c>
      <c r="D5" t="s">
        <v>237</v>
      </c>
      <c r="E5" t="s">
        <v>241</v>
      </c>
      <c r="F5">
        <v>1</v>
      </c>
      <c r="G5" t="s">
        <v>244</v>
      </c>
    </row>
    <row r="6" spans="1:10" x14ac:dyDescent="0.35">
      <c r="A6" t="s">
        <v>235</v>
      </c>
      <c r="B6" t="s">
        <v>101</v>
      </c>
      <c r="C6" t="s">
        <v>236</v>
      </c>
      <c r="D6" t="s">
        <v>238</v>
      </c>
      <c r="E6" t="s">
        <v>241</v>
      </c>
      <c r="F6">
        <v>0</v>
      </c>
      <c r="G6" t="s">
        <v>244</v>
      </c>
    </row>
    <row r="7" spans="1:10" x14ac:dyDescent="0.35">
      <c r="A7" t="s">
        <v>235</v>
      </c>
      <c r="B7" t="s">
        <v>101</v>
      </c>
      <c r="C7" t="s">
        <v>242</v>
      </c>
      <c r="D7" t="s">
        <v>239</v>
      </c>
      <c r="E7" t="s">
        <v>241</v>
      </c>
      <c r="F7">
        <v>0</v>
      </c>
      <c r="G7" t="s">
        <v>244</v>
      </c>
    </row>
    <row r="8" spans="1:10" x14ac:dyDescent="0.35">
      <c r="A8" t="s">
        <v>245</v>
      </c>
      <c r="B8" t="s">
        <v>246</v>
      </c>
      <c r="C8" t="s">
        <v>242</v>
      </c>
      <c r="D8" t="s">
        <v>238</v>
      </c>
      <c r="E8" t="s">
        <v>194</v>
      </c>
      <c r="F8">
        <v>4</v>
      </c>
      <c r="G8" t="s">
        <v>244</v>
      </c>
      <c r="H8">
        <f>AVERAGE(F8:F9)</f>
        <v>2</v>
      </c>
      <c r="J8">
        <f>AVERAGE(H8,H10,H12,H14,H23,H24)</f>
        <v>5.916666666666667</v>
      </c>
    </row>
    <row r="9" spans="1:10" x14ac:dyDescent="0.35">
      <c r="A9" t="s">
        <v>245</v>
      </c>
      <c r="B9" t="s">
        <v>246</v>
      </c>
      <c r="C9" t="s">
        <v>242</v>
      </c>
      <c r="D9" t="s">
        <v>239</v>
      </c>
      <c r="E9" t="s">
        <v>194</v>
      </c>
      <c r="F9">
        <v>0</v>
      </c>
      <c r="G9" t="s">
        <v>244</v>
      </c>
    </row>
    <row r="10" spans="1:10" x14ac:dyDescent="0.35">
      <c r="A10" t="s">
        <v>250</v>
      </c>
      <c r="B10" t="s">
        <v>246</v>
      </c>
      <c r="C10" t="s">
        <v>242</v>
      </c>
      <c r="D10" t="s">
        <v>238</v>
      </c>
      <c r="E10" t="s">
        <v>194</v>
      </c>
      <c r="F10">
        <v>4</v>
      </c>
      <c r="G10" t="s">
        <v>244</v>
      </c>
      <c r="H10">
        <f>AVERAGE(F10:F11)</f>
        <v>2</v>
      </c>
    </row>
    <row r="11" spans="1:10" x14ac:dyDescent="0.35">
      <c r="A11" t="s">
        <v>250</v>
      </c>
      <c r="B11" t="s">
        <v>246</v>
      </c>
      <c r="C11" t="s">
        <v>242</v>
      </c>
      <c r="D11" t="s">
        <v>239</v>
      </c>
      <c r="E11" t="s">
        <v>194</v>
      </c>
      <c r="F11">
        <v>0</v>
      </c>
      <c r="G11" t="s">
        <v>244</v>
      </c>
    </row>
    <row r="12" spans="1:10" x14ac:dyDescent="0.35">
      <c r="A12" t="s">
        <v>248</v>
      </c>
      <c r="B12" t="s">
        <v>246</v>
      </c>
      <c r="C12" t="s">
        <v>236</v>
      </c>
      <c r="D12" t="s">
        <v>238</v>
      </c>
      <c r="E12" t="s">
        <v>194</v>
      </c>
      <c r="F12">
        <v>6</v>
      </c>
      <c r="G12" t="s">
        <v>244</v>
      </c>
      <c r="H12">
        <f>AVERAGE(F12:F13)</f>
        <v>4.5</v>
      </c>
    </row>
    <row r="13" spans="1:10" x14ac:dyDescent="0.35">
      <c r="A13" t="s">
        <v>248</v>
      </c>
      <c r="B13" t="s">
        <v>246</v>
      </c>
      <c r="C13" t="s">
        <v>236</v>
      </c>
      <c r="D13" t="s">
        <v>239</v>
      </c>
      <c r="E13" t="s">
        <v>194</v>
      </c>
      <c r="F13">
        <v>3</v>
      </c>
      <c r="G13" t="s">
        <v>244</v>
      </c>
    </row>
    <row r="14" spans="1:10" x14ac:dyDescent="0.35">
      <c r="A14" t="s">
        <v>249</v>
      </c>
      <c r="B14" t="s">
        <v>246</v>
      </c>
      <c r="C14" t="s">
        <v>236</v>
      </c>
      <c r="D14" t="s">
        <v>238</v>
      </c>
      <c r="E14" t="s">
        <v>194</v>
      </c>
      <c r="F14">
        <v>6</v>
      </c>
      <c r="G14" t="s">
        <v>244</v>
      </c>
      <c r="H14">
        <f>AVERAGE(F14:F15)</f>
        <v>4.5</v>
      </c>
    </row>
    <row r="15" spans="1:10" x14ac:dyDescent="0.35">
      <c r="A15" t="s">
        <v>249</v>
      </c>
      <c r="B15" t="s">
        <v>246</v>
      </c>
      <c r="C15" t="s">
        <v>236</v>
      </c>
      <c r="D15" t="s">
        <v>239</v>
      </c>
      <c r="E15" t="s">
        <v>194</v>
      </c>
      <c r="F15">
        <v>3</v>
      </c>
      <c r="G15" t="s">
        <v>244</v>
      </c>
    </row>
    <row r="16" spans="1:10" x14ac:dyDescent="0.35">
      <c r="A16" t="s">
        <v>149</v>
      </c>
      <c r="B16" t="s">
        <v>150</v>
      </c>
      <c r="C16" t="s">
        <v>251</v>
      </c>
      <c r="D16" t="s">
        <v>239</v>
      </c>
      <c r="E16" t="s">
        <v>194</v>
      </c>
      <c r="F16">
        <v>45</v>
      </c>
      <c r="G16" t="s">
        <v>244</v>
      </c>
    </row>
    <row r="17" spans="1:8" x14ac:dyDescent="0.35">
      <c r="A17" t="s">
        <v>149</v>
      </c>
      <c r="B17" t="s">
        <v>150</v>
      </c>
      <c r="C17" t="s">
        <v>251</v>
      </c>
      <c r="D17" t="s">
        <v>239</v>
      </c>
      <c r="E17" t="s">
        <v>241</v>
      </c>
      <c r="F17">
        <v>1</v>
      </c>
      <c r="G17" t="s">
        <v>244</v>
      </c>
    </row>
    <row r="18" spans="1:8" x14ac:dyDescent="0.35">
      <c r="A18" t="s">
        <v>252</v>
      </c>
      <c r="B18" t="s">
        <v>150</v>
      </c>
      <c r="C18" t="s">
        <v>251</v>
      </c>
      <c r="D18" t="s">
        <v>239</v>
      </c>
      <c r="E18" t="s">
        <v>194</v>
      </c>
      <c r="F18">
        <v>42</v>
      </c>
      <c r="G18" t="s">
        <v>244</v>
      </c>
    </row>
    <row r="19" spans="1:8" x14ac:dyDescent="0.35">
      <c r="A19" t="s">
        <v>253</v>
      </c>
      <c r="B19" t="s">
        <v>150</v>
      </c>
      <c r="C19" t="s">
        <v>251</v>
      </c>
      <c r="D19" t="s">
        <v>239</v>
      </c>
      <c r="E19" t="s">
        <v>194</v>
      </c>
      <c r="F19">
        <v>30</v>
      </c>
      <c r="G19" t="s">
        <v>244</v>
      </c>
    </row>
    <row r="20" spans="1:8" x14ac:dyDescent="0.35">
      <c r="A20" t="s">
        <v>253</v>
      </c>
      <c r="B20" t="s">
        <v>150</v>
      </c>
      <c r="C20" t="s">
        <v>251</v>
      </c>
      <c r="D20" t="s">
        <v>239</v>
      </c>
      <c r="E20" t="s">
        <v>241</v>
      </c>
      <c r="F20">
        <v>4</v>
      </c>
      <c r="G20" t="s">
        <v>244</v>
      </c>
    </row>
    <row r="21" spans="1:8" x14ac:dyDescent="0.35">
      <c r="A21" t="s">
        <v>95</v>
      </c>
      <c r="B21" t="s">
        <v>150</v>
      </c>
      <c r="C21" t="s">
        <v>251</v>
      </c>
      <c r="D21" t="s">
        <v>239</v>
      </c>
      <c r="E21" t="s">
        <v>194</v>
      </c>
      <c r="F21">
        <v>70.400000000000006</v>
      </c>
      <c r="G21" t="s">
        <v>254</v>
      </c>
    </row>
    <row r="22" spans="1:8" x14ac:dyDescent="0.35">
      <c r="A22" t="s">
        <v>95</v>
      </c>
      <c r="B22" t="s">
        <v>150</v>
      </c>
      <c r="C22" t="s">
        <v>251</v>
      </c>
      <c r="D22" t="s">
        <v>239</v>
      </c>
      <c r="E22" t="s">
        <v>241</v>
      </c>
      <c r="F22">
        <v>12.4</v>
      </c>
      <c r="G22" t="s">
        <v>254</v>
      </c>
    </row>
    <row r="23" spans="1:8" x14ac:dyDescent="0.35">
      <c r="A23" t="s">
        <v>271</v>
      </c>
      <c r="B23" t="s">
        <v>106</v>
      </c>
      <c r="C23" t="s">
        <v>255</v>
      </c>
      <c r="D23" t="s">
        <v>239</v>
      </c>
      <c r="E23" t="s">
        <v>194</v>
      </c>
      <c r="F23">
        <v>5</v>
      </c>
      <c r="G23" t="s">
        <v>257</v>
      </c>
      <c r="H23">
        <v>5</v>
      </c>
    </row>
    <row r="24" spans="1:8" x14ac:dyDescent="0.35">
      <c r="A24" t="s">
        <v>256</v>
      </c>
      <c r="B24" t="s">
        <v>106</v>
      </c>
      <c r="C24" t="s">
        <v>258</v>
      </c>
      <c r="D24" t="s">
        <v>239</v>
      </c>
      <c r="E24" t="s">
        <v>194</v>
      </c>
      <c r="F24">
        <v>20</v>
      </c>
      <c r="G24" t="s">
        <v>259</v>
      </c>
      <c r="H24">
        <f>AVERAGE(F24,F26)</f>
        <v>17.5</v>
      </c>
    </row>
    <row r="25" spans="1:8" x14ac:dyDescent="0.35">
      <c r="A25" t="s">
        <v>256</v>
      </c>
      <c r="B25" t="s">
        <v>106</v>
      </c>
      <c r="C25" t="s">
        <v>258</v>
      </c>
      <c r="D25" t="s">
        <v>239</v>
      </c>
      <c r="E25" t="s">
        <v>241</v>
      </c>
      <c r="F25">
        <v>1.5</v>
      </c>
      <c r="G25" t="s">
        <v>259</v>
      </c>
      <c r="H25">
        <f>AVERAGE(F25,F27)</f>
        <v>2.4500000000000002</v>
      </c>
    </row>
    <row r="26" spans="1:8" x14ac:dyDescent="0.35">
      <c r="A26" t="s">
        <v>256</v>
      </c>
      <c r="B26" t="s">
        <v>106</v>
      </c>
      <c r="C26" t="s">
        <v>258</v>
      </c>
      <c r="D26" t="s">
        <v>239</v>
      </c>
      <c r="E26" t="s">
        <v>194</v>
      </c>
      <c r="F26">
        <v>15</v>
      </c>
      <c r="G26" t="s">
        <v>260</v>
      </c>
    </row>
    <row r="27" spans="1:8" x14ac:dyDescent="0.35">
      <c r="A27" t="s">
        <v>256</v>
      </c>
      <c r="B27" t="s">
        <v>106</v>
      </c>
      <c r="C27" t="s">
        <v>258</v>
      </c>
      <c r="D27" t="s">
        <v>239</v>
      </c>
      <c r="E27" t="s">
        <v>241</v>
      </c>
      <c r="F27">
        <v>3.4</v>
      </c>
      <c r="G27" t="s">
        <v>260</v>
      </c>
    </row>
    <row r="28" spans="1:8" x14ac:dyDescent="0.35">
      <c r="A28" t="s">
        <v>261</v>
      </c>
      <c r="B28" t="s">
        <v>31</v>
      </c>
      <c r="C28" t="s">
        <v>236</v>
      </c>
      <c r="D28" t="s">
        <v>239</v>
      </c>
      <c r="E28" t="s">
        <v>194</v>
      </c>
      <c r="F28">
        <v>26</v>
      </c>
      <c r="G28" t="s">
        <v>270</v>
      </c>
    </row>
    <row r="29" spans="1:8" x14ac:dyDescent="0.35">
      <c r="A29" t="s">
        <v>261</v>
      </c>
      <c r="B29" t="s">
        <v>31</v>
      </c>
      <c r="C29" t="s">
        <v>236</v>
      </c>
      <c r="D29" t="s">
        <v>239</v>
      </c>
      <c r="E29" t="s">
        <v>241</v>
      </c>
      <c r="F29">
        <v>2</v>
      </c>
      <c r="G29" t="s">
        <v>270</v>
      </c>
    </row>
    <row r="30" spans="1:8" x14ac:dyDescent="0.35">
      <c r="A30" t="s">
        <v>134</v>
      </c>
      <c r="B30" t="s">
        <v>31</v>
      </c>
      <c r="C30" t="s">
        <v>236</v>
      </c>
      <c r="D30" t="s">
        <v>273</v>
      </c>
      <c r="E30" t="s">
        <v>194</v>
      </c>
      <c r="F30">
        <v>0</v>
      </c>
      <c r="G30" t="s">
        <v>272</v>
      </c>
      <c r="H30">
        <f>AVERAGE(F30,F32)</f>
        <v>5</v>
      </c>
    </row>
    <row r="31" spans="1:8" x14ac:dyDescent="0.35">
      <c r="A31" t="s">
        <v>134</v>
      </c>
      <c r="B31" t="s">
        <v>31</v>
      </c>
      <c r="C31" t="s">
        <v>236</v>
      </c>
      <c r="D31" t="s">
        <v>273</v>
      </c>
      <c r="E31" t="s">
        <v>241</v>
      </c>
      <c r="F31">
        <v>0</v>
      </c>
      <c r="G31" t="s">
        <v>272</v>
      </c>
    </row>
    <row r="32" spans="1:8" x14ac:dyDescent="0.35">
      <c r="A32" t="s">
        <v>134</v>
      </c>
      <c r="B32" t="s">
        <v>31</v>
      </c>
      <c r="C32" t="s">
        <v>236</v>
      </c>
      <c r="D32" t="s">
        <v>273</v>
      </c>
      <c r="E32" t="s">
        <v>194</v>
      </c>
      <c r="F32">
        <v>10</v>
      </c>
      <c r="G32" t="s">
        <v>254</v>
      </c>
    </row>
    <row r="33" spans="1:10" x14ac:dyDescent="0.35">
      <c r="A33" t="s">
        <v>134</v>
      </c>
      <c r="B33" t="s">
        <v>31</v>
      </c>
      <c r="C33" t="s">
        <v>236</v>
      </c>
      <c r="D33" t="s">
        <v>273</v>
      </c>
      <c r="E33" t="s">
        <v>241</v>
      </c>
      <c r="F33">
        <v>10</v>
      </c>
      <c r="G33" t="s">
        <v>254</v>
      </c>
    </row>
    <row r="34" spans="1:10" x14ac:dyDescent="0.35">
      <c r="A34" t="s">
        <v>274</v>
      </c>
      <c r="B34" t="s">
        <v>31</v>
      </c>
      <c r="C34" t="s">
        <v>236</v>
      </c>
      <c r="D34" t="s">
        <v>239</v>
      </c>
      <c r="E34" t="s">
        <v>194</v>
      </c>
      <c r="F34">
        <v>25</v>
      </c>
      <c r="G34" t="s">
        <v>254</v>
      </c>
      <c r="H34">
        <f>AVERAGE(F34,F36,F38,F40,F42,F44,F46,F48,F50,F52,F54,F56)</f>
        <v>28.308333333333334</v>
      </c>
    </row>
    <row r="35" spans="1:10" x14ac:dyDescent="0.35">
      <c r="A35" t="s">
        <v>274</v>
      </c>
      <c r="B35" t="s">
        <v>31</v>
      </c>
      <c r="C35" t="s">
        <v>236</v>
      </c>
      <c r="D35" t="s">
        <v>239</v>
      </c>
      <c r="E35" t="s">
        <v>241</v>
      </c>
      <c r="F35">
        <v>6</v>
      </c>
      <c r="G35" t="s">
        <v>254</v>
      </c>
    </row>
    <row r="36" spans="1:10" x14ac:dyDescent="0.35">
      <c r="A36" t="s">
        <v>274</v>
      </c>
      <c r="B36" t="s">
        <v>31</v>
      </c>
      <c r="C36" t="s">
        <v>236</v>
      </c>
      <c r="D36" t="s">
        <v>237</v>
      </c>
      <c r="E36" t="s">
        <v>194</v>
      </c>
      <c r="F36">
        <v>43</v>
      </c>
      <c r="G36" t="s">
        <v>254</v>
      </c>
    </row>
    <row r="37" spans="1:10" x14ac:dyDescent="0.35">
      <c r="A37" t="s">
        <v>274</v>
      </c>
      <c r="B37" t="s">
        <v>31</v>
      </c>
      <c r="C37" t="s">
        <v>236</v>
      </c>
      <c r="D37" t="s">
        <v>237</v>
      </c>
      <c r="E37" t="s">
        <v>241</v>
      </c>
      <c r="F37">
        <v>3</v>
      </c>
      <c r="G37" t="s">
        <v>254</v>
      </c>
    </row>
    <row r="38" spans="1:10" x14ac:dyDescent="0.35">
      <c r="A38" t="s">
        <v>274</v>
      </c>
      <c r="B38" t="s">
        <v>31</v>
      </c>
      <c r="C38" t="s">
        <v>236</v>
      </c>
      <c r="D38" t="s">
        <v>237</v>
      </c>
      <c r="E38" t="s">
        <v>194</v>
      </c>
      <c r="F38">
        <v>50</v>
      </c>
      <c r="G38" t="s">
        <v>254</v>
      </c>
    </row>
    <row r="39" spans="1:10" x14ac:dyDescent="0.35">
      <c r="A39" t="s">
        <v>274</v>
      </c>
      <c r="B39" t="s">
        <v>31</v>
      </c>
      <c r="C39" t="s">
        <v>236</v>
      </c>
      <c r="D39" t="s">
        <v>237</v>
      </c>
      <c r="E39" t="s">
        <v>241</v>
      </c>
      <c r="F39">
        <v>0</v>
      </c>
      <c r="G39" t="s">
        <v>254</v>
      </c>
    </row>
    <row r="40" spans="1:10" x14ac:dyDescent="0.35">
      <c r="A40" t="s">
        <v>274</v>
      </c>
      <c r="B40" t="s">
        <v>31</v>
      </c>
      <c r="C40" t="s">
        <v>236</v>
      </c>
      <c r="D40" t="s">
        <v>237</v>
      </c>
      <c r="E40" t="s">
        <v>194</v>
      </c>
      <c r="F40">
        <v>50</v>
      </c>
      <c r="G40" t="s">
        <v>254</v>
      </c>
    </row>
    <row r="41" spans="1:10" x14ac:dyDescent="0.35">
      <c r="A41" t="s">
        <v>274</v>
      </c>
      <c r="B41" t="s">
        <v>31</v>
      </c>
      <c r="C41" t="s">
        <v>236</v>
      </c>
      <c r="D41" t="s">
        <v>237</v>
      </c>
      <c r="E41" t="s">
        <v>241</v>
      </c>
      <c r="F41">
        <v>0</v>
      </c>
      <c r="G41" t="s">
        <v>254</v>
      </c>
      <c r="J41">
        <f>AVERAGE(H34,H58)</f>
        <v>34.745075757575755</v>
      </c>
    </row>
    <row r="42" spans="1:10" x14ac:dyDescent="0.35">
      <c r="A42" t="s">
        <v>274</v>
      </c>
      <c r="B42" t="s">
        <v>31</v>
      </c>
      <c r="C42" t="s">
        <v>236</v>
      </c>
      <c r="D42" t="s">
        <v>238</v>
      </c>
      <c r="E42" t="s">
        <v>194</v>
      </c>
      <c r="F42">
        <v>30</v>
      </c>
      <c r="G42" t="s">
        <v>254</v>
      </c>
    </row>
    <row r="43" spans="1:10" x14ac:dyDescent="0.35">
      <c r="A43" t="s">
        <v>274</v>
      </c>
      <c r="B43" t="s">
        <v>31</v>
      </c>
      <c r="C43" t="s">
        <v>236</v>
      </c>
      <c r="D43" t="s">
        <v>238</v>
      </c>
      <c r="E43" t="s">
        <v>241</v>
      </c>
      <c r="F43">
        <v>0</v>
      </c>
      <c r="G43" t="s">
        <v>254</v>
      </c>
    </row>
    <row r="44" spans="1:10" x14ac:dyDescent="0.35">
      <c r="A44" t="s">
        <v>274</v>
      </c>
      <c r="B44" t="s">
        <v>31</v>
      </c>
      <c r="C44" t="s">
        <v>236</v>
      </c>
      <c r="D44" t="s">
        <v>239</v>
      </c>
      <c r="E44" t="s">
        <v>194</v>
      </c>
      <c r="F44">
        <v>20</v>
      </c>
      <c r="G44" t="s">
        <v>254</v>
      </c>
    </row>
    <row r="45" spans="1:10" x14ac:dyDescent="0.35">
      <c r="A45" t="s">
        <v>274</v>
      </c>
      <c r="B45" t="s">
        <v>31</v>
      </c>
      <c r="C45" t="s">
        <v>236</v>
      </c>
      <c r="D45" t="s">
        <v>239</v>
      </c>
      <c r="E45" t="s">
        <v>241</v>
      </c>
      <c r="F45">
        <v>0</v>
      </c>
      <c r="G45" t="s">
        <v>254</v>
      </c>
    </row>
    <row r="46" spans="1:10" x14ac:dyDescent="0.35">
      <c r="A46" t="s">
        <v>274</v>
      </c>
      <c r="B46" t="s">
        <v>31</v>
      </c>
      <c r="C46" t="s">
        <v>236</v>
      </c>
      <c r="D46" t="s">
        <v>239</v>
      </c>
      <c r="E46" t="s">
        <v>194</v>
      </c>
      <c r="F46">
        <v>55</v>
      </c>
      <c r="G46" t="s">
        <v>254</v>
      </c>
    </row>
    <row r="47" spans="1:10" x14ac:dyDescent="0.35">
      <c r="A47" t="s">
        <v>274</v>
      </c>
      <c r="B47" t="s">
        <v>31</v>
      </c>
      <c r="C47" t="s">
        <v>236</v>
      </c>
      <c r="D47" t="s">
        <v>239</v>
      </c>
      <c r="E47" t="s">
        <v>241</v>
      </c>
      <c r="F47">
        <v>0</v>
      </c>
      <c r="G47" t="s">
        <v>254</v>
      </c>
    </row>
    <row r="48" spans="1:10" x14ac:dyDescent="0.35">
      <c r="A48" t="s">
        <v>274</v>
      </c>
      <c r="B48" t="s">
        <v>31</v>
      </c>
      <c r="C48" t="s">
        <v>236</v>
      </c>
      <c r="D48" t="s">
        <v>239</v>
      </c>
      <c r="E48" t="s">
        <v>194</v>
      </c>
      <c r="F48">
        <v>10</v>
      </c>
      <c r="G48" t="s">
        <v>254</v>
      </c>
    </row>
    <row r="49" spans="1:8" x14ac:dyDescent="0.35">
      <c r="A49" t="s">
        <v>274</v>
      </c>
      <c r="B49" t="s">
        <v>31</v>
      </c>
      <c r="C49" t="s">
        <v>236</v>
      </c>
      <c r="D49" t="s">
        <v>239</v>
      </c>
      <c r="E49" t="s">
        <v>241</v>
      </c>
      <c r="F49">
        <v>0</v>
      </c>
      <c r="G49" t="s">
        <v>254</v>
      </c>
    </row>
    <row r="50" spans="1:8" x14ac:dyDescent="0.35">
      <c r="A50" t="s">
        <v>274</v>
      </c>
      <c r="B50" t="s">
        <v>31</v>
      </c>
      <c r="C50" t="s">
        <v>236</v>
      </c>
      <c r="D50" t="s">
        <v>239</v>
      </c>
      <c r="E50" t="s">
        <v>194</v>
      </c>
      <c r="F50">
        <v>10</v>
      </c>
      <c r="G50" t="s">
        <v>254</v>
      </c>
    </row>
    <row r="51" spans="1:8" x14ac:dyDescent="0.35">
      <c r="A51" t="s">
        <v>274</v>
      </c>
      <c r="B51" t="s">
        <v>31</v>
      </c>
      <c r="C51" t="s">
        <v>236</v>
      </c>
      <c r="D51" t="s">
        <v>239</v>
      </c>
      <c r="E51" t="s">
        <v>241</v>
      </c>
      <c r="F51">
        <v>3.3</v>
      </c>
      <c r="G51" t="s">
        <v>254</v>
      </c>
    </row>
    <row r="52" spans="1:8" x14ac:dyDescent="0.35">
      <c r="A52" t="s">
        <v>274</v>
      </c>
      <c r="B52" t="s">
        <v>31</v>
      </c>
      <c r="C52" t="s">
        <v>236</v>
      </c>
      <c r="D52" t="s">
        <v>239</v>
      </c>
      <c r="E52" t="s">
        <v>194</v>
      </c>
      <c r="F52">
        <v>24.7</v>
      </c>
      <c r="G52" t="s">
        <v>254</v>
      </c>
    </row>
    <row r="53" spans="1:8" x14ac:dyDescent="0.35">
      <c r="A53" t="s">
        <v>274</v>
      </c>
      <c r="B53" t="s">
        <v>31</v>
      </c>
      <c r="C53" t="s">
        <v>236</v>
      </c>
      <c r="D53" t="s">
        <v>239</v>
      </c>
      <c r="E53" t="s">
        <v>241</v>
      </c>
      <c r="F53">
        <v>6.8</v>
      </c>
      <c r="G53" t="s">
        <v>254</v>
      </c>
    </row>
    <row r="54" spans="1:8" x14ac:dyDescent="0.35">
      <c r="A54" t="s">
        <v>274</v>
      </c>
      <c r="B54" t="s">
        <v>31</v>
      </c>
      <c r="C54" t="s">
        <v>236</v>
      </c>
      <c r="D54" t="s">
        <v>239</v>
      </c>
      <c r="E54" t="s">
        <v>194</v>
      </c>
      <c r="F54">
        <v>20</v>
      </c>
      <c r="G54" t="s">
        <v>254</v>
      </c>
    </row>
    <row r="55" spans="1:8" x14ac:dyDescent="0.35">
      <c r="A55" t="s">
        <v>274</v>
      </c>
      <c r="B55" t="s">
        <v>31</v>
      </c>
      <c r="C55" t="s">
        <v>236</v>
      </c>
      <c r="D55" t="s">
        <v>239</v>
      </c>
      <c r="E55" t="s">
        <v>241</v>
      </c>
      <c r="F55">
        <v>0</v>
      </c>
      <c r="G55" t="s">
        <v>254</v>
      </c>
    </row>
    <row r="56" spans="1:8" x14ac:dyDescent="0.35">
      <c r="A56" t="s">
        <v>274</v>
      </c>
      <c r="B56" t="s">
        <v>31</v>
      </c>
      <c r="C56" t="s">
        <v>236</v>
      </c>
      <c r="D56" t="s">
        <v>239</v>
      </c>
      <c r="E56" t="s">
        <v>194</v>
      </c>
      <c r="F56">
        <v>2</v>
      </c>
      <c r="G56" t="s">
        <v>254</v>
      </c>
    </row>
    <row r="57" spans="1:8" x14ac:dyDescent="0.35">
      <c r="A57" t="s">
        <v>274</v>
      </c>
      <c r="B57" t="s">
        <v>31</v>
      </c>
      <c r="C57" t="s">
        <v>236</v>
      </c>
      <c r="D57" t="s">
        <v>239</v>
      </c>
      <c r="E57" t="s">
        <v>241</v>
      </c>
      <c r="F57">
        <v>0</v>
      </c>
      <c r="G57" t="s">
        <v>254</v>
      </c>
    </row>
    <row r="58" spans="1:8" x14ac:dyDescent="0.35">
      <c r="A58" t="s">
        <v>275</v>
      </c>
      <c r="B58" t="s">
        <v>31</v>
      </c>
      <c r="C58" t="s">
        <v>251</v>
      </c>
      <c r="D58" t="s">
        <v>239</v>
      </c>
      <c r="E58" t="s">
        <v>194</v>
      </c>
      <c r="F58">
        <v>60</v>
      </c>
      <c r="G58" t="s">
        <v>276</v>
      </c>
      <c r="H58">
        <f>AVERAGE(F58:F68)</f>
        <v>41.18181818181818</v>
      </c>
    </row>
    <row r="59" spans="1:8" x14ac:dyDescent="0.35">
      <c r="A59" t="s">
        <v>275</v>
      </c>
      <c r="B59" t="s">
        <v>31</v>
      </c>
      <c r="C59" t="s">
        <v>251</v>
      </c>
      <c r="D59" t="s">
        <v>239</v>
      </c>
      <c r="E59" t="s">
        <v>194</v>
      </c>
      <c r="F59">
        <v>49.4</v>
      </c>
      <c r="G59" t="s">
        <v>276</v>
      </c>
    </row>
    <row r="60" spans="1:8" x14ac:dyDescent="0.35">
      <c r="A60" t="s">
        <v>275</v>
      </c>
      <c r="B60" t="s">
        <v>31</v>
      </c>
      <c r="C60" t="s">
        <v>251</v>
      </c>
      <c r="D60" t="s">
        <v>239</v>
      </c>
      <c r="E60" t="s">
        <v>194</v>
      </c>
      <c r="F60">
        <v>38.799999999999997</v>
      </c>
      <c r="G60" t="s">
        <v>276</v>
      </c>
    </row>
    <row r="61" spans="1:8" x14ac:dyDescent="0.35">
      <c r="A61" t="s">
        <v>275</v>
      </c>
      <c r="B61" t="s">
        <v>31</v>
      </c>
      <c r="C61" t="s">
        <v>251</v>
      </c>
      <c r="D61" t="s">
        <v>239</v>
      </c>
      <c r="E61" t="s">
        <v>194</v>
      </c>
      <c r="F61">
        <v>28.2</v>
      </c>
      <c r="G61" t="s">
        <v>276</v>
      </c>
    </row>
    <row r="62" spans="1:8" x14ac:dyDescent="0.35">
      <c r="A62" t="s">
        <v>275</v>
      </c>
      <c r="B62" t="s">
        <v>31</v>
      </c>
      <c r="C62" t="s">
        <v>251</v>
      </c>
      <c r="D62" t="s">
        <v>239</v>
      </c>
      <c r="E62" t="s">
        <v>194</v>
      </c>
      <c r="F62">
        <v>55.2</v>
      </c>
      <c r="G62" t="s">
        <v>276</v>
      </c>
    </row>
    <row r="63" spans="1:8" x14ac:dyDescent="0.35">
      <c r="A63" t="s">
        <v>275</v>
      </c>
      <c r="B63" t="s">
        <v>31</v>
      </c>
      <c r="C63" t="s">
        <v>251</v>
      </c>
      <c r="D63" t="s">
        <v>239</v>
      </c>
      <c r="E63" t="s">
        <v>194</v>
      </c>
      <c r="F63">
        <v>44.6</v>
      </c>
      <c r="G63" t="s">
        <v>276</v>
      </c>
    </row>
    <row r="64" spans="1:8" x14ac:dyDescent="0.35">
      <c r="A64" t="s">
        <v>275</v>
      </c>
      <c r="B64" t="s">
        <v>31</v>
      </c>
      <c r="C64" t="s">
        <v>251</v>
      </c>
      <c r="D64" t="s">
        <v>239</v>
      </c>
      <c r="E64" t="s">
        <v>194</v>
      </c>
      <c r="F64">
        <v>34</v>
      </c>
      <c r="G64" t="s">
        <v>276</v>
      </c>
    </row>
    <row r="65" spans="1:8" x14ac:dyDescent="0.35">
      <c r="A65" t="s">
        <v>275</v>
      </c>
      <c r="B65" t="s">
        <v>31</v>
      </c>
      <c r="C65" t="s">
        <v>251</v>
      </c>
      <c r="D65" t="s">
        <v>239</v>
      </c>
      <c r="E65" t="s">
        <v>194</v>
      </c>
      <c r="F65">
        <v>23.4</v>
      </c>
      <c r="G65" t="s">
        <v>276</v>
      </c>
    </row>
    <row r="66" spans="1:8" x14ac:dyDescent="0.35">
      <c r="A66" t="s">
        <v>275</v>
      </c>
      <c r="B66" t="s">
        <v>31</v>
      </c>
      <c r="C66" t="s">
        <v>251</v>
      </c>
      <c r="D66" t="s">
        <v>239</v>
      </c>
      <c r="E66" t="s">
        <v>194</v>
      </c>
      <c r="F66">
        <v>50.4</v>
      </c>
      <c r="G66" t="s">
        <v>276</v>
      </c>
    </row>
    <row r="67" spans="1:8" x14ac:dyDescent="0.35">
      <c r="A67" t="s">
        <v>275</v>
      </c>
      <c r="B67" t="s">
        <v>31</v>
      </c>
      <c r="C67" t="s">
        <v>251</v>
      </c>
      <c r="D67" t="s">
        <v>239</v>
      </c>
      <c r="E67" t="s">
        <v>194</v>
      </c>
      <c r="F67">
        <v>39.799999999999997</v>
      </c>
      <c r="G67" t="s">
        <v>276</v>
      </c>
    </row>
    <row r="68" spans="1:8" x14ac:dyDescent="0.35">
      <c r="A68" t="s">
        <v>275</v>
      </c>
      <c r="B68" t="s">
        <v>31</v>
      </c>
      <c r="C68" t="s">
        <v>251</v>
      </c>
      <c r="D68" t="s">
        <v>239</v>
      </c>
      <c r="E68" t="s">
        <v>194</v>
      </c>
      <c r="F68">
        <v>29.2</v>
      </c>
      <c r="G68" t="s">
        <v>276</v>
      </c>
    </row>
    <row r="69" spans="1:8" x14ac:dyDescent="0.35">
      <c r="A69" t="s">
        <v>275</v>
      </c>
      <c r="B69" t="s">
        <v>31</v>
      </c>
      <c r="C69" t="s">
        <v>251</v>
      </c>
      <c r="D69" t="s">
        <v>239</v>
      </c>
      <c r="E69" t="s">
        <v>194</v>
      </c>
      <c r="F69">
        <v>18.600000000000001</v>
      </c>
      <c r="G69" t="s">
        <v>276</v>
      </c>
    </row>
    <row r="70" spans="1:8" x14ac:dyDescent="0.35">
      <c r="A70" t="s">
        <v>277</v>
      </c>
      <c r="B70" t="s">
        <v>31</v>
      </c>
      <c r="C70" t="s">
        <v>251</v>
      </c>
      <c r="D70" t="s">
        <v>239</v>
      </c>
      <c r="E70" t="s">
        <v>194</v>
      </c>
      <c r="F70">
        <v>48</v>
      </c>
      <c r="G70" t="s">
        <v>278</v>
      </c>
    </row>
    <row r="71" spans="1:8" x14ac:dyDescent="0.35">
      <c r="A71" t="s">
        <v>277</v>
      </c>
      <c r="B71" t="s">
        <v>31</v>
      </c>
      <c r="C71" t="s">
        <v>251</v>
      </c>
      <c r="D71" t="s">
        <v>239</v>
      </c>
      <c r="E71" t="s">
        <v>241</v>
      </c>
      <c r="F71">
        <v>5.6</v>
      </c>
      <c r="G71" t="s">
        <v>278</v>
      </c>
      <c r="H71">
        <f>F71</f>
        <v>5.6</v>
      </c>
    </row>
    <row r="72" spans="1:8" x14ac:dyDescent="0.35">
      <c r="A72" t="s">
        <v>262</v>
      </c>
      <c r="B72" t="s">
        <v>31</v>
      </c>
      <c r="C72" t="s">
        <v>251</v>
      </c>
      <c r="D72" t="s">
        <v>239</v>
      </c>
      <c r="E72" t="s">
        <v>194</v>
      </c>
      <c r="F72">
        <v>17.5</v>
      </c>
      <c r="G72" t="s">
        <v>279</v>
      </c>
    </row>
    <row r="73" spans="1:8" x14ac:dyDescent="0.35">
      <c r="A73" t="s">
        <v>263</v>
      </c>
      <c r="B73" t="s">
        <v>247</v>
      </c>
      <c r="C73" t="s">
        <v>251</v>
      </c>
      <c r="D73" t="s">
        <v>238</v>
      </c>
      <c r="E73" t="s">
        <v>194</v>
      </c>
      <c r="F73">
        <v>49</v>
      </c>
      <c r="G73" t="s">
        <v>254</v>
      </c>
    </row>
    <row r="74" spans="1:8" x14ac:dyDescent="0.35">
      <c r="A74" t="s">
        <v>263</v>
      </c>
      <c r="B74" t="s">
        <v>247</v>
      </c>
      <c r="C74" t="s">
        <v>251</v>
      </c>
      <c r="D74" t="s">
        <v>238</v>
      </c>
      <c r="E74" t="s">
        <v>241</v>
      </c>
      <c r="F74">
        <v>5</v>
      </c>
      <c r="G74" t="s">
        <v>254</v>
      </c>
    </row>
    <row r="75" spans="1:8" x14ac:dyDescent="0.35">
      <c r="A75" t="s">
        <v>263</v>
      </c>
      <c r="B75" t="s">
        <v>247</v>
      </c>
      <c r="C75" t="s">
        <v>251</v>
      </c>
      <c r="D75" t="s">
        <v>239</v>
      </c>
      <c r="E75" t="s">
        <v>194</v>
      </c>
      <c r="F75">
        <v>40</v>
      </c>
      <c r="G75" t="s">
        <v>254</v>
      </c>
    </row>
    <row r="76" spans="1:8" x14ac:dyDescent="0.35">
      <c r="A76" t="s">
        <v>263</v>
      </c>
      <c r="B76" t="s">
        <v>247</v>
      </c>
      <c r="C76" t="s">
        <v>251</v>
      </c>
      <c r="D76" t="s">
        <v>239</v>
      </c>
      <c r="E76" t="s">
        <v>241</v>
      </c>
      <c r="F76">
        <v>2</v>
      </c>
      <c r="G76" t="s">
        <v>254</v>
      </c>
    </row>
    <row r="77" spans="1:8" x14ac:dyDescent="0.35">
      <c r="A77" t="s">
        <v>264</v>
      </c>
      <c r="B77" t="s">
        <v>283</v>
      </c>
      <c r="C77" t="s">
        <v>251</v>
      </c>
      <c r="D77" t="s">
        <v>239</v>
      </c>
      <c r="E77" t="s">
        <v>194</v>
      </c>
      <c r="F77">
        <v>50</v>
      </c>
      <c r="G77" t="s">
        <v>280</v>
      </c>
    </row>
    <row r="78" spans="1:8" x14ac:dyDescent="0.35">
      <c r="A78" t="s">
        <v>265</v>
      </c>
      <c r="B78" t="s">
        <v>247</v>
      </c>
      <c r="C78" t="s">
        <v>236</v>
      </c>
      <c r="D78" t="s">
        <v>239</v>
      </c>
      <c r="E78" t="s">
        <v>194</v>
      </c>
      <c r="F78">
        <v>10</v>
      </c>
      <c r="G78" t="s">
        <v>281</v>
      </c>
    </row>
    <row r="79" spans="1:8" x14ac:dyDescent="0.35">
      <c r="A79" t="s">
        <v>265</v>
      </c>
      <c r="B79" t="s">
        <v>247</v>
      </c>
      <c r="C79" t="s">
        <v>236</v>
      </c>
      <c r="D79" t="s">
        <v>239</v>
      </c>
      <c r="E79" t="s">
        <v>194</v>
      </c>
      <c r="F79">
        <v>10</v>
      </c>
      <c r="G79" t="s">
        <v>282</v>
      </c>
    </row>
    <row r="80" spans="1:8" x14ac:dyDescent="0.35">
      <c r="A80" t="s">
        <v>284</v>
      </c>
      <c r="B80" t="s">
        <v>283</v>
      </c>
      <c r="C80" t="s">
        <v>251</v>
      </c>
      <c r="D80" t="s">
        <v>237</v>
      </c>
      <c r="E80" t="s">
        <v>194</v>
      </c>
      <c r="F80">
        <v>70</v>
      </c>
      <c r="G80" t="s">
        <v>244</v>
      </c>
      <c r="H80">
        <f>AVERAGE(F80:F84)</f>
        <v>67</v>
      </c>
    </row>
    <row r="81" spans="1:10" x14ac:dyDescent="0.35">
      <c r="A81" t="s">
        <v>284</v>
      </c>
      <c r="B81" t="s">
        <v>283</v>
      </c>
      <c r="C81" t="s">
        <v>251</v>
      </c>
      <c r="D81" t="s">
        <v>237</v>
      </c>
      <c r="E81" t="s">
        <v>194</v>
      </c>
      <c r="F81">
        <v>70</v>
      </c>
      <c r="G81" t="s">
        <v>244</v>
      </c>
    </row>
    <row r="82" spans="1:10" x14ac:dyDescent="0.35">
      <c r="A82" t="s">
        <v>284</v>
      </c>
      <c r="B82" t="s">
        <v>283</v>
      </c>
      <c r="C82" t="s">
        <v>251</v>
      </c>
      <c r="D82" t="s">
        <v>238</v>
      </c>
      <c r="E82" t="s">
        <v>194</v>
      </c>
      <c r="F82">
        <v>68</v>
      </c>
      <c r="G82" t="s">
        <v>244</v>
      </c>
    </row>
    <row r="83" spans="1:10" x14ac:dyDescent="0.35">
      <c r="A83" t="s">
        <v>284</v>
      </c>
      <c r="B83" t="s">
        <v>283</v>
      </c>
      <c r="C83" t="s">
        <v>251</v>
      </c>
      <c r="D83" t="s">
        <v>238</v>
      </c>
      <c r="E83" t="s">
        <v>194</v>
      </c>
      <c r="F83">
        <v>65</v>
      </c>
      <c r="G83" t="s">
        <v>244</v>
      </c>
    </row>
    <row r="84" spans="1:10" x14ac:dyDescent="0.35">
      <c r="A84" t="s">
        <v>284</v>
      </c>
      <c r="B84" t="s">
        <v>283</v>
      </c>
      <c r="C84" t="s">
        <v>251</v>
      </c>
      <c r="D84" t="s">
        <v>239</v>
      </c>
      <c r="E84" t="s">
        <v>194</v>
      </c>
      <c r="F84">
        <v>62</v>
      </c>
      <c r="G84" t="s">
        <v>244</v>
      </c>
    </row>
    <row r="85" spans="1:10" x14ac:dyDescent="0.35">
      <c r="A85" t="s">
        <v>285</v>
      </c>
      <c r="B85" t="s">
        <v>286</v>
      </c>
      <c r="C85" t="s">
        <v>251</v>
      </c>
      <c r="D85" t="s">
        <v>237</v>
      </c>
      <c r="E85" t="s">
        <v>194</v>
      </c>
      <c r="F85">
        <v>60.5</v>
      </c>
      <c r="G85" t="s">
        <v>254</v>
      </c>
      <c r="H85">
        <f>AVERAGE(F85:F89)</f>
        <v>39.5</v>
      </c>
    </row>
    <row r="86" spans="1:10" x14ac:dyDescent="0.35">
      <c r="A86" t="s">
        <v>285</v>
      </c>
      <c r="B86" t="s">
        <v>286</v>
      </c>
      <c r="C86" t="s">
        <v>251</v>
      </c>
      <c r="D86" t="s">
        <v>238</v>
      </c>
      <c r="E86" t="s">
        <v>194</v>
      </c>
      <c r="F86">
        <v>40.1</v>
      </c>
      <c r="G86" t="s">
        <v>254</v>
      </c>
    </row>
    <row r="87" spans="1:10" x14ac:dyDescent="0.35">
      <c r="A87" t="s">
        <v>285</v>
      </c>
      <c r="B87" t="s">
        <v>286</v>
      </c>
      <c r="C87" t="s">
        <v>251</v>
      </c>
      <c r="D87" t="s">
        <v>239</v>
      </c>
      <c r="E87" t="s">
        <v>194</v>
      </c>
      <c r="F87">
        <v>32.4</v>
      </c>
      <c r="G87" t="s">
        <v>254</v>
      </c>
    </row>
    <row r="88" spans="1:10" x14ac:dyDescent="0.35">
      <c r="A88" t="s">
        <v>285</v>
      </c>
      <c r="B88" t="s">
        <v>286</v>
      </c>
      <c r="C88" t="s">
        <v>251</v>
      </c>
      <c r="D88" t="s">
        <v>239</v>
      </c>
      <c r="E88" t="s">
        <v>194</v>
      </c>
      <c r="F88">
        <v>28.8</v>
      </c>
      <c r="G88" t="s">
        <v>254</v>
      </c>
    </row>
    <row r="89" spans="1:10" x14ac:dyDescent="0.35">
      <c r="A89" t="s">
        <v>285</v>
      </c>
      <c r="B89" t="s">
        <v>286</v>
      </c>
      <c r="C89" t="s">
        <v>251</v>
      </c>
      <c r="D89" t="s">
        <v>239</v>
      </c>
      <c r="E89" t="s">
        <v>194</v>
      </c>
      <c r="F89">
        <v>35.700000000000003</v>
      </c>
      <c r="G89" t="s">
        <v>254</v>
      </c>
      <c r="J89">
        <f>AVERAGE(H85,H95)</f>
        <v>44.35</v>
      </c>
    </row>
    <row r="90" spans="1:10" x14ac:dyDescent="0.35">
      <c r="A90" t="s">
        <v>285</v>
      </c>
      <c r="B90" t="s">
        <v>286</v>
      </c>
      <c r="C90" t="s">
        <v>251</v>
      </c>
      <c r="D90" t="s">
        <v>237</v>
      </c>
      <c r="E90" t="s">
        <v>241</v>
      </c>
      <c r="F90">
        <v>10.4</v>
      </c>
      <c r="G90" t="s">
        <v>254</v>
      </c>
      <c r="H90">
        <f>AVERAGE(F90:F94)</f>
        <v>17.920000000000002</v>
      </c>
    </row>
    <row r="91" spans="1:10" x14ac:dyDescent="0.35">
      <c r="A91" t="s">
        <v>285</v>
      </c>
      <c r="B91" t="s">
        <v>286</v>
      </c>
      <c r="C91" t="s">
        <v>251</v>
      </c>
      <c r="D91" t="s">
        <v>238</v>
      </c>
      <c r="E91" t="s">
        <v>241</v>
      </c>
      <c r="F91">
        <v>14.8</v>
      </c>
      <c r="G91" t="s">
        <v>254</v>
      </c>
    </row>
    <row r="92" spans="1:10" x14ac:dyDescent="0.35">
      <c r="A92" t="s">
        <v>285</v>
      </c>
      <c r="B92" t="s">
        <v>286</v>
      </c>
      <c r="C92" t="s">
        <v>251</v>
      </c>
      <c r="D92" t="s">
        <v>239</v>
      </c>
      <c r="E92" t="s">
        <v>241</v>
      </c>
      <c r="F92">
        <v>19.399999999999999</v>
      </c>
      <c r="G92" t="s">
        <v>254</v>
      </c>
    </row>
    <row r="93" spans="1:10" x14ac:dyDescent="0.35">
      <c r="A93" t="s">
        <v>285</v>
      </c>
      <c r="B93" t="s">
        <v>286</v>
      </c>
      <c r="C93" t="s">
        <v>251</v>
      </c>
      <c r="D93" t="s">
        <v>239</v>
      </c>
      <c r="E93" t="s">
        <v>241</v>
      </c>
      <c r="F93">
        <v>25.8</v>
      </c>
      <c r="G93" t="s">
        <v>254</v>
      </c>
    </row>
    <row r="94" spans="1:10" x14ac:dyDescent="0.35">
      <c r="A94" t="s">
        <v>285</v>
      </c>
      <c r="B94" t="s">
        <v>286</v>
      </c>
      <c r="C94" t="s">
        <v>251</v>
      </c>
      <c r="D94" t="s">
        <v>239</v>
      </c>
      <c r="E94" t="s">
        <v>241</v>
      </c>
      <c r="F94">
        <v>19.2</v>
      </c>
      <c r="G94" t="s">
        <v>254</v>
      </c>
    </row>
    <row r="95" spans="1:10" x14ac:dyDescent="0.35">
      <c r="A95" t="s">
        <v>287</v>
      </c>
      <c r="B95" t="s">
        <v>286</v>
      </c>
      <c r="C95" t="s">
        <v>251</v>
      </c>
      <c r="D95" t="s">
        <v>237</v>
      </c>
      <c r="E95" t="s">
        <v>194</v>
      </c>
      <c r="F95">
        <v>68</v>
      </c>
      <c r="G95" t="s">
        <v>254</v>
      </c>
      <c r="H95">
        <f>AVERAGE(F95:F99)</f>
        <v>49.2</v>
      </c>
    </row>
    <row r="96" spans="1:10" x14ac:dyDescent="0.35">
      <c r="A96" t="s">
        <v>287</v>
      </c>
      <c r="B96" t="s">
        <v>286</v>
      </c>
      <c r="C96" t="s">
        <v>251</v>
      </c>
      <c r="D96" t="s">
        <v>237</v>
      </c>
      <c r="E96" t="s">
        <v>194</v>
      </c>
      <c r="F96">
        <v>68</v>
      </c>
      <c r="G96" t="s">
        <v>254</v>
      </c>
    </row>
    <row r="97" spans="1:8" x14ac:dyDescent="0.35">
      <c r="A97" t="s">
        <v>287</v>
      </c>
      <c r="B97" t="s">
        <v>286</v>
      </c>
      <c r="C97" t="s">
        <v>251</v>
      </c>
      <c r="D97" t="s">
        <v>238</v>
      </c>
      <c r="E97" t="s">
        <v>194</v>
      </c>
      <c r="F97">
        <v>46</v>
      </c>
      <c r="G97" t="s">
        <v>254</v>
      </c>
    </row>
    <row r="98" spans="1:8" x14ac:dyDescent="0.35">
      <c r="A98" t="s">
        <v>287</v>
      </c>
      <c r="B98" t="s">
        <v>286</v>
      </c>
      <c r="C98" t="s">
        <v>251</v>
      </c>
      <c r="D98" t="s">
        <v>239</v>
      </c>
      <c r="E98" t="s">
        <v>194</v>
      </c>
      <c r="F98">
        <v>30</v>
      </c>
      <c r="G98" t="s">
        <v>254</v>
      </c>
    </row>
    <row r="99" spans="1:8" x14ac:dyDescent="0.35">
      <c r="A99" t="s">
        <v>287</v>
      </c>
      <c r="B99" t="s">
        <v>286</v>
      </c>
      <c r="C99" t="s">
        <v>251</v>
      </c>
      <c r="D99" t="s">
        <v>239</v>
      </c>
      <c r="E99" t="s">
        <v>194</v>
      </c>
      <c r="F99">
        <v>34</v>
      </c>
      <c r="G99" t="s">
        <v>254</v>
      </c>
    </row>
    <row r="100" spans="1:8" x14ac:dyDescent="0.35">
      <c r="A100" t="s">
        <v>287</v>
      </c>
      <c r="B100" t="s">
        <v>286</v>
      </c>
      <c r="C100" t="s">
        <v>251</v>
      </c>
      <c r="D100" t="s">
        <v>237</v>
      </c>
      <c r="E100" t="s">
        <v>241</v>
      </c>
      <c r="F100">
        <v>10</v>
      </c>
      <c r="G100" t="s">
        <v>254</v>
      </c>
      <c r="H100">
        <f>AVERAGE(F100:F104)</f>
        <v>10.199999999999999</v>
      </c>
    </row>
    <row r="101" spans="1:8" x14ac:dyDescent="0.35">
      <c r="A101" t="s">
        <v>287</v>
      </c>
      <c r="B101" t="s">
        <v>286</v>
      </c>
      <c r="C101" t="s">
        <v>251</v>
      </c>
      <c r="D101" t="s">
        <v>237</v>
      </c>
      <c r="E101" t="s">
        <v>241</v>
      </c>
      <c r="F101">
        <v>10</v>
      </c>
      <c r="G101" t="s">
        <v>254</v>
      </c>
    </row>
    <row r="102" spans="1:8" x14ac:dyDescent="0.35">
      <c r="A102" t="s">
        <v>287</v>
      </c>
      <c r="B102" t="s">
        <v>286</v>
      </c>
      <c r="C102" t="s">
        <v>251</v>
      </c>
      <c r="D102" t="s">
        <v>238</v>
      </c>
      <c r="E102" t="s">
        <v>241</v>
      </c>
      <c r="F102">
        <v>12</v>
      </c>
      <c r="G102" t="s">
        <v>254</v>
      </c>
    </row>
    <row r="103" spans="1:8" x14ac:dyDescent="0.35">
      <c r="A103" t="s">
        <v>287</v>
      </c>
      <c r="B103" t="s">
        <v>286</v>
      </c>
      <c r="C103" t="s">
        <v>251</v>
      </c>
      <c r="D103" t="s">
        <v>239</v>
      </c>
      <c r="E103" t="s">
        <v>241</v>
      </c>
      <c r="F103">
        <v>9</v>
      </c>
      <c r="G103" t="s">
        <v>254</v>
      </c>
    </row>
    <row r="104" spans="1:8" x14ac:dyDescent="0.35">
      <c r="A104" t="s">
        <v>287</v>
      </c>
      <c r="B104" t="s">
        <v>286</v>
      </c>
      <c r="C104" t="s">
        <v>251</v>
      </c>
      <c r="D104" t="s">
        <v>239</v>
      </c>
      <c r="E104" t="s">
        <v>241</v>
      </c>
      <c r="F104">
        <v>10</v>
      </c>
      <c r="G104" t="s">
        <v>254</v>
      </c>
    </row>
    <row r="105" spans="1:8" x14ac:dyDescent="0.35">
      <c r="A105" t="s">
        <v>288</v>
      </c>
      <c r="B105" t="s">
        <v>247</v>
      </c>
      <c r="C105" t="s">
        <v>251</v>
      </c>
      <c r="D105" t="s">
        <v>237</v>
      </c>
      <c r="E105" t="s">
        <v>194</v>
      </c>
      <c r="F105">
        <v>15</v>
      </c>
      <c r="G105" t="s">
        <v>254</v>
      </c>
    </row>
    <row r="106" spans="1:8" x14ac:dyDescent="0.35">
      <c r="A106" t="s">
        <v>288</v>
      </c>
      <c r="B106" t="s">
        <v>247</v>
      </c>
      <c r="C106" t="s">
        <v>251</v>
      </c>
      <c r="D106" t="s">
        <v>238</v>
      </c>
      <c r="E106" t="s">
        <v>194</v>
      </c>
      <c r="F106">
        <v>5</v>
      </c>
      <c r="G106" t="s">
        <v>254</v>
      </c>
    </row>
    <row r="107" spans="1:8" x14ac:dyDescent="0.35">
      <c r="A107" t="s">
        <v>288</v>
      </c>
      <c r="B107" t="s">
        <v>247</v>
      </c>
      <c r="C107" t="s">
        <v>251</v>
      </c>
      <c r="D107" t="s">
        <v>239</v>
      </c>
      <c r="E107" t="s">
        <v>194</v>
      </c>
      <c r="F107">
        <v>10</v>
      </c>
      <c r="G107" t="s">
        <v>254</v>
      </c>
    </row>
    <row r="108" spans="1:8" x14ac:dyDescent="0.35">
      <c r="A108" t="s">
        <v>288</v>
      </c>
      <c r="B108" t="s">
        <v>247</v>
      </c>
      <c r="C108" t="s">
        <v>251</v>
      </c>
      <c r="D108" t="s">
        <v>237</v>
      </c>
      <c r="E108" t="s">
        <v>241</v>
      </c>
      <c r="F108">
        <v>0</v>
      </c>
      <c r="G108" t="s">
        <v>254</v>
      </c>
    </row>
    <row r="109" spans="1:8" x14ac:dyDescent="0.35">
      <c r="A109" t="s">
        <v>288</v>
      </c>
      <c r="B109" t="s">
        <v>247</v>
      </c>
      <c r="C109" t="s">
        <v>251</v>
      </c>
      <c r="D109" t="s">
        <v>238</v>
      </c>
      <c r="E109" t="s">
        <v>241</v>
      </c>
      <c r="F109">
        <v>0</v>
      </c>
      <c r="G109" t="s">
        <v>254</v>
      </c>
    </row>
    <row r="110" spans="1:8" x14ac:dyDescent="0.35">
      <c r="A110" t="s">
        <v>288</v>
      </c>
      <c r="B110" t="s">
        <v>247</v>
      </c>
      <c r="C110" t="s">
        <v>251</v>
      </c>
      <c r="D110" t="s">
        <v>239</v>
      </c>
      <c r="E110" t="s">
        <v>241</v>
      </c>
      <c r="F110">
        <v>3.5</v>
      </c>
      <c r="G110" t="s">
        <v>254</v>
      </c>
    </row>
    <row r="111" spans="1:8" x14ac:dyDescent="0.35">
      <c r="A111" t="s">
        <v>289</v>
      </c>
      <c r="B111" t="s">
        <v>247</v>
      </c>
      <c r="C111" t="s">
        <v>236</v>
      </c>
      <c r="D111" t="s">
        <v>238</v>
      </c>
      <c r="E111" t="s">
        <v>194</v>
      </c>
      <c r="F111">
        <v>25</v>
      </c>
      <c r="G111" t="s">
        <v>254</v>
      </c>
    </row>
    <row r="112" spans="1:8" x14ac:dyDescent="0.35">
      <c r="A112" t="s">
        <v>289</v>
      </c>
      <c r="B112" t="s">
        <v>247</v>
      </c>
      <c r="C112" t="s">
        <v>236</v>
      </c>
      <c r="D112" t="s">
        <v>239</v>
      </c>
      <c r="E112" t="s">
        <v>194</v>
      </c>
      <c r="F112">
        <v>4</v>
      </c>
      <c r="G112" t="s">
        <v>254</v>
      </c>
    </row>
    <row r="113" spans="1:8" x14ac:dyDescent="0.35">
      <c r="A113" t="s">
        <v>266</v>
      </c>
      <c r="B113" t="s">
        <v>291</v>
      </c>
      <c r="C113" t="s">
        <v>251</v>
      </c>
      <c r="D113" t="s">
        <v>239</v>
      </c>
      <c r="E113" t="s">
        <v>162</v>
      </c>
      <c r="F113">
        <v>69.400000000000006</v>
      </c>
      <c r="G113" t="s">
        <v>290</v>
      </c>
    </row>
    <row r="114" spans="1:8" x14ac:dyDescent="0.35">
      <c r="A114" t="s">
        <v>266</v>
      </c>
      <c r="B114" t="s">
        <v>291</v>
      </c>
      <c r="C114" t="s">
        <v>251</v>
      </c>
      <c r="D114" t="s">
        <v>239</v>
      </c>
      <c r="E114" t="s">
        <v>241</v>
      </c>
      <c r="F114">
        <v>11.2</v>
      </c>
      <c r="G114" t="s">
        <v>290</v>
      </c>
    </row>
    <row r="115" spans="1:8" x14ac:dyDescent="0.35">
      <c r="A115" t="s">
        <v>292</v>
      </c>
      <c r="B115" t="s">
        <v>291</v>
      </c>
      <c r="C115" t="s">
        <v>251</v>
      </c>
      <c r="D115" t="s">
        <v>239</v>
      </c>
      <c r="E115" t="s">
        <v>194</v>
      </c>
      <c r="F115">
        <v>52</v>
      </c>
      <c r="G115" t="s">
        <v>254</v>
      </c>
    </row>
    <row r="116" spans="1:8" x14ac:dyDescent="0.35">
      <c r="A116" t="s">
        <v>292</v>
      </c>
      <c r="B116" t="s">
        <v>291</v>
      </c>
      <c r="C116" t="s">
        <v>251</v>
      </c>
      <c r="D116" t="s">
        <v>237</v>
      </c>
      <c r="E116" t="s">
        <v>194</v>
      </c>
      <c r="F116">
        <v>55</v>
      </c>
      <c r="G116" t="s">
        <v>254</v>
      </c>
      <c r="H116">
        <f>AVERAGE(F115:F119)</f>
        <v>50.8</v>
      </c>
    </row>
    <row r="117" spans="1:8" x14ac:dyDescent="0.35">
      <c r="A117" t="s">
        <v>292</v>
      </c>
      <c r="B117" t="s">
        <v>291</v>
      </c>
      <c r="C117" t="s">
        <v>251</v>
      </c>
      <c r="D117" t="s">
        <v>237</v>
      </c>
      <c r="E117" t="s">
        <v>194</v>
      </c>
      <c r="F117">
        <v>51</v>
      </c>
      <c r="G117" t="s">
        <v>254</v>
      </c>
      <c r="H117">
        <f>AVERAGE(F120:F124)</f>
        <v>6</v>
      </c>
    </row>
    <row r="118" spans="1:8" x14ac:dyDescent="0.35">
      <c r="A118" t="s">
        <v>292</v>
      </c>
      <c r="B118" t="s">
        <v>291</v>
      </c>
      <c r="C118" t="s">
        <v>251</v>
      </c>
      <c r="D118" t="s">
        <v>237</v>
      </c>
      <c r="E118" t="s">
        <v>194</v>
      </c>
      <c r="F118">
        <v>56</v>
      </c>
      <c r="G118" t="s">
        <v>254</v>
      </c>
    </row>
    <row r="119" spans="1:8" x14ac:dyDescent="0.35">
      <c r="A119" t="s">
        <v>292</v>
      </c>
      <c r="B119" t="s">
        <v>291</v>
      </c>
      <c r="C119" t="s">
        <v>251</v>
      </c>
      <c r="D119" t="s">
        <v>237</v>
      </c>
      <c r="E119" t="s">
        <v>194</v>
      </c>
      <c r="F119">
        <v>40</v>
      </c>
      <c r="G119" t="s">
        <v>254</v>
      </c>
    </row>
    <row r="120" spans="1:8" x14ac:dyDescent="0.35">
      <c r="A120" t="s">
        <v>292</v>
      </c>
      <c r="B120" t="s">
        <v>291</v>
      </c>
      <c r="C120" t="s">
        <v>251</v>
      </c>
      <c r="D120" t="s">
        <v>239</v>
      </c>
      <c r="E120" t="s">
        <v>241</v>
      </c>
      <c r="F120">
        <v>16</v>
      </c>
      <c r="G120" t="s">
        <v>254</v>
      </c>
    </row>
    <row r="121" spans="1:8" x14ac:dyDescent="0.35">
      <c r="A121" t="s">
        <v>292</v>
      </c>
      <c r="B121" t="s">
        <v>291</v>
      </c>
      <c r="C121" t="s">
        <v>251</v>
      </c>
      <c r="D121" t="s">
        <v>237</v>
      </c>
      <c r="E121" t="s">
        <v>241</v>
      </c>
      <c r="F121">
        <v>9</v>
      </c>
      <c r="G121" t="s">
        <v>254</v>
      </c>
    </row>
    <row r="122" spans="1:8" x14ac:dyDescent="0.35">
      <c r="A122" t="s">
        <v>292</v>
      </c>
      <c r="B122" t="s">
        <v>291</v>
      </c>
      <c r="C122" t="s">
        <v>251</v>
      </c>
      <c r="D122" t="s">
        <v>237</v>
      </c>
      <c r="E122" t="s">
        <v>241</v>
      </c>
      <c r="F122">
        <v>0</v>
      </c>
      <c r="G122" t="s">
        <v>254</v>
      </c>
    </row>
    <row r="123" spans="1:8" x14ac:dyDescent="0.35">
      <c r="A123" t="s">
        <v>292</v>
      </c>
      <c r="B123" t="s">
        <v>291</v>
      </c>
      <c r="C123" t="s">
        <v>251</v>
      </c>
      <c r="D123" t="s">
        <v>237</v>
      </c>
      <c r="E123" t="s">
        <v>241</v>
      </c>
      <c r="F123">
        <v>5</v>
      </c>
      <c r="G123" t="s">
        <v>254</v>
      </c>
    </row>
    <row r="124" spans="1:8" x14ac:dyDescent="0.35">
      <c r="A124" t="s">
        <v>292</v>
      </c>
      <c r="B124" t="s">
        <v>291</v>
      </c>
      <c r="C124" t="s">
        <v>251</v>
      </c>
      <c r="D124" t="s">
        <v>237</v>
      </c>
      <c r="E124" t="s">
        <v>241</v>
      </c>
      <c r="F124">
        <v>0</v>
      </c>
      <c r="G124" t="s">
        <v>254</v>
      </c>
    </row>
    <row r="125" spans="1:8" x14ac:dyDescent="0.35">
      <c r="A125" t="s">
        <v>293</v>
      </c>
      <c r="B125" t="s">
        <v>291</v>
      </c>
      <c r="C125" t="s">
        <v>251</v>
      </c>
      <c r="D125" t="s">
        <v>239</v>
      </c>
      <c r="E125" t="s">
        <v>162</v>
      </c>
      <c r="F125">
        <v>70.400000000000006</v>
      </c>
      <c r="G125" t="s">
        <v>254</v>
      </c>
      <c r="H125">
        <v>70</v>
      </c>
    </row>
    <row r="126" spans="1:8" x14ac:dyDescent="0.35">
      <c r="A126" t="s">
        <v>293</v>
      </c>
      <c r="B126" t="s">
        <v>291</v>
      </c>
      <c r="C126" t="s">
        <v>251</v>
      </c>
      <c r="D126" t="s">
        <v>239</v>
      </c>
      <c r="E126" t="s">
        <v>241</v>
      </c>
      <c r="F126">
        <v>12.4</v>
      </c>
      <c r="G126" t="s">
        <v>254</v>
      </c>
      <c r="H126">
        <v>12</v>
      </c>
    </row>
    <row r="127" spans="1:8" x14ac:dyDescent="0.35">
      <c r="A127" t="s">
        <v>294</v>
      </c>
      <c r="B127" t="s">
        <v>150</v>
      </c>
      <c r="C127" t="s">
        <v>251</v>
      </c>
      <c r="D127" t="s">
        <v>239</v>
      </c>
      <c r="E127" t="s">
        <v>162</v>
      </c>
      <c r="F127">
        <v>50</v>
      </c>
      <c r="G127" t="s">
        <v>295</v>
      </c>
      <c r="H127">
        <f>AVERAGE(F127,F129)</f>
        <v>59.7</v>
      </c>
    </row>
    <row r="128" spans="1:8" x14ac:dyDescent="0.35">
      <c r="A128" t="s">
        <v>294</v>
      </c>
      <c r="B128" t="s">
        <v>150</v>
      </c>
      <c r="C128" t="s">
        <v>251</v>
      </c>
      <c r="D128" t="s">
        <v>239</v>
      </c>
      <c r="E128" t="s">
        <v>241</v>
      </c>
      <c r="F128">
        <v>3.4</v>
      </c>
      <c r="G128" t="s">
        <v>295</v>
      </c>
      <c r="H128">
        <f>AVERAGE(F128,F130)</f>
        <v>1.7</v>
      </c>
    </row>
    <row r="129" spans="1:11" x14ac:dyDescent="0.35">
      <c r="A129" t="s">
        <v>294</v>
      </c>
      <c r="B129" t="s">
        <v>150</v>
      </c>
      <c r="C129" t="s">
        <v>251</v>
      </c>
      <c r="D129" t="s">
        <v>239</v>
      </c>
      <c r="E129" t="s">
        <v>162</v>
      </c>
      <c r="F129">
        <v>69.400000000000006</v>
      </c>
      <c r="G129" t="s">
        <v>298</v>
      </c>
      <c r="K129">
        <f>AVERAGE(H125,H127,H131,H136,H116)</f>
        <v>50.061999999999998</v>
      </c>
    </row>
    <row r="130" spans="1:11" x14ac:dyDescent="0.35">
      <c r="A130" t="s">
        <v>294</v>
      </c>
      <c r="B130" t="s">
        <v>150</v>
      </c>
      <c r="C130" t="s">
        <v>251</v>
      </c>
      <c r="D130" t="s">
        <v>239</v>
      </c>
      <c r="E130" t="s">
        <v>241</v>
      </c>
      <c r="F130">
        <v>0</v>
      </c>
      <c r="G130" t="s">
        <v>299</v>
      </c>
    </row>
    <row r="131" spans="1:11" x14ac:dyDescent="0.35">
      <c r="A131" t="s">
        <v>296</v>
      </c>
      <c r="B131" t="s">
        <v>150</v>
      </c>
      <c r="C131" t="s">
        <v>251</v>
      </c>
      <c r="D131" t="s">
        <v>239</v>
      </c>
      <c r="E131" t="s">
        <v>162</v>
      </c>
      <c r="F131">
        <v>53.44</v>
      </c>
      <c r="G131" t="s">
        <v>300</v>
      </c>
      <c r="H131">
        <f>AVERAGE(F131,F133)</f>
        <v>54.06</v>
      </c>
    </row>
    <row r="132" spans="1:11" x14ac:dyDescent="0.35">
      <c r="A132" t="s">
        <v>296</v>
      </c>
      <c r="B132" t="s">
        <v>150</v>
      </c>
      <c r="C132" t="s">
        <v>251</v>
      </c>
      <c r="D132" t="s">
        <v>239</v>
      </c>
      <c r="E132" t="s">
        <v>241</v>
      </c>
      <c r="F132">
        <v>2.34</v>
      </c>
      <c r="G132" t="s">
        <v>300</v>
      </c>
      <c r="H132">
        <f>AVERAGE(F132,F134,F135)</f>
        <v>11.026666666666666</v>
      </c>
    </row>
    <row r="133" spans="1:11" x14ac:dyDescent="0.35">
      <c r="A133" t="s">
        <v>296</v>
      </c>
      <c r="B133" t="s">
        <v>150</v>
      </c>
      <c r="C133" t="s">
        <v>251</v>
      </c>
      <c r="D133" t="s">
        <v>239</v>
      </c>
      <c r="E133" t="s">
        <v>162</v>
      </c>
      <c r="F133">
        <v>54.68</v>
      </c>
      <c r="G133" t="s">
        <v>300</v>
      </c>
    </row>
    <row r="134" spans="1:11" x14ac:dyDescent="0.35">
      <c r="A134" t="s">
        <v>296</v>
      </c>
      <c r="B134" t="s">
        <v>150</v>
      </c>
      <c r="C134" t="s">
        <v>251</v>
      </c>
      <c r="D134" t="s">
        <v>239</v>
      </c>
      <c r="E134" t="s">
        <v>241</v>
      </c>
      <c r="F134">
        <v>0.74</v>
      </c>
      <c r="G134" t="s">
        <v>300</v>
      </c>
    </row>
    <row r="135" spans="1:11" x14ac:dyDescent="0.35">
      <c r="A135" t="s">
        <v>296</v>
      </c>
      <c r="B135" t="s">
        <v>150</v>
      </c>
      <c r="C135" t="s">
        <v>251</v>
      </c>
      <c r="D135" t="s">
        <v>239</v>
      </c>
      <c r="E135" t="s">
        <v>241</v>
      </c>
      <c r="F135">
        <v>30</v>
      </c>
      <c r="G135" t="s">
        <v>297</v>
      </c>
    </row>
    <row r="136" spans="1:11" x14ac:dyDescent="0.35">
      <c r="A136" t="s">
        <v>301</v>
      </c>
      <c r="B136" t="s">
        <v>301</v>
      </c>
      <c r="C136" t="s">
        <v>251</v>
      </c>
      <c r="D136" t="s">
        <v>237</v>
      </c>
      <c r="E136" t="s">
        <v>162</v>
      </c>
      <c r="F136">
        <v>2.5</v>
      </c>
      <c r="G136" t="s">
        <v>254</v>
      </c>
      <c r="H136">
        <f>AVERAGE(F136:F137)</f>
        <v>15.75</v>
      </c>
    </row>
    <row r="137" spans="1:11" x14ac:dyDescent="0.35">
      <c r="A137" t="s">
        <v>301</v>
      </c>
      <c r="B137" t="s">
        <v>301</v>
      </c>
      <c r="C137" t="s">
        <v>236</v>
      </c>
      <c r="D137" t="s">
        <v>238</v>
      </c>
      <c r="E137" t="s">
        <v>162</v>
      </c>
      <c r="F137">
        <v>29</v>
      </c>
      <c r="G137" t="s">
        <v>254</v>
      </c>
    </row>
    <row r="138" spans="1:11" x14ac:dyDescent="0.35">
      <c r="A138" t="s">
        <v>303</v>
      </c>
      <c r="B138" t="s">
        <v>187</v>
      </c>
      <c r="C138" t="s">
        <v>251</v>
      </c>
      <c r="D138" t="s">
        <v>238</v>
      </c>
      <c r="E138" t="s">
        <v>194</v>
      </c>
      <c r="F138">
        <v>60</v>
      </c>
      <c r="G138" t="s">
        <v>302</v>
      </c>
    </row>
    <row r="139" spans="1:11" x14ac:dyDescent="0.35">
      <c r="A139" t="s">
        <v>303</v>
      </c>
      <c r="B139" t="s">
        <v>187</v>
      </c>
      <c r="C139" t="s">
        <v>251</v>
      </c>
      <c r="D139" t="s">
        <v>238</v>
      </c>
      <c r="E139" t="s">
        <v>241</v>
      </c>
      <c r="F139">
        <v>16</v>
      </c>
      <c r="G139" t="s">
        <v>302</v>
      </c>
    </row>
    <row r="140" spans="1:11" x14ac:dyDescent="0.35">
      <c r="A140" t="s">
        <v>305</v>
      </c>
      <c r="B140" t="s">
        <v>304</v>
      </c>
      <c r="C140" t="s">
        <v>236</v>
      </c>
      <c r="D140" t="s">
        <v>238</v>
      </c>
      <c r="E140" t="s">
        <v>162</v>
      </c>
      <c r="F140">
        <v>32</v>
      </c>
      <c r="G140" t="s">
        <v>244</v>
      </c>
      <c r="H140">
        <f>AVERAGE(F140:F142)</f>
        <v>23.833333333333332</v>
      </c>
    </row>
    <row r="141" spans="1:11" x14ac:dyDescent="0.35">
      <c r="A141" t="s">
        <v>305</v>
      </c>
      <c r="B141" t="s">
        <v>304</v>
      </c>
      <c r="C141" t="s">
        <v>236</v>
      </c>
      <c r="D141" t="s">
        <v>239</v>
      </c>
      <c r="E141" t="s">
        <v>162</v>
      </c>
      <c r="F141">
        <v>24.5</v>
      </c>
      <c r="G141" t="s">
        <v>244</v>
      </c>
    </row>
    <row r="142" spans="1:11" x14ac:dyDescent="0.35">
      <c r="A142" t="s">
        <v>267</v>
      </c>
      <c r="B142" t="s">
        <v>304</v>
      </c>
      <c r="C142" t="s">
        <v>236</v>
      </c>
      <c r="D142" t="s">
        <v>230</v>
      </c>
      <c r="E142" t="s">
        <v>162</v>
      </c>
      <c r="F142">
        <v>15</v>
      </c>
      <c r="G142" t="s">
        <v>306</v>
      </c>
    </row>
    <row r="143" spans="1:11" x14ac:dyDescent="0.35">
      <c r="A143" t="s">
        <v>267</v>
      </c>
      <c r="B143" t="s">
        <v>304</v>
      </c>
      <c r="C143" t="s">
        <v>236</v>
      </c>
      <c r="D143" t="s">
        <v>230</v>
      </c>
      <c r="E143" t="s">
        <v>241</v>
      </c>
      <c r="F143">
        <v>3.9</v>
      </c>
      <c r="G143" t="s">
        <v>306</v>
      </c>
    </row>
    <row r="144" spans="1:11" x14ac:dyDescent="0.35">
      <c r="A144" t="s">
        <v>307</v>
      </c>
      <c r="B144" t="s">
        <v>173</v>
      </c>
      <c r="C144" t="s">
        <v>236</v>
      </c>
      <c r="D144" t="s">
        <v>239</v>
      </c>
      <c r="E144" t="s">
        <v>162</v>
      </c>
      <c r="F144">
        <v>33.799999999999997</v>
      </c>
      <c r="G144" t="s">
        <v>244</v>
      </c>
      <c r="H144" t="s">
        <v>308</v>
      </c>
    </row>
    <row r="145" spans="1:11" x14ac:dyDescent="0.35">
      <c r="A145" t="s">
        <v>307</v>
      </c>
      <c r="B145" t="s">
        <v>173</v>
      </c>
      <c r="C145" t="s">
        <v>236</v>
      </c>
      <c r="D145" t="s">
        <v>239</v>
      </c>
      <c r="E145" t="s">
        <v>162</v>
      </c>
      <c r="F145">
        <v>27.8</v>
      </c>
      <c r="G145" t="s">
        <v>244</v>
      </c>
      <c r="H145">
        <f>AVERAGE(F144:F146)</f>
        <v>28.366666666666664</v>
      </c>
    </row>
    <row r="146" spans="1:11" x14ac:dyDescent="0.35">
      <c r="A146" t="s">
        <v>307</v>
      </c>
      <c r="B146" t="s">
        <v>173</v>
      </c>
      <c r="C146" t="s">
        <v>236</v>
      </c>
      <c r="D146" t="s">
        <v>239</v>
      </c>
      <c r="E146" t="s">
        <v>162</v>
      </c>
      <c r="F146">
        <v>23.5</v>
      </c>
      <c r="G146" t="s">
        <v>244</v>
      </c>
      <c r="H146">
        <f>AVERAGE(F148)</f>
        <v>3.7</v>
      </c>
    </row>
    <row r="147" spans="1:11" x14ac:dyDescent="0.35">
      <c r="A147" t="s">
        <v>307</v>
      </c>
      <c r="B147" t="s">
        <v>173</v>
      </c>
      <c r="C147" t="s">
        <v>236</v>
      </c>
      <c r="D147" t="s">
        <v>239</v>
      </c>
      <c r="E147" t="s">
        <v>162</v>
      </c>
      <c r="F147">
        <v>23</v>
      </c>
      <c r="G147" t="s">
        <v>254</v>
      </c>
      <c r="H147">
        <f>AVERAGE(F148)</f>
        <v>3.7</v>
      </c>
    </row>
    <row r="148" spans="1:11" x14ac:dyDescent="0.35">
      <c r="A148" t="s">
        <v>307</v>
      </c>
      <c r="B148" t="s">
        <v>173</v>
      </c>
      <c r="C148" t="s">
        <v>236</v>
      </c>
      <c r="D148" t="s">
        <v>239</v>
      </c>
      <c r="E148" t="s">
        <v>241</v>
      </c>
      <c r="F148">
        <v>3.7</v>
      </c>
      <c r="G148" t="s">
        <v>254</v>
      </c>
    </row>
    <row r="149" spans="1:11" x14ac:dyDescent="0.35">
      <c r="A149" t="s">
        <v>309</v>
      </c>
      <c r="B149" t="s">
        <v>173</v>
      </c>
      <c r="C149" t="s">
        <v>236</v>
      </c>
      <c r="D149" t="s">
        <v>230</v>
      </c>
      <c r="E149" t="s">
        <v>162</v>
      </c>
      <c r="F149">
        <v>23.3</v>
      </c>
      <c r="G149" t="s">
        <v>244</v>
      </c>
      <c r="H149">
        <f>AVERAGE(F149:F151)</f>
        <v>17.866666666666664</v>
      </c>
      <c r="K149">
        <f>AVERAGE(H145,H149,H152,H158,H172)</f>
        <v>23.834285714285713</v>
      </c>
    </row>
    <row r="150" spans="1:11" x14ac:dyDescent="0.35">
      <c r="A150" t="s">
        <v>309</v>
      </c>
      <c r="B150" t="s">
        <v>173</v>
      </c>
      <c r="C150" t="s">
        <v>236</v>
      </c>
      <c r="D150" t="s">
        <v>239</v>
      </c>
      <c r="E150" t="s">
        <v>162</v>
      </c>
      <c r="F150">
        <v>19</v>
      </c>
      <c r="G150" t="s">
        <v>244</v>
      </c>
    </row>
    <row r="151" spans="1:11" x14ac:dyDescent="0.35">
      <c r="A151" t="s">
        <v>309</v>
      </c>
      <c r="B151" t="s">
        <v>173</v>
      </c>
      <c r="C151" t="s">
        <v>236</v>
      </c>
      <c r="D151" t="s">
        <v>239</v>
      </c>
      <c r="E151" t="s">
        <v>162</v>
      </c>
      <c r="F151">
        <v>11.3</v>
      </c>
      <c r="G151" t="s">
        <v>244</v>
      </c>
      <c r="K151">
        <f>AVERAGE(H155,H160,H175)</f>
        <v>1.5374999999999999</v>
      </c>
    </row>
    <row r="152" spans="1:11" x14ac:dyDescent="0.35">
      <c r="A152" t="s">
        <v>191</v>
      </c>
      <c r="B152" t="s">
        <v>173</v>
      </c>
      <c r="C152" t="s">
        <v>236</v>
      </c>
      <c r="D152" t="s">
        <v>230</v>
      </c>
      <c r="E152" t="s">
        <v>162</v>
      </c>
      <c r="F152">
        <v>30</v>
      </c>
      <c r="G152" t="s">
        <v>244</v>
      </c>
      <c r="H152">
        <f>AVERAGE(F152:F154)</f>
        <v>26</v>
      </c>
    </row>
    <row r="153" spans="1:11" x14ac:dyDescent="0.35">
      <c r="A153" t="s">
        <v>191</v>
      </c>
      <c r="B153" t="s">
        <v>173</v>
      </c>
      <c r="C153" t="s">
        <v>236</v>
      </c>
      <c r="D153" t="s">
        <v>239</v>
      </c>
      <c r="E153" t="s">
        <v>162</v>
      </c>
      <c r="F153">
        <v>25</v>
      </c>
      <c r="G153" t="s">
        <v>244</v>
      </c>
    </row>
    <row r="154" spans="1:11" x14ac:dyDescent="0.35">
      <c r="A154" t="s">
        <v>191</v>
      </c>
      <c r="B154" t="s">
        <v>173</v>
      </c>
      <c r="C154" t="s">
        <v>236</v>
      </c>
      <c r="D154" t="s">
        <v>239</v>
      </c>
      <c r="E154" t="s">
        <v>162</v>
      </c>
      <c r="F154">
        <v>23</v>
      </c>
      <c r="G154" t="s">
        <v>244</v>
      </c>
    </row>
    <row r="155" spans="1:11" x14ac:dyDescent="0.35">
      <c r="A155" t="s">
        <v>191</v>
      </c>
      <c r="B155" t="s">
        <v>173</v>
      </c>
      <c r="C155" t="s">
        <v>236</v>
      </c>
      <c r="D155" t="s">
        <v>239</v>
      </c>
      <c r="E155" t="s">
        <v>241</v>
      </c>
      <c r="F155">
        <v>1</v>
      </c>
      <c r="G155" t="s">
        <v>254</v>
      </c>
      <c r="H155">
        <v>1</v>
      </c>
    </row>
    <row r="156" spans="1:11" x14ac:dyDescent="0.35">
      <c r="A156" t="s">
        <v>191</v>
      </c>
      <c r="B156" t="s">
        <v>173</v>
      </c>
      <c r="C156" t="s">
        <v>236</v>
      </c>
      <c r="D156" t="s">
        <v>239</v>
      </c>
      <c r="E156" t="s">
        <v>241</v>
      </c>
      <c r="F156">
        <v>1</v>
      </c>
      <c r="G156" t="s">
        <v>254</v>
      </c>
    </row>
    <row r="157" spans="1:11" x14ac:dyDescent="0.35">
      <c r="A157" t="s">
        <v>191</v>
      </c>
      <c r="B157" t="s">
        <v>173</v>
      </c>
      <c r="C157" t="s">
        <v>236</v>
      </c>
      <c r="D157" t="s">
        <v>239</v>
      </c>
      <c r="E157" t="s">
        <v>241</v>
      </c>
      <c r="F157">
        <v>1</v>
      </c>
      <c r="G157" t="s">
        <v>254</v>
      </c>
    </row>
    <row r="158" spans="1:11" x14ac:dyDescent="0.35">
      <c r="A158" t="s">
        <v>268</v>
      </c>
      <c r="B158" t="s">
        <v>173</v>
      </c>
      <c r="C158" t="s">
        <v>255</v>
      </c>
      <c r="D158" t="s">
        <v>230</v>
      </c>
      <c r="E158" t="s">
        <v>162</v>
      </c>
      <c r="F158">
        <v>5</v>
      </c>
      <c r="G158" t="s">
        <v>254</v>
      </c>
      <c r="H158">
        <f>AVERAGE(F158:F159,F162:F166)</f>
        <v>21.271428571428572</v>
      </c>
    </row>
    <row r="159" spans="1:11" x14ac:dyDescent="0.35">
      <c r="A159" t="s">
        <v>268</v>
      </c>
      <c r="B159" t="s">
        <v>173</v>
      </c>
      <c r="C159" t="s">
        <v>255</v>
      </c>
      <c r="D159" t="s">
        <v>230</v>
      </c>
      <c r="E159" t="s">
        <v>162</v>
      </c>
      <c r="F159">
        <v>6</v>
      </c>
      <c r="G159" t="s">
        <v>254</v>
      </c>
    </row>
    <row r="160" spans="1:11" x14ac:dyDescent="0.35">
      <c r="A160" t="s">
        <v>268</v>
      </c>
      <c r="B160" t="s">
        <v>173</v>
      </c>
      <c r="C160" t="s">
        <v>255</v>
      </c>
      <c r="D160" t="s">
        <v>230</v>
      </c>
      <c r="E160" t="s">
        <v>241</v>
      </c>
      <c r="F160">
        <v>0.7</v>
      </c>
      <c r="G160" t="s">
        <v>254</v>
      </c>
      <c r="H160">
        <f>AVERAGE(F160:F161,F167:F171,)</f>
        <v>1.6125</v>
      </c>
    </row>
    <row r="161" spans="1:8" x14ac:dyDescent="0.35">
      <c r="A161" t="s">
        <v>268</v>
      </c>
      <c r="B161" t="s">
        <v>173</v>
      </c>
      <c r="C161" t="s">
        <v>255</v>
      </c>
      <c r="D161" t="s">
        <v>230</v>
      </c>
      <c r="E161" t="s">
        <v>241</v>
      </c>
      <c r="F161">
        <v>0</v>
      </c>
      <c r="G161" t="s">
        <v>254</v>
      </c>
    </row>
    <row r="162" spans="1:8" x14ac:dyDescent="0.35">
      <c r="A162" t="s">
        <v>268</v>
      </c>
      <c r="B162" t="s">
        <v>173</v>
      </c>
      <c r="C162" t="s">
        <v>251</v>
      </c>
      <c r="D162" t="s">
        <v>239</v>
      </c>
      <c r="E162" t="s">
        <v>162</v>
      </c>
      <c r="F162">
        <v>28</v>
      </c>
      <c r="G162" t="s">
        <v>254</v>
      </c>
    </row>
    <row r="163" spans="1:8" x14ac:dyDescent="0.35">
      <c r="A163" t="s">
        <v>268</v>
      </c>
      <c r="B163" t="s">
        <v>173</v>
      </c>
      <c r="C163" t="s">
        <v>251</v>
      </c>
      <c r="D163" t="s">
        <v>239</v>
      </c>
      <c r="E163" t="s">
        <v>162</v>
      </c>
      <c r="F163">
        <v>33</v>
      </c>
      <c r="G163" t="s">
        <v>254</v>
      </c>
    </row>
    <row r="164" spans="1:8" x14ac:dyDescent="0.35">
      <c r="A164" t="s">
        <v>268</v>
      </c>
      <c r="B164" t="s">
        <v>173</v>
      </c>
      <c r="C164" t="s">
        <v>251</v>
      </c>
      <c r="D164" t="s">
        <v>239</v>
      </c>
      <c r="E164" t="s">
        <v>162</v>
      </c>
      <c r="F164">
        <v>18</v>
      </c>
      <c r="G164" t="s">
        <v>254</v>
      </c>
    </row>
    <row r="165" spans="1:8" x14ac:dyDescent="0.35">
      <c r="A165" t="s">
        <v>268</v>
      </c>
      <c r="B165" t="s">
        <v>173</v>
      </c>
      <c r="C165" t="s">
        <v>251</v>
      </c>
      <c r="D165" t="s">
        <v>239</v>
      </c>
      <c r="E165" t="s">
        <v>162</v>
      </c>
      <c r="F165">
        <v>33.700000000000003</v>
      </c>
      <c r="G165" t="s">
        <v>254</v>
      </c>
    </row>
    <row r="166" spans="1:8" x14ac:dyDescent="0.35">
      <c r="A166" t="s">
        <v>268</v>
      </c>
      <c r="B166" t="s">
        <v>173</v>
      </c>
      <c r="C166" t="s">
        <v>251</v>
      </c>
      <c r="D166" t="s">
        <v>239</v>
      </c>
      <c r="E166" t="s">
        <v>162</v>
      </c>
      <c r="F166">
        <v>25.2</v>
      </c>
      <c r="G166" t="s">
        <v>254</v>
      </c>
    </row>
    <row r="167" spans="1:8" x14ac:dyDescent="0.35">
      <c r="A167" t="s">
        <v>268</v>
      </c>
      <c r="B167" t="s">
        <v>173</v>
      </c>
      <c r="C167" t="s">
        <v>251</v>
      </c>
      <c r="D167" t="s">
        <v>239</v>
      </c>
      <c r="E167" t="s">
        <v>241</v>
      </c>
      <c r="F167">
        <v>3</v>
      </c>
      <c r="G167" t="s">
        <v>254</v>
      </c>
    </row>
    <row r="168" spans="1:8" x14ac:dyDescent="0.35">
      <c r="A168" t="s">
        <v>268</v>
      </c>
      <c r="B168" t="s">
        <v>173</v>
      </c>
      <c r="C168" t="s">
        <v>251</v>
      </c>
      <c r="D168" t="s">
        <v>239</v>
      </c>
      <c r="E168" t="s">
        <v>241</v>
      </c>
      <c r="F168">
        <v>3.5</v>
      </c>
      <c r="G168" t="s">
        <v>254</v>
      </c>
    </row>
    <row r="169" spans="1:8" x14ac:dyDescent="0.35">
      <c r="A169" t="s">
        <v>268</v>
      </c>
      <c r="B169" t="s">
        <v>173</v>
      </c>
      <c r="C169" t="s">
        <v>251</v>
      </c>
      <c r="D169" t="s">
        <v>239</v>
      </c>
      <c r="E169" t="s">
        <v>241</v>
      </c>
      <c r="F169">
        <v>0.7</v>
      </c>
      <c r="G169" t="s">
        <v>254</v>
      </c>
    </row>
    <row r="170" spans="1:8" x14ac:dyDescent="0.35">
      <c r="A170" t="s">
        <v>268</v>
      </c>
      <c r="B170" t="s">
        <v>173</v>
      </c>
      <c r="C170" t="s">
        <v>251</v>
      </c>
      <c r="D170" t="s">
        <v>239</v>
      </c>
      <c r="E170" t="s">
        <v>241</v>
      </c>
      <c r="F170">
        <v>5</v>
      </c>
      <c r="G170" t="s">
        <v>254</v>
      </c>
    </row>
    <row r="171" spans="1:8" x14ac:dyDescent="0.35">
      <c r="A171" t="s">
        <v>268</v>
      </c>
      <c r="B171" t="s">
        <v>173</v>
      </c>
      <c r="C171" t="s">
        <v>251</v>
      </c>
      <c r="D171" t="s">
        <v>239</v>
      </c>
      <c r="E171" t="s">
        <v>241</v>
      </c>
      <c r="F171">
        <v>0</v>
      </c>
      <c r="G171" t="s">
        <v>254</v>
      </c>
    </row>
    <row r="172" spans="1:8" x14ac:dyDescent="0.35">
      <c r="A172" t="s">
        <v>269</v>
      </c>
      <c r="B172" t="s">
        <v>173</v>
      </c>
      <c r="C172" t="s">
        <v>236</v>
      </c>
      <c r="D172" t="s">
        <v>230</v>
      </c>
      <c r="E172" t="s">
        <v>162</v>
      </c>
      <c r="F172">
        <v>27</v>
      </c>
      <c r="G172" t="s">
        <v>244</v>
      </c>
      <c r="H172">
        <f>AVERAGE(F172:F174)</f>
        <v>25.666666666666668</v>
      </c>
    </row>
    <row r="173" spans="1:8" x14ac:dyDescent="0.35">
      <c r="A173" t="s">
        <v>269</v>
      </c>
      <c r="B173" t="s">
        <v>173</v>
      </c>
      <c r="C173" t="s">
        <v>236</v>
      </c>
      <c r="D173" t="s">
        <v>239</v>
      </c>
      <c r="E173" t="s">
        <v>162</v>
      </c>
      <c r="F173">
        <v>25</v>
      </c>
      <c r="G173" t="s">
        <v>244</v>
      </c>
    </row>
    <row r="174" spans="1:8" x14ac:dyDescent="0.35">
      <c r="A174" t="s">
        <v>269</v>
      </c>
      <c r="B174" t="s">
        <v>173</v>
      </c>
      <c r="C174" t="s">
        <v>236</v>
      </c>
      <c r="D174" t="s">
        <v>239</v>
      </c>
      <c r="E174" t="s">
        <v>162</v>
      </c>
      <c r="F174">
        <v>25</v>
      </c>
      <c r="G174" t="s">
        <v>244</v>
      </c>
    </row>
    <row r="175" spans="1:8" x14ac:dyDescent="0.35">
      <c r="A175" t="s">
        <v>269</v>
      </c>
      <c r="B175" t="s">
        <v>173</v>
      </c>
      <c r="C175" t="s">
        <v>236</v>
      </c>
      <c r="D175" t="s">
        <v>230</v>
      </c>
      <c r="E175" t="s">
        <v>241</v>
      </c>
      <c r="F175">
        <v>2</v>
      </c>
      <c r="G175" t="s">
        <v>244</v>
      </c>
      <c r="H175">
        <v>2</v>
      </c>
    </row>
    <row r="176" spans="1:8" x14ac:dyDescent="0.35">
      <c r="A176" t="s">
        <v>269</v>
      </c>
      <c r="B176" t="s">
        <v>173</v>
      </c>
      <c r="C176" t="s">
        <v>236</v>
      </c>
      <c r="D176" t="s">
        <v>239</v>
      </c>
      <c r="E176" t="s">
        <v>241</v>
      </c>
      <c r="F176">
        <v>2</v>
      </c>
      <c r="G176" t="s">
        <v>244</v>
      </c>
    </row>
    <row r="177" spans="1:7" x14ac:dyDescent="0.35">
      <c r="A177" t="s">
        <v>269</v>
      </c>
      <c r="B177" t="s">
        <v>173</v>
      </c>
      <c r="C177" t="s">
        <v>236</v>
      </c>
      <c r="D177" t="s">
        <v>239</v>
      </c>
      <c r="E177" t="s">
        <v>241</v>
      </c>
      <c r="F177">
        <v>2</v>
      </c>
      <c r="G177" t="s">
        <v>244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2"/>
  <sheetViews>
    <sheetView zoomScaleNormal="100" workbookViewId="0">
      <pane ySplit="1" topLeftCell="A188" activePane="bottomLeft" state="frozen"/>
      <selection pane="bottomLeft" activeCell="F198" sqref="F198"/>
    </sheetView>
  </sheetViews>
  <sheetFormatPr defaultRowHeight="14.5" x14ac:dyDescent="0.35"/>
  <cols>
    <col min="2" max="2" width="11.1796875" customWidth="1"/>
    <col min="3" max="3" width="26.1796875" bestFit="1" customWidth="1"/>
    <col min="5" max="5" width="14.1796875" customWidth="1"/>
    <col min="6" max="6" width="25.54296875" bestFit="1" customWidth="1"/>
    <col min="7" max="8" width="10.81640625" customWidth="1"/>
    <col min="9" max="9" width="11.7265625" bestFit="1" customWidth="1"/>
    <col min="10" max="10" width="28.1796875" bestFit="1" customWidth="1"/>
    <col min="11" max="11" width="22.453125" customWidth="1"/>
    <col min="12" max="12" width="15.54296875" customWidth="1"/>
    <col min="13" max="14" width="12.7265625" customWidth="1"/>
    <col min="15" max="15" width="9.7265625" customWidth="1"/>
  </cols>
  <sheetData>
    <row r="1" spans="1:15" x14ac:dyDescent="0.35">
      <c r="A1" s="1" t="s">
        <v>90</v>
      </c>
      <c r="B1" s="1" t="s">
        <v>92</v>
      </c>
      <c r="C1" s="1" t="s">
        <v>94</v>
      </c>
      <c r="D1" s="1" t="s">
        <v>222</v>
      </c>
      <c r="E1" s="1" t="s">
        <v>87</v>
      </c>
      <c r="F1" s="1" t="s">
        <v>86</v>
      </c>
      <c r="G1" s="1" t="s">
        <v>223</v>
      </c>
      <c r="H1" s="1" t="s">
        <v>228</v>
      </c>
      <c r="I1" s="1" t="s">
        <v>93</v>
      </c>
      <c r="J1" s="1" t="s">
        <v>88</v>
      </c>
      <c r="K1" s="1" t="s">
        <v>89</v>
      </c>
      <c r="L1" s="1" t="s">
        <v>227</v>
      </c>
      <c r="M1" s="1" t="s">
        <v>224</v>
      </c>
      <c r="N1" s="1" t="s">
        <v>226</v>
      </c>
      <c r="O1" s="1" t="s">
        <v>225</v>
      </c>
    </row>
    <row r="2" spans="1:15" x14ac:dyDescent="0.35">
      <c r="A2" t="s">
        <v>1</v>
      </c>
      <c r="B2" t="s">
        <v>163</v>
      </c>
      <c r="C2" t="s">
        <v>319</v>
      </c>
      <c r="D2">
        <v>1983</v>
      </c>
      <c r="E2" t="s">
        <v>166</v>
      </c>
      <c r="F2" t="s">
        <v>200</v>
      </c>
      <c r="G2" t="s">
        <v>194</v>
      </c>
      <c r="I2" t="s">
        <v>101</v>
      </c>
      <c r="J2" t="s">
        <v>103</v>
      </c>
      <c r="K2" t="s">
        <v>102</v>
      </c>
      <c r="L2" t="s">
        <v>229</v>
      </c>
      <c r="M2">
        <v>0</v>
      </c>
      <c r="O2">
        <v>1.26</v>
      </c>
    </row>
    <row r="3" spans="1:15" x14ac:dyDescent="0.35">
      <c r="A3" t="s">
        <v>1</v>
      </c>
      <c r="B3" t="s">
        <v>163</v>
      </c>
      <c r="C3" t="s">
        <v>319</v>
      </c>
      <c r="D3">
        <v>1983</v>
      </c>
      <c r="E3" t="s">
        <v>166</v>
      </c>
      <c r="F3" t="s">
        <v>200</v>
      </c>
      <c r="G3" t="s">
        <v>194</v>
      </c>
      <c r="I3" t="s">
        <v>101</v>
      </c>
      <c r="J3" t="s">
        <v>103</v>
      </c>
      <c r="K3" t="s">
        <v>102</v>
      </c>
      <c r="L3" t="s">
        <v>229</v>
      </c>
      <c r="M3">
        <v>15</v>
      </c>
      <c r="O3">
        <v>1.21</v>
      </c>
    </row>
    <row r="4" spans="1:15" x14ac:dyDescent="0.35">
      <c r="A4" t="s">
        <v>1</v>
      </c>
      <c r="B4" t="s">
        <v>163</v>
      </c>
      <c r="C4" t="s">
        <v>199</v>
      </c>
      <c r="D4">
        <v>1983</v>
      </c>
      <c r="E4" t="s">
        <v>166</v>
      </c>
      <c r="F4" t="s">
        <v>200</v>
      </c>
      <c r="G4" t="s">
        <v>194</v>
      </c>
      <c r="I4" t="s">
        <v>101</v>
      </c>
      <c r="J4" t="s">
        <v>103</v>
      </c>
      <c r="K4" t="s">
        <v>102</v>
      </c>
      <c r="L4" t="s">
        <v>229</v>
      </c>
      <c r="M4">
        <v>30</v>
      </c>
      <c r="O4">
        <v>1.42</v>
      </c>
    </row>
    <row r="5" spans="1:15" x14ac:dyDescent="0.35">
      <c r="A5" t="s">
        <v>1</v>
      </c>
      <c r="B5" t="s">
        <v>163</v>
      </c>
      <c r="C5" t="s">
        <v>199</v>
      </c>
      <c r="D5">
        <v>1983</v>
      </c>
      <c r="E5" t="s">
        <v>166</v>
      </c>
      <c r="F5" t="s">
        <v>200</v>
      </c>
      <c r="G5" t="s">
        <v>194</v>
      </c>
      <c r="I5" t="s">
        <v>101</v>
      </c>
      <c r="J5" t="s">
        <v>103</v>
      </c>
      <c r="K5" t="s">
        <v>102</v>
      </c>
      <c r="L5" t="s">
        <v>229</v>
      </c>
      <c r="M5">
        <v>45</v>
      </c>
      <c r="O5">
        <v>1.51</v>
      </c>
    </row>
    <row r="6" spans="1:15" x14ac:dyDescent="0.35">
      <c r="A6" t="s">
        <v>1</v>
      </c>
      <c r="B6" t="s">
        <v>163</v>
      </c>
      <c r="C6" t="s">
        <v>199</v>
      </c>
      <c r="D6">
        <v>1983</v>
      </c>
      <c r="E6" t="s">
        <v>166</v>
      </c>
      <c r="F6" t="s">
        <v>200</v>
      </c>
      <c r="G6" t="s">
        <v>194</v>
      </c>
      <c r="I6" t="s">
        <v>101</v>
      </c>
      <c r="J6" t="s">
        <v>103</v>
      </c>
      <c r="K6" t="s">
        <v>102</v>
      </c>
      <c r="L6" t="s">
        <v>229</v>
      </c>
      <c r="M6">
        <v>60</v>
      </c>
      <c r="O6">
        <v>2.09</v>
      </c>
    </row>
    <row r="7" spans="1:15" x14ac:dyDescent="0.35">
      <c r="A7" t="s">
        <v>1</v>
      </c>
      <c r="B7" t="s">
        <v>163</v>
      </c>
      <c r="C7" t="s">
        <v>199</v>
      </c>
      <c r="D7">
        <v>1983</v>
      </c>
      <c r="E7" t="s">
        <v>166</v>
      </c>
      <c r="F7" t="s">
        <v>200</v>
      </c>
      <c r="G7" t="s">
        <v>194</v>
      </c>
      <c r="I7" t="s">
        <v>101</v>
      </c>
      <c r="J7" t="s">
        <v>103</v>
      </c>
      <c r="K7" t="s">
        <v>102</v>
      </c>
      <c r="L7" t="s">
        <v>229</v>
      </c>
      <c r="M7">
        <v>90</v>
      </c>
      <c r="O7">
        <v>2.33</v>
      </c>
    </row>
    <row r="8" spans="1:15" x14ac:dyDescent="0.35">
      <c r="A8" t="s">
        <v>1</v>
      </c>
      <c r="B8" t="s">
        <v>163</v>
      </c>
      <c r="C8" t="s">
        <v>201</v>
      </c>
      <c r="D8">
        <v>2008</v>
      </c>
      <c r="E8" t="s">
        <v>202</v>
      </c>
      <c r="F8" t="s">
        <v>203</v>
      </c>
      <c r="G8" t="s">
        <v>194</v>
      </c>
      <c r="I8" t="s">
        <v>101</v>
      </c>
      <c r="J8" t="s">
        <v>103</v>
      </c>
      <c r="K8" t="s">
        <v>102</v>
      </c>
      <c r="L8" t="s">
        <v>229</v>
      </c>
      <c r="M8">
        <v>0</v>
      </c>
      <c r="O8">
        <v>2.68</v>
      </c>
    </row>
    <row r="9" spans="1:15" x14ac:dyDescent="0.35">
      <c r="A9" t="s">
        <v>1</v>
      </c>
      <c r="B9" t="s">
        <v>163</v>
      </c>
      <c r="C9" t="s">
        <v>201</v>
      </c>
      <c r="D9">
        <v>2008</v>
      </c>
      <c r="E9" t="s">
        <v>202</v>
      </c>
      <c r="F9" t="s">
        <v>203</v>
      </c>
      <c r="G9" t="s">
        <v>194</v>
      </c>
      <c r="I9" t="s">
        <v>101</v>
      </c>
      <c r="J9" t="s">
        <v>103</v>
      </c>
      <c r="K9" t="s">
        <v>102</v>
      </c>
      <c r="L9" t="s">
        <v>229</v>
      </c>
      <c r="M9">
        <v>10</v>
      </c>
      <c r="O9">
        <v>2.56</v>
      </c>
    </row>
    <row r="10" spans="1:15" x14ac:dyDescent="0.35">
      <c r="A10" t="s">
        <v>1</v>
      </c>
      <c r="B10" t="s">
        <v>163</v>
      </c>
      <c r="C10" t="s">
        <v>201</v>
      </c>
      <c r="D10">
        <v>2008</v>
      </c>
      <c r="E10" t="s">
        <v>202</v>
      </c>
      <c r="F10" t="s">
        <v>203</v>
      </c>
      <c r="G10" t="s">
        <v>194</v>
      </c>
      <c r="I10" t="s">
        <v>101</v>
      </c>
      <c r="J10" t="s">
        <v>103</v>
      </c>
      <c r="K10" t="s">
        <v>102</v>
      </c>
      <c r="L10" t="s">
        <v>229</v>
      </c>
      <c r="M10">
        <v>25</v>
      </c>
      <c r="O10">
        <v>2.56</v>
      </c>
    </row>
    <row r="11" spans="1:15" x14ac:dyDescent="0.35">
      <c r="A11" t="s">
        <v>1</v>
      </c>
      <c r="B11" t="s">
        <v>163</v>
      </c>
      <c r="C11" t="s">
        <v>201</v>
      </c>
      <c r="D11">
        <v>2008</v>
      </c>
      <c r="E11" t="s">
        <v>202</v>
      </c>
      <c r="F11" t="s">
        <v>203</v>
      </c>
      <c r="G11" t="s">
        <v>194</v>
      </c>
      <c r="I11" t="s">
        <v>101</v>
      </c>
      <c r="J11" t="s">
        <v>103</v>
      </c>
      <c r="K11" t="s">
        <v>102</v>
      </c>
      <c r="L11" t="s">
        <v>229</v>
      </c>
      <c r="M11">
        <v>45</v>
      </c>
      <c r="O11">
        <v>2.0299999999999998</v>
      </c>
    </row>
    <row r="12" spans="1:15" x14ac:dyDescent="0.35">
      <c r="A12" t="s">
        <v>1</v>
      </c>
      <c r="B12" t="s">
        <v>163</v>
      </c>
      <c r="C12" t="s">
        <v>201</v>
      </c>
      <c r="D12">
        <v>2008</v>
      </c>
      <c r="E12" t="s">
        <v>202</v>
      </c>
      <c r="F12" t="s">
        <v>193</v>
      </c>
      <c r="G12" t="s">
        <v>194</v>
      </c>
      <c r="I12" t="s">
        <v>101</v>
      </c>
      <c r="J12" t="s">
        <v>103</v>
      </c>
      <c r="K12" t="s">
        <v>102</v>
      </c>
      <c r="L12" t="s">
        <v>229</v>
      </c>
      <c r="M12">
        <v>0</v>
      </c>
      <c r="O12">
        <v>2.68</v>
      </c>
    </row>
    <row r="13" spans="1:15" x14ac:dyDescent="0.35">
      <c r="A13" t="s">
        <v>1</v>
      </c>
      <c r="B13" t="s">
        <v>163</v>
      </c>
      <c r="C13" t="s">
        <v>201</v>
      </c>
      <c r="D13">
        <v>2008</v>
      </c>
      <c r="E13" t="s">
        <v>202</v>
      </c>
      <c r="F13" t="s">
        <v>193</v>
      </c>
      <c r="G13" t="s">
        <v>194</v>
      </c>
      <c r="I13" t="s">
        <v>101</v>
      </c>
      <c r="J13" t="s">
        <v>103</v>
      </c>
      <c r="K13" t="s">
        <v>102</v>
      </c>
      <c r="L13" t="s">
        <v>229</v>
      </c>
      <c r="M13">
        <v>10</v>
      </c>
      <c r="O13">
        <v>2.59</v>
      </c>
    </row>
    <row r="14" spans="1:15" x14ac:dyDescent="0.35">
      <c r="A14" t="s">
        <v>1</v>
      </c>
      <c r="B14" t="s">
        <v>163</v>
      </c>
      <c r="C14" t="s">
        <v>201</v>
      </c>
      <c r="D14">
        <v>2008</v>
      </c>
      <c r="E14" t="s">
        <v>202</v>
      </c>
      <c r="F14" t="s">
        <v>193</v>
      </c>
      <c r="G14" t="s">
        <v>194</v>
      </c>
      <c r="I14" t="s">
        <v>101</v>
      </c>
      <c r="J14" t="s">
        <v>103</v>
      </c>
      <c r="K14" t="s">
        <v>102</v>
      </c>
      <c r="L14" t="s">
        <v>229</v>
      </c>
      <c r="M14">
        <v>25</v>
      </c>
      <c r="O14">
        <v>2.57</v>
      </c>
    </row>
    <row r="15" spans="1:15" x14ac:dyDescent="0.35">
      <c r="A15" t="s">
        <v>1</v>
      </c>
      <c r="B15" t="s">
        <v>163</v>
      </c>
      <c r="C15" t="s">
        <v>201</v>
      </c>
      <c r="D15">
        <v>2008</v>
      </c>
      <c r="E15" t="s">
        <v>202</v>
      </c>
      <c r="F15" t="s">
        <v>193</v>
      </c>
      <c r="G15" t="s">
        <v>194</v>
      </c>
      <c r="I15" t="s">
        <v>101</v>
      </c>
      <c r="J15" t="s">
        <v>103</v>
      </c>
      <c r="K15" t="s">
        <v>102</v>
      </c>
      <c r="L15" t="s">
        <v>229</v>
      </c>
      <c r="M15">
        <v>45</v>
      </c>
      <c r="O15">
        <v>1.76</v>
      </c>
    </row>
    <row r="16" spans="1:15" x14ac:dyDescent="0.35">
      <c r="A16" t="s">
        <v>1</v>
      </c>
      <c r="B16" t="s">
        <v>163</v>
      </c>
      <c r="C16" t="s">
        <v>167</v>
      </c>
      <c r="D16">
        <v>2016</v>
      </c>
      <c r="E16" t="s">
        <v>166</v>
      </c>
      <c r="F16" t="s">
        <v>165</v>
      </c>
      <c r="G16" t="s">
        <v>164</v>
      </c>
      <c r="I16" t="s">
        <v>310</v>
      </c>
      <c r="J16" t="s">
        <v>168</v>
      </c>
      <c r="K16" t="s">
        <v>169</v>
      </c>
      <c r="L16" t="s">
        <v>229</v>
      </c>
      <c r="M16">
        <v>0</v>
      </c>
      <c r="O16">
        <v>0.93</v>
      </c>
    </row>
    <row r="17" spans="1:15" x14ac:dyDescent="0.35">
      <c r="A17" t="s">
        <v>1</v>
      </c>
      <c r="B17" t="s">
        <v>163</v>
      </c>
      <c r="C17" t="s">
        <v>167</v>
      </c>
      <c r="D17">
        <v>2016</v>
      </c>
      <c r="E17" t="s">
        <v>166</v>
      </c>
      <c r="F17" t="s">
        <v>165</v>
      </c>
      <c r="G17" t="s">
        <v>164</v>
      </c>
      <c r="I17" t="s">
        <v>310</v>
      </c>
      <c r="J17" t="s">
        <v>168</v>
      </c>
      <c r="K17" t="s">
        <v>169</v>
      </c>
      <c r="L17" t="s">
        <v>229</v>
      </c>
      <c r="M17">
        <v>40</v>
      </c>
      <c r="O17">
        <v>0.93</v>
      </c>
    </row>
    <row r="18" spans="1:15" x14ac:dyDescent="0.35">
      <c r="A18" t="s">
        <v>1</v>
      </c>
      <c r="B18" t="s">
        <v>163</v>
      </c>
      <c r="C18" t="s">
        <v>167</v>
      </c>
      <c r="D18">
        <v>2016</v>
      </c>
      <c r="E18" t="s">
        <v>166</v>
      </c>
      <c r="F18" t="s">
        <v>165</v>
      </c>
      <c r="G18" t="s">
        <v>164</v>
      </c>
      <c r="I18" t="s">
        <v>310</v>
      </c>
      <c r="J18" t="s">
        <v>168</v>
      </c>
      <c r="K18" t="s">
        <v>169</v>
      </c>
      <c r="L18" t="s">
        <v>229</v>
      </c>
      <c r="M18">
        <v>100</v>
      </c>
      <c r="O18">
        <v>0.95</v>
      </c>
    </row>
    <row r="19" spans="1:15" x14ac:dyDescent="0.35">
      <c r="A19" t="s">
        <v>1</v>
      </c>
      <c r="B19" t="s">
        <v>163</v>
      </c>
      <c r="C19" t="s">
        <v>171</v>
      </c>
      <c r="D19">
        <v>2017</v>
      </c>
      <c r="E19" t="s">
        <v>166</v>
      </c>
      <c r="F19" t="s">
        <v>165</v>
      </c>
      <c r="G19" t="s">
        <v>164</v>
      </c>
      <c r="I19" t="s">
        <v>310</v>
      </c>
      <c r="J19" t="s">
        <v>168</v>
      </c>
      <c r="K19" t="s">
        <v>169</v>
      </c>
      <c r="L19" t="s">
        <v>229</v>
      </c>
      <c r="M19">
        <v>0</v>
      </c>
      <c r="O19">
        <v>0.93</v>
      </c>
    </row>
    <row r="20" spans="1:15" x14ac:dyDescent="0.35">
      <c r="A20" t="s">
        <v>1</v>
      </c>
      <c r="B20" t="s">
        <v>163</v>
      </c>
      <c r="C20" t="s">
        <v>171</v>
      </c>
      <c r="D20">
        <v>2017</v>
      </c>
      <c r="E20" t="s">
        <v>166</v>
      </c>
      <c r="F20" t="s">
        <v>165</v>
      </c>
      <c r="G20" t="s">
        <v>164</v>
      </c>
      <c r="I20" t="s">
        <v>310</v>
      </c>
      <c r="J20" t="s">
        <v>168</v>
      </c>
      <c r="K20" t="s">
        <v>169</v>
      </c>
      <c r="L20" t="s">
        <v>229</v>
      </c>
      <c r="M20">
        <v>40</v>
      </c>
      <c r="O20">
        <v>0.93</v>
      </c>
    </row>
    <row r="21" spans="1:15" x14ac:dyDescent="0.35">
      <c r="A21" t="s">
        <v>1</v>
      </c>
      <c r="B21" t="s">
        <v>163</v>
      </c>
      <c r="C21" t="s">
        <v>171</v>
      </c>
      <c r="D21">
        <v>2017</v>
      </c>
      <c r="E21" t="s">
        <v>166</v>
      </c>
      <c r="F21" t="s">
        <v>165</v>
      </c>
      <c r="G21" t="s">
        <v>164</v>
      </c>
      <c r="I21" t="s">
        <v>310</v>
      </c>
      <c r="J21" t="s">
        <v>168</v>
      </c>
      <c r="K21" t="s">
        <v>169</v>
      </c>
      <c r="L21" t="s">
        <v>229</v>
      </c>
      <c r="M21">
        <v>100</v>
      </c>
      <c r="O21">
        <v>1.1200000000000001</v>
      </c>
    </row>
    <row r="22" spans="1:15" x14ac:dyDescent="0.35">
      <c r="A22" t="s">
        <v>1</v>
      </c>
      <c r="B22" t="s">
        <v>163</v>
      </c>
      <c r="C22" t="s">
        <v>175</v>
      </c>
      <c r="D22">
        <v>2012</v>
      </c>
      <c r="E22" t="s">
        <v>166</v>
      </c>
      <c r="F22" t="s">
        <v>176</v>
      </c>
      <c r="G22" t="s">
        <v>162</v>
      </c>
      <c r="I22" t="s">
        <v>173</v>
      </c>
      <c r="J22" t="s">
        <v>174</v>
      </c>
      <c r="K22" t="s">
        <v>172</v>
      </c>
      <c r="L22" t="s">
        <v>230</v>
      </c>
      <c r="M22">
        <v>0</v>
      </c>
      <c r="O22">
        <v>2.2799999999999998</v>
      </c>
    </row>
    <row r="23" spans="1:15" x14ac:dyDescent="0.35">
      <c r="A23" t="s">
        <v>1</v>
      </c>
      <c r="B23" t="s">
        <v>163</v>
      </c>
      <c r="C23" t="s">
        <v>175</v>
      </c>
      <c r="D23">
        <v>2012</v>
      </c>
      <c r="E23" t="s">
        <v>166</v>
      </c>
      <c r="F23" t="s">
        <v>176</v>
      </c>
      <c r="G23" t="s">
        <v>162</v>
      </c>
      <c r="I23" t="s">
        <v>173</v>
      </c>
      <c r="J23" t="s">
        <v>174</v>
      </c>
      <c r="K23" t="s">
        <v>172</v>
      </c>
      <c r="L23" t="s">
        <v>230</v>
      </c>
      <c r="M23">
        <v>15</v>
      </c>
      <c r="O23">
        <v>2.13</v>
      </c>
    </row>
    <row r="24" spans="1:15" x14ac:dyDescent="0.35">
      <c r="A24" t="s">
        <v>1</v>
      </c>
      <c r="B24" t="s">
        <v>163</v>
      </c>
      <c r="C24" t="s">
        <v>175</v>
      </c>
      <c r="D24">
        <v>2012</v>
      </c>
      <c r="E24" t="s">
        <v>166</v>
      </c>
      <c r="F24" t="s">
        <v>176</v>
      </c>
      <c r="G24" t="s">
        <v>162</v>
      </c>
      <c r="I24" t="s">
        <v>173</v>
      </c>
      <c r="J24" t="s">
        <v>174</v>
      </c>
      <c r="K24" t="s">
        <v>172</v>
      </c>
      <c r="L24" t="s">
        <v>230</v>
      </c>
      <c r="M24">
        <v>25</v>
      </c>
      <c r="O24">
        <v>2.21</v>
      </c>
    </row>
    <row r="25" spans="1:15" x14ac:dyDescent="0.35">
      <c r="A25" t="s">
        <v>1</v>
      </c>
      <c r="B25" t="s">
        <v>163</v>
      </c>
      <c r="C25" t="s">
        <v>175</v>
      </c>
      <c r="D25">
        <v>2012</v>
      </c>
      <c r="E25" t="s">
        <v>166</v>
      </c>
      <c r="F25" t="s">
        <v>176</v>
      </c>
      <c r="G25" t="s">
        <v>162</v>
      </c>
      <c r="I25" t="s">
        <v>173</v>
      </c>
      <c r="J25" t="s">
        <v>174</v>
      </c>
      <c r="K25" t="s">
        <v>172</v>
      </c>
      <c r="L25" t="s">
        <v>230</v>
      </c>
      <c r="M25">
        <v>40</v>
      </c>
      <c r="O25">
        <v>2.27</v>
      </c>
    </row>
    <row r="26" spans="1:15" x14ac:dyDescent="0.35">
      <c r="A26" t="s">
        <v>1</v>
      </c>
      <c r="B26" t="s">
        <v>163</v>
      </c>
      <c r="C26" t="s">
        <v>175</v>
      </c>
      <c r="D26">
        <v>2012</v>
      </c>
      <c r="E26" t="s">
        <v>166</v>
      </c>
      <c r="F26" t="s">
        <v>176</v>
      </c>
      <c r="G26" t="s">
        <v>162</v>
      </c>
      <c r="I26" t="s">
        <v>173</v>
      </c>
      <c r="J26" t="s">
        <v>174</v>
      </c>
      <c r="K26" t="s">
        <v>172</v>
      </c>
      <c r="L26" t="s">
        <v>230</v>
      </c>
      <c r="M26">
        <v>50</v>
      </c>
      <c r="O26">
        <v>2.2200000000000002</v>
      </c>
    </row>
    <row r="27" spans="1:15" x14ac:dyDescent="0.35">
      <c r="A27" t="s">
        <v>1</v>
      </c>
      <c r="B27" t="s">
        <v>163</v>
      </c>
      <c r="C27" t="s">
        <v>190</v>
      </c>
      <c r="D27">
        <v>2012</v>
      </c>
      <c r="E27" t="s">
        <v>166</v>
      </c>
      <c r="F27" t="s">
        <v>188</v>
      </c>
      <c r="G27" t="s">
        <v>162</v>
      </c>
      <c r="I27" t="s">
        <v>106</v>
      </c>
      <c r="J27" t="s">
        <v>114</v>
      </c>
      <c r="K27" t="s">
        <v>115</v>
      </c>
      <c r="L27" t="s">
        <v>229</v>
      </c>
      <c r="M27">
        <v>0</v>
      </c>
      <c r="O27">
        <v>1.46</v>
      </c>
    </row>
    <row r="28" spans="1:15" x14ac:dyDescent="0.35">
      <c r="A28" t="s">
        <v>1</v>
      </c>
      <c r="B28" t="s">
        <v>163</v>
      </c>
      <c r="C28" t="s">
        <v>190</v>
      </c>
      <c r="D28">
        <v>2012</v>
      </c>
      <c r="E28" t="s">
        <v>166</v>
      </c>
      <c r="F28" t="s">
        <v>188</v>
      </c>
      <c r="G28" t="s">
        <v>162</v>
      </c>
      <c r="I28" t="s">
        <v>106</v>
      </c>
      <c r="J28" t="s">
        <v>114</v>
      </c>
      <c r="K28" t="s">
        <v>115</v>
      </c>
      <c r="L28" t="s">
        <v>229</v>
      </c>
      <c r="M28">
        <v>15</v>
      </c>
      <c r="O28">
        <v>1.7</v>
      </c>
    </row>
    <row r="29" spans="1:15" x14ac:dyDescent="0.35">
      <c r="A29" t="s">
        <v>1</v>
      </c>
      <c r="B29" t="s">
        <v>163</v>
      </c>
      <c r="C29" t="s">
        <v>190</v>
      </c>
      <c r="D29">
        <v>2012</v>
      </c>
      <c r="E29" t="s">
        <v>166</v>
      </c>
      <c r="F29" t="s">
        <v>188</v>
      </c>
      <c r="G29" t="s">
        <v>162</v>
      </c>
      <c r="I29" t="s">
        <v>106</v>
      </c>
      <c r="J29" t="s">
        <v>114</v>
      </c>
      <c r="K29" t="s">
        <v>115</v>
      </c>
      <c r="L29" t="s">
        <v>229</v>
      </c>
      <c r="M29">
        <v>30</v>
      </c>
      <c r="O29">
        <v>1.64</v>
      </c>
    </row>
    <row r="30" spans="1:15" x14ac:dyDescent="0.35">
      <c r="A30" t="s">
        <v>1</v>
      </c>
      <c r="B30" t="s">
        <v>163</v>
      </c>
      <c r="C30" t="s">
        <v>190</v>
      </c>
      <c r="D30">
        <v>2012</v>
      </c>
      <c r="E30" t="s">
        <v>166</v>
      </c>
      <c r="F30" t="s">
        <v>189</v>
      </c>
      <c r="G30" t="s">
        <v>162</v>
      </c>
      <c r="I30" t="s">
        <v>106</v>
      </c>
      <c r="J30" t="s">
        <v>114</v>
      </c>
      <c r="K30" t="s">
        <v>115</v>
      </c>
      <c r="L30" t="s">
        <v>229</v>
      </c>
      <c r="M30">
        <v>0</v>
      </c>
      <c r="O30">
        <v>1.46</v>
      </c>
    </row>
    <row r="31" spans="1:15" x14ac:dyDescent="0.35">
      <c r="A31" t="s">
        <v>1</v>
      </c>
      <c r="B31" t="s">
        <v>163</v>
      </c>
      <c r="C31" t="s">
        <v>190</v>
      </c>
      <c r="D31">
        <v>2012</v>
      </c>
      <c r="E31" t="s">
        <v>166</v>
      </c>
      <c r="F31" t="s">
        <v>189</v>
      </c>
      <c r="G31" t="s">
        <v>162</v>
      </c>
      <c r="I31" t="s">
        <v>106</v>
      </c>
      <c r="J31" t="s">
        <v>114</v>
      </c>
      <c r="K31" t="s">
        <v>115</v>
      </c>
      <c r="L31" t="s">
        <v>229</v>
      </c>
      <c r="M31">
        <v>15</v>
      </c>
      <c r="O31">
        <v>1.52</v>
      </c>
    </row>
    <row r="32" spans="1:15" x14ac:dyDescent="0.35">
      <c r="A32" t="s">
        <v>1</v>
      </c>
      <c r="B32" t="s">
        <v>163</v>
      </c>
      <c r="C32" t="s">
        <v>190</v>
      </c>
      <c r="D32">
        <v>2012</v>
      </c>
      <c r="E32" t="s">
        <v>166</v>
      </c>
      <c r="F32" t="s">
        <v>189</v>
      </c>
      <c r="G32" t="s">
        <v>162</v>
      </c>
      <c r="I32" t="s">
        <v>106</v>
      </c>
      <c r="J32" t="s">
        <v>114</v>
      </c>
      <c r="K32" t="s">
        <v>115</v>
      </c>
      <c r="L32" t="s">
        <v>229</v>
      </c>
      <c r="M32">
        <v>30</v>
      </c>
      <c r="O32">
        <v>1.43</v>
      </c>
    </row>
    <row r="33" spans="1:15" x14ac:dyDescent="0.35">
      <c r="A33" t="s">
        <v>1</v>
      </c>
      <c r="B33" t="s">
        <v>163</v>
      </c>
      <c r="C33" t="s">
        <v>190</v>
      </c>
      <c r="D33">
        <v>2012</v>
      </c>
      <c r="E33" t="s">
        <v>166</v>
      </c>
      <c r="F33" t="s">
        <v>188</v>
      </c>
      <c r="G33" t="s">
        <v>162</v>
      </c>
      <c r="I33" t="s">
        <v>173</v>
      </c>
      <c r="J33" t="s">
        <v>191</v>
      </c>
      <c r="K33" t="s">
        <v>172</v>
      </c>
      <c r="L33" t="s">
        <v>229</v>
      </c>
      <c r="M33">
        <v>0</v>
      </c>
      <c r="O33">
        <v>1.91</v>
      </c>
    </row>
    <row r="34" spans="1:15" x14ac:dyDescent="0.35">
      <c r="A34" t="s">
        <v>1</v>
      </c>
      <c r="B34" t="s">
        <v>163</v>
      </c>
      <c r="C34" t="s">
        <v>190</v>
      </c>
      <c r="D34">
        <v>2012</v>
      </c>
      <c r="E34" t="s">
        <v>166</v>
      </c>
      <c r="F34" t="s">
        <v>188</v>
      </c>
      <c r="G34" t="s">
        <v>162</v>
      </c>
      <c r="I34" t="s">
        <v>173</v>
      </c>
      <c r="J34" t="s">
        <v>191</v>
      </c>
      <c r="K34" t="s">
        <v>172</v>
      </c>
      <c r="L34" t="s">
        <v>229</v>
      </c>
      <c r="M34">
        <v>15</v>
      </c>
      <c r="O34">
        <v>1.6</v>
      </c>
    </row>
    <row r="35" spans="1:15" x14ac:dyDescent="0.35">
      <c r="A35" t="s">
        <v>1</v>
      </c>
      <c r="B35" t="s">
        <v>163</v>
      </c>
      <c r="C35" t="s">
        <v>190</v>
      </c>
      <c r="D35">
        <v>2012</v>
      </c>
      <c r="E35" t="s">
        <v>166</v>
      </c>
      <c r="F35" t="s">
        <v>188</v>
      </c>
      <c r="G35" t="s">
        <v>162</v>
      </c>
      <c r="I35" t="s">
        <v>173</v>
      </c>
      <c r="J35" t="s">
        <v>191</v>
      </c>
      <c r="K35" t="s">
        <v>172</v>
      </c>
      <c r="L35" t="s">
        <v>229</v>
      </c>
      <c r="M35">
        <v>30</v>
      </c>
      <c r="O35">
        <v>1.57</v>
      </c>
    </row>
    <row r="36" spans="1:15" x14ac:dyDescent="0.35">
      <c r="A36" t="s">
        <v>1</v>
      </c>
      <c r="B36" t="s">
        <v>163</v>
      </c>
      <c r="C36" t="s">
        <v>190</v>
      </c>
      <c r="D36">
        <v>2012</v>
      </c>
      <c r="E36" t="s">
        <v>166</v>
      </c>
      <c r="F36" t="s">
        <v>189</v>
      </c>
      <c r="G36" t="s">
        <v>162</v>
      </c>
      <c r="I36" t="s">
        <v>173</v>
      </c>
      <c r="J36" t="s">
        <v>191</v>
      </c>
      <c r="K36" t="s">
        <v>172</v>
      </c>
      <c r="L36" t="s">
        <v>229</v>
      </c>
      <c r="M36">
        <v>0</v>
      </c>
      <c r="O36">
        <v>1.91</v>
      </c>
    </row>
    <row r="37" spans="1:15" x14ac:dyDescent="0.35">
      <c r="A37" t="s">
        <v>1</v>
      </c>
      <c r="B37" t="s">
        <v>163</v>
      </c>
      <c r="C37" t="s">
        <v>190</v>
      </c>
      <c r="D37">
        <v>2012</v>
      </c>
      <c r="E37" t="s">
        <v>166</v>
      </c>
      <c r="F37" t="s">
        <v>189</v>
      </c>
      <c r="G37" t="s">
        <v>162</v>
      </c>
      <c r="I37" t="s">
        <v>173</v>
      </c>
      <c r="J37" t="s">
        <v>191</v>
      </c>
      <c r="K37" t="s">
        <v>172</v>
      </c>
      <c r="L37" t="s">
        <v>229</v>
      </c>
      <c r="M37">
        <v>15</v>
      </c>
      <c r="O37">
        <v>1.82</v>
      </c>
    </row>
    <row r="38" spans="1:15" x14ac:dyDescent="0.35">
      <c r="A38" t="s">
        <v>1</v>
      </c>
      <c r="B38" t="s">
        <v>163</v>
      </c>
      <c r="C38" t="s">
        <v>190</v>
      </c>
      <c r="D38">
        <v>2012</v>
      </c>
      <c r="E38" t="s">
        <v>166</v>
      </c>
      <c r="F38" t="s">
        <v>189</v>
      </c>
      <c r="G38" t="s">
        <v>162</v>
      </c>
      <c r="I38" t="s">
        <v>173</v>
      </c>
      <c r="J38" t="s">
        <v>191</v>
      </c>
      <c r="K38" t="s">
        <v>172</v>
      </c>
      <c r="L38" t="s">
        <v>229</v>
      </c>
      <c r="M38">
        <v>30</v>
      </c>
      <c r="O38">
        <v>1.81</v>
      </c>
    </row>
    <row r="39" spans="1:15" x14ac:dyDescent="0.35">
      <c r="A39" t="s">
        <v>1</v>
      </c>
      <c r="B39" t="s">
        <v>163</v>
      </c>
      <c r="C39" t="s">
        <v>190</v>
      </c>
      <c r="D39">
        <v>2012</v>
      </c>
      <c r="E39" t="s">
        <v>166</v>
      </c>
      <c r="F39" t="s">
        <v>188</v>
      </c>
      <c r="G39" t="s">
        <v>162</v>
      </c>
      <c r="I39" t="s">
        <v>97</v>
      </c>
      <c r="J39" t="s">
        <v>144</v>
      </c>
      <c r="K39" t="s">
        <v>145</v>
      </c>
      <c r="L39" t="s">
        <v>229</v>
      </c>
      <c r="M39">
        <v>0</v>
      </c>
      <c r="O39">
        <v>1.1399999999999999</v>
      </c>
    </row>
    <row r="40" spans="1:15" x14ac:dyDescent="0.35">
      <c r="A40" t="s">
        <v>1</v>
      </c>
      <c r="B40" t="s">
        <v>163</v>
      </c>
      <c r="C40" t="s">
        <v>190</v>
      </c>
      <c r="D40">
        <v>2012</v>
      </c>
      <c r="E40" t="s">
        <v>166</v>
      </c>
      <c r="F40" t="s">
        <v>188</v>
      </c>
      <c r="G40" t="s">
        <v>162</v>
      </c>
      <c r="I40" t="s">
        <v>97</v>
      </c>
      <c r="J40" t="s">
        <v>144</v>
      </c>
      <c r="K40" t="s">
        <v>145</v>
      </c>
      <c r="L40" t="s">
        <v>229</v>
      </c>
      <c r="M40">
        <v>15</v>
      </c>
      <c r="O40">
        <v>1.1200000000000001</v>
      </c>
    </row>
    <row r="41" spans="1:15" x14ac:dyDescent="0.35">
      <c r="A41" t="s">
        <v>1</v>
      </c>
      <c r="B41" t="s">
        <v>163</v>
      </c>
      <c r="C41" t="s">
        <v>190</v>
      </c>
      <c r="D41">
        <v>2012</v>
      </c>
      <c r="E41" t="s">
        <v>166</v>
      </c>
      <c r="F41" t="s">
        <v>188</v>
      </c>
      <c r="G41" t="s">
        <v>162</v>
      </c>
      <c r="I41" t="s">
        <v>97</v>
      </c>
      <c r="J41" t="s">
        <v>144</v>
      </c>
      <c r="K41" t="s">
        <v>145</v>
      </c>
      <c r="L41" t="s">
        <v>229</v>
      </c>
      <c r="M41">
        <v>30</v>
      </c>
      <c r="O41">
        <v>1.25</v>
      </c>
    </row>
    <row r="42" spans="1:15" x14ac:dyDescent="0.35">
      <c r="A42" t="s">
        <v>1</v>
      </c>
      <c r="B42" t="s">
        <v>163</v>
      </c>
      <c r="C42" t="s">
        <v>190</v>
      </c>
      <c r="D42">
        <v>2012</v>
      </c>
      <c r="E42" t="s">
        <v>166</v>
      </c>
      <c r="F42" t="s">
        <v>189</v>
      </c>
      <c r="G42" t="s">
        <v>162</v>
      </c>
      <c r="I42" t="s">
        <v>97</v>
      </c>
      <c r="J42" t="s">
        <v>144</v>
      </c>
      <c r="K42" t="s">
        <v>145</v>
      </c>
      <c r="L42" t="s">
        <v>229</v>
      </c>
      <c r="M42">
        <v>0</v>
      </c>
      <c r="O42">
        <v>1.1399999999999999</v>
      </c>
    </row>
    <row r="43" spans="1:15" x14ac:dyDescent="0.35">
      <c r="A43" t="s">
        <v>1</v>
      </c>
      <c r="B43" t="s">
        <v>163</v>
      </c>
      <c r="C43" t="s">
        <v>190</v>
      </c>
      <c r="D43">
        <v>2012</v>
      </c>
      <c r="E43" t="s">
        <v>166</v>
      </c>
      <c r="F43" t="s">
        <v>189</v>
      </c>
      <c r="G43" t="s">
        <v>162</v>
      </c>
      <c r="I43" t="s">
        <v>97</v>
      </c>
      <c r="J43" t="s">
        <v>144</v>
      </c>
      <c r="K43" t="s">
        <v>145</v>
      </c>
      <c r="L43" t="s">
        <v>229</v>
      </c>
      <c r="M43">
        <v>15</v>
      </c>
      <c r="O43">
        <v>1.1200000000000001</v>
      </c>
    </row>
    <row r="44" spans="1:15" x14ac:dyDescent="0.35">
      <c r="A44" t="s">
        <v>1</v>
      </c>
      <c r="B44" t="s">
        <v>163</v>
      </c>
      <c r="C44" t="s">
        <v>190</v>
      </c>
      <c r="D44">
        <v>2012</v>
      </c>
      <c r="E44" t="s">
        <v>166</v>
      </c>
      <c r="F44" t="s">
        <v>189</v>
      </c>
      <c r="G44" t="s">
        <v>162</v>
      </c>
      <c r="I44" t="s">
        <v>97</v>
      </c>
      <c r="J44" t="s">
        <v>144</v>
      </c>
      <c r="K44" t="s">
        <v>145</v>
      </c>
      <c r="L44" t="s">
        <v>229</v>
      </c>
      <c r="M44">
        <v>30</v>
      </c>
      <c r="O44">
        <v>1.17</v>
      </c>
    </row>
    <row r="45" spans="1:15" x14ac:dyDescent="0.35">
      <c r="A45" t="s">
        <v>1</v>
      </c>
      <c r="B45" t="s">
        <v>163</v>
      </c>
      <c r="C45" t="s">
        <v>216</v>
      </c>
      <c r="D45">
        <v>2009</v>
      </c>
      <c r="E45" t="s">
        <v>166</v>
      </c>
      <c r="F45" t="s">
        <v>215</v>
      </c>
      <c r="G45" t="s">
        <v>194</v>
      </c>
      <c r="I45" t="s">
        <v>97</v>
      </c>
      <c r="J45" t="s">
        <v>81</v>
      </c>
      <c r="K45" t="s">
        <v>131</v>
      </c>
      <c r="L45" t="s">
        <v>230</v>
      </c>
      <c r="M45">
        <v>0</v>
      </c>
      <c r="O45">
        <v>0.83</v>
      </c>
    </row>
    <row r="46" spans="1:15" x14ac:dyDescent="0.35">
      <c r="A46" t="s">
        <v>1</v>
      </c>
      <c r="B46" t="s">
        <v>163</v>
      </c>
      <c r="C46" t="s">
        <v>216</v>
      </c>
      <c r="D46">
        <v>2009</v>
      </c>
      <c r="E46" t="s">
        <v>166</v>
      </c>
      <c r="F46" t="s">
        <v>215</v>
      </c>
      <c r="G46" t="s">
        <v>194</v>
      </c>
      <c r="I46" t="s">
        <v>97</v>
      </c>
      <c r="J46" t="s">
        <v>81</v>
      </c>
      <c r="K46" t="s">
        <v>131</v>
      </c>
      <c r="L46" t="s">
        <v>230</v>
      </c>
      <c r="M46">
        <v>5</v>
      </c>
      <c r="O46">
        <v>0.82</v>
      </c>
    </row>
    <row r="47" spans="1:15" x14ac:dyDescent="0.35">
      <c r="A47" t="s">
        <v>1</v>
      </c>
      <c r="B47" t="s">
        <v>163</v>
      </c>
      <c r="C47" t="s">
        <v>216</v>
      </c>
      <c r="D47">
        <v>2009</v>
      </c>
      <c r="E47" t="s">
        <v>166</v>
      </c>
      <c r="F47" t="s">
        <v>215</v>
      </c>
      <c r="G47" t="s">
        <v>194</v>
      </c>
      <c r="I47" t="s">
        <v>97</v>
      </c>
      <c r="J47" t="s">
        <v>81</v>
      </c>
      <c r="K47" t="s">
        <v>131</v>
      </c>
      <c r="L47" t="s">
        <v>230</v>
      </c>
      <c r="M47">
        <v>10</v>
      </c>
      <c r="O47">
        <v>0.83</v>
      </c>
    </row>
    <row r="48" spans="1:15" x14ac:dyDescent="0.35">
      <c r="A48" t="s">
        <v>1</v>
      </c>
      <c r="B48" t="s">
        <v>163</v>
      </c>
      <c r="C48" t="s">
        <v>218</v>
      </c>
      <c r="D48">
        <v>2002</v>
      </c>
      <c r="E48" t="s">
        <v>166</v>
      </c>
      <c r="F48" t="s">
        <v>217</v>
      </c>
      <c r="G48" t="s">
        <v>219</v>
      </c>
      <c r="I48" t="s">
        <v>310</v>
      </c>
      <c r="J48" t="s">
        <v>78</v>
      </c>
      <c r="K48" t="s">
        <v>96</v>
      </c>
      <c r="L48" t="s">
        <v>230</v>
      </c>
      <c r="M48">
        <v>0</v>
      </c>
      <c r="O48">
        <v>1.35</v>
      </c>
    </row>
    <row r="49" spans="1:15" x14ac:dyDescent="0.35">
      <c r="A49" t="s">
        <v>1</v>
      </c>
      <c r="B49" t="s">
        <v>163</v>
      </c>
      <c r="C49" t="s">
        <v>218</v>
      </c>
      <c r="D49">
        <v>2002</v>
      </c>
      <c r="E49" t="s">
        <v>166</v>
      </c>
      <c r="F49" t="s">
        <v>217</v>
      </c>
      <c r="G49" t="s">
        <v>219</v>
      </c>
      <c r="I49" t="s">
        <v>310</v>
      </c>
      <c r="J49" t="s">
        <v>78</v>
      </c>
      <c r="K49" t="s">
        <v>96</v>
      </c>
      <c r="L49" t="s">
        <v>230</v>
      </c>
      <c r="M49">
        <v>10</v>
      </c>
      <c r="O49">
        <v>1.41</v>
      </c>
    </row>
    <row r="50" spans="1:15" x14ac:dyDescent="0.35">
      <c r="A50" t="s">
        <v>1</v>
      </c>
      <c r="B50" t="s">
        <v>163</v>
      </c>
      <c r="C50" t="s">
        <v>218</v>
      </c>
      <c r="D50">
        <v>2002</v>
      </c>
      <c r="E50" t="s">
        <v>166</v>
      </c>
      <c r="F50" t="s">
        <v>217</v>
      </c>
      <c r="G50" t="s">
        <v>219</v>
      </c>
      <c r="I50" t="s">
        <v>310</v>
      </c>
      <c r="J50" t="s">
        <v>78</v>
      </c>
      <c r="K50" t="s">
        <v>96</v>
      </c>
      <c r="L50" t="s">
        <v>230</v>
      </c>
      <c r="M50">
        <v>20</v>
      </c>
      <c r="O50">
        <v>1.43</v>
      </c>
    </row>
    <row r="51" spans="1:15" x14ac:dyDescent="0.35">
      <c r="A51" t="s">
        <v>1</v>
      </c>
      <c r="B51" t="s">
        <v>163</v>
      </c>
      <c r="C51" t="s">
        <v>192</v>
      </c>
      <c r="D51">
        <v>2014</v>
      </c>
      <c r="E51" t="s">
        <v>166</v>
      </c>
      <c r="F51" t="s">
        <v>193</v>
      </c>
      <c r="G51" t="s">
        <v>194</v>
      </c>
      <c r="I51" t="s">
        <v>310</v>
      </c>
      <c r="J51" t="s">
        <v>95</v>
      </c>
      <c r="K51" t="s">
        <v>77</v>
      </c>
      <c r="L51" t="s">
        <v>230</v>
      </c>
      <c r="M51">
        <v>0</v>
      </c>
      <c r="O51">
        <v>1.92</v>
      </c>
    </row>
    <row r="52" spans="1:15" x14ac:dyDescent="0.35">
      <c r="A52" t="s">
        <v>1</v>
      </c>
      <c r="B52" t="s">
        <v>163</v>
      </c>
      <c r="C52" t="s">
        <v>192</v>
      </c>
      <c r="D52">
        <v>2014</v>
      </c>
      <c r="E52" t="s">
        <v>166</v>
      </c>
      <c r="F52" t="s">
        <v>193</v>
      </c>
      <c r="G52" t="s">
        <v>194</v>
      </c>
      <c r="I52" t="s">
        <v>310</v>
      </c>
      <c r="J52" t="s">
        <v>95</v>
      </c>
      <c r="K52" t="s">
        <v>77</v>
      </c>
      <c r="L52" t="s">
        <v>230</v>
      </c>
      <c r="M52">
        <v>15</v>
      </c>
      <c r="O52">
        <v>2.11</v>
      </c>
    </row>
    <row r="53" spans="1:15" x14ac:dyDescent="0.35">
      <c r="A53" t="s">
        <v>1</v>
      </c>
      <c r="B53" t="s">
        <v>163</v>
      </c>
      <c r="C53" t="s">
        <v>192</v>
      </c>
      <c r="D53">
        <v>2014</v>
      </c>
      <c r="E53" t="s">
        <v>166</v>
      </c>
      <c r="F53" t="s">
        <v>193</v>
      </c>
      <c r="G53" t="s">
        <v>194</v>
      </c>
      <c r="I53" t="s">
        <v>310</v>
      </c>
      <c r="J53" t="s">
        <v>95</v>
      </c>
      <c r="K53" t="s">
        <v>77</v>
      </c>
      <c r="L53" t="s">
        <v>230</v>
      </c>
      <c r="M53">
        <v>25</v>
      </c>
      <c r="O53">
        <v>1.7</v>
      </c>
    </row>
    <row r="54" spans="1:15" x14ac:dyDescent="0.35">
      <c r="A54" t="s">
        <v>1</v>
      </c>
      <c r="B54" t="s">
        <v>163</v>
      </c>
      <c r="C54" t="s">
        <v>192</v>
      </c>
      <c r="D54">
        <v>2014</v>
      </c>
      <c r="E54" t="s">
        <v>166</v>
      </c>
      <c r="F54" t="s">
        <v>193</v>
      </c>
      <c r="G54" t="s">
        <v>194</v>
      </c>
      <c r="I54" t="s">
        <v>310</v>
      </c>
      <c r="J54" t="s">
        <v>95</v>
      </c>
      <c r="K54" t="s">
        <v>77</v>
      </c>
      <c r="L54" t="s">
        <v>230</v>
      </c>
      <c r="M54">
        <v>30</v>
      </c>
      <c r="O54">
        <v>1.86</v>
      </c>
    </row>
    <row r="55" spans="1:15" x14ac:dyDescent="0.35">
      <c r="A55" t="s">
        <v>1</v>
      </c>
      <c r="B55" t="s">
        <v>163</v>
      </c>
      <c r="C55" t="s">
        <v>192</v>
      </c>
      <c r="D55">
        <v>2014</v>
      </c>
      <c r="E55" t="s">
        <v>166</v>
      </c>
      <c r="F55" t="s">
        <v>193</v>
      </c>
      <c r="G55" t="s">
        <v>194</v>
      </c>
      <c r="I55" t="s">
        <v>310</v>
      </c>
      <c r="J55" t="s">
        <v>95</v>
      </c>
      <c r="K55" t="s">
        <v>77</v>
      </c>
      <c r="L55" t="s">
        <v>230</v>
      </c>
      <c r="M55">
        <v>45</v>
      </c>
      <c r="O55">
        <v>1.91</v>
      </c>
    </row>
    <row r="56" spans="1:15" x14ac:dyDescent="0.35">
      <c r="A56" t="s">
        <v>1</v>
      </c>
      <c r="B56" t="s">
        <v>163</v>
      </c>
      <c r="C56" t="s">
        <v>184</v>
      </c>
      <c r="D56">
        <v>2011</v>
      </c>
      <c r="E56" t="s">
        <v>166</v>
      </c>
      <c r="F56" t="s">
        <v>183</v>
      </c>
      <c r="G56" t="s">
        <v>162</v>
      </c>
      <c r="I56" t="s">
        <v>310</v>
      </c>
      <c r="J56" t="s">
        <v>181</v>
      </c>
      <c r="K56" t="s">
        <v>182</v>
      </c>
      <c r="L56" t="s">
        <v>230</v>
      </c>
      <c r="M56">
        <v>0</v>
      </c>
      <c r="O56">
        <v>1.17</v>
      </c>
    </row>
    <row r="57" spans="1:15" x14ac:dyDescent="0.35">
      <c r="A57" t="s">
        <v>1</v>
      </c>
      <c r="B57" t="s">
        <v>163</v>
      </c>
      <c r="C57" t="s">
        <v>184</v>
      </c>
      <c r="D57">
        <v>2011</v>
      </c>
      <c r="E57" t="s">
        <v>166</v>
      </c>
      <c r="F57" t="s">
        <v>183</v>
      </c>
      <c r="G57" t="s">
        <v>162</v>
      </c>
      <c r="I57" t="s">
        <v>310</v>
      </c>
      <c r="J57" t="s">
        <v>181</v>
      </c>
      <c r="K57" t="s">
        <v>182</v>
      </c>
      <c r="L57" t="s">
        <v>230</v>
      </c>
      <c r="M57">
        <v>15</v>
      </c>
      <c r="O57">
        <v>3.86</v>
      </c>
    </row>
    <row r="58" spans="1:15" x14ac:dyDescent="0.35">
      <c r="A58" t="s">
        <v>1</v>
      </c>
      <c r="B58" t="s">
        <v>163</v>
      </c>
      <c r="C58" t="s">
        <v>221</v>
      </c>
      <c r="D58">
        <v>2002</v>
      </c>
      <c r="E58" t="s">
        <v>166</v>
      </c>
      <c r="F58" t="s">
        <v>220</v>
      </c>
      <c r="G58" t="s">
        <v>162</v>
      </c>
      <c r="I58" t="s">
        <v>310</v>
      </c>
      <c r="J58" t="s">
        <v>181</v>
      </c>
      <c r="K58" t="s">
        <v>182</v>
      </c>
      <c r="L58" t="s">
        <v>230</v>
      </c>
      <c r="M58">
        <v>0</v>
      </c>
      <c r="O58">
        <v>1.21</v>
      </c>
    </row>
    <row r="59" spans="1:15" x14ac:dyDescent="0.35">
      <c r="A59" t="s">
        <v>1</v>
      </c>
      <c r="B59" t="s">
        <v>163</v>
      </c>
      <c r="C59" t="s">
        <v>221</v>
      </c>
      <c r="D59">
        <v>2002</v>
      </c>
      <c r="E59" t="s">
        <v>166</v>
      </c>
      <c r="F59" t="s">
        <v>220</v>
      </c>
      <c r="G59" t="s">
        <v>162</v>
      </c>
      <c r="I59" t="s">
        <v>310</v>
      </c>
      <c r="J59" t="s">
        <v>181</v>
      </c>
      <c r="K59" t="s">
        <v>182</v>
      </c>
      <c r="L59" t="s">
        <v>230</v>
      </c>
      <c r="M59">
        <v>15</v>
      </c>
      <c r="O59">
        <v>1.25</v>
      </c>
    </row>
    <row r="60" spans="1:15" x14ac:dyDescent="0.35">
      <c r="A60" t="s">
        <v>1</v>
      </c>
      <c r="B60" t="s">
        <v>163</v>
      </c>
      <c r="C60" t="s">
        <v>221</v>
      </c>
      <c r="D60">
        <v>2002</v>
      </c>
      <c r="E60" t="s">
        <v>166</v>
      </c>
      <c r="F60" t="s">
        <v>220</v>
      </c>
      <c r="G60" t="s">
        <v>162</v>
      </c>
      <c r="I60" t="s">
        <v>310</v>
      </c>
      <c r="J60" t="s">
        <v>181</v>
      </c>
      <c r="K60" t="s">
        <v>182</v>
      </c>
      <c r="L60" t="s">
        <v>230</v>
      </c>
      <c r="M60">
        <v>30</v>
      </c>
      <c r="O60">
        <v>1.32</v>
      </c>
    </row>
    <row r="61" spans="1:15" x14ac:dyDescent="0.35">
      <c r="A61" t="s">
        <v>1</v>
      </c>
      <c r="B61" t="s">
        <v>163</v>
      </c>
      <c r="C61" t="s">
        <v>186</v>
      </c>
      <c r="D61">
        <v>2011</v>
      </c>
      <c r="E61" t="s">
        <v>166</v>
      </c>
      <c r="F61" t="s">
        <v>185</v>
      </c>
      <c r="G61" t="s">
        <v>162</v>
      </c>
      <c r="I61" t="s">
        <v>310</v>
      </c>
      <c r="J61" t="s">
        <v>181</v>
      </c>
      <c r="K61" t="s">
        <v>182</v>
      </c>
      <c r="L61" t="s">
        <v>230</v>
      </c>
      <c r="M61">
        <v>0</v>
      </c>
      <c r="O61">
        <v>1.21</v>
      </c>
    </row>
    <row r="62" spans="1:15" x14ac:dyDescent="0.35">
      <c r="A62" t="s">
        <v>1</v>
      </c>
      <c r="B62" t="s">
        <v>163</v>
      </c>
      <c r="C62" t="s">
        <v>186</v>
      </c>
      <c r="D62">
        <v>2011</v>
      </c>
      <c r="E62" t="s">
        <v>166</v>
      </c>
      <c r="F62" t="s">
        <v>185</v>
      </c>
      <c r="G62" t="s">
        <v>162</v>
      </c>
      <c r="I62" t="s">
        <v>310</v>
      </c>
      <c r="J62" t="s">
        <v>181</v>
      </c>
      <c r="K62" t="s">
        <v>182</v>
      </c>
      <c r="L62" t="s">
        <v>230</v>
      </c>
      <c r="M62">
        <v>15</v>
      </c>
      <c r="O62">
        <v>1.25</v>
      </c>
    </row>
    <row r="63" spans="1:15" x14ac:dyDescent="0.35">
      <c r="A63" t="s">
        <v>1</v>
      </c>
      <c r="B63" t="s">
        <v>163</v>
      </c>
      <c r="C63" t="s">
        <v>186</v>
      </c>
      <c r="D63">
        <v>2011</v>
      </c>
      <c r="E63" t="s">
        <v>166</v>
      </c>
      <c r="F63" t="s">
        <v>185</v>
      </c>
      <c r="G63" t="s">
        <v>162</v>
      </c>
      <c r="I63" t="s">
        <v>310</v>
      </c>
      <c r="J63" t="s">
        <v>181</v>
      </c>
      <c r="K63" t="s">
        <v>182</v>
      </c>
      <c r="L63" t="s">
        <v>230</v>
      </c>
      <c r="M63">
        <v>30</v>
      </c>
      <c r="O63">
        <v>1.32</v>
      </c>
    </row>
    <row r="64" spans="1:15" x14ac:dyDescent="0.35">
      <c r="A64" t="s">
        <v>1</v>
      </c>
      <c r="B64" t="s">
        <v>170</v>
      </c>
      <c r="C64" t="s">
        <v>198</v>
      </c>
      <c r="D64">
        <v>2013</v>
      </c>
      <c r="E64" t="s">
        <v>166</v>
      </c>
      <c r="F64" t="s">
        <v>197</v>
      </c>
      <c r="G64" t="s">
        <v>194</v>
      </c>
      <c r="I64" t="s">
        <v>150</v>
      </c>
      <c r="J64" t="s">
        <v>195</v>
      </c>
      <c r="K64" t="s">
        <v>196</v>
      </c>
      <c r="M64">
        <v>0</v>
      </c>
      <c r="O64">
        <v>2.25</v>
      </c>
    </row>
    <row r="65" spans="1:15" x14ac:dyDescent="0.35">
      <c r="A65" t="s">
        <v>1</v>
      </c>
      <c r="B65" t="s">
        <v>170</v>
      </c>
      <c r="C65" t="s">
        <v>198</v>
      </c>
      <c r="D65">
        <v>2013</v>
      </c>
      <c r="E65" t="s">
        <v>166</v>
      </c>
      <c r="F65" t="s">
        <v>197</v>
      </c>
      <c r="G65" t="s">
        <v>194</v>
      </c>
      <c r="I65" t="s">
        <v>150</v>
      </c>
      <c r="J65" t="s">
        <v>195</v>
      </c>
      <c r="K65" t="s">
        <v>196</v>
      </c>
      <c r="M65">
        <v>5</v>
      </c>
      <c r="O65">
        <v>1.98</v>
      </c>
    </row>
    <row r="66" spans="1:15" x14ac:dyDescent="0.35">
      <c r="A66" t="s">
        <v>1</v>
      </c>
      <c r="B66" t="s">
        <v>170</v>
      </c>
      <c r="C66" t="s">
        <v>198</v>
      </c>
      <c r="D66">
        <v>2013</v>
      </c>
      <c r="E66" t="s">
        <v>166</v>
      </c>
      <c r="F66" t="s">
        <v>197</v>
      </c>
      <c r="G66" t="s">
        <v>194</v>
      </c>
      <c r="I66" t="s">
        <v>150</v>
      </c>
      <c r="J66" t="s">
        <v>195</v>
      </c>
      <c r="K66" t="s">
        <v>196</v>
      </c>
      <c r="M66">
        <v>10</v>
      </c>
      <c r="O66">
        <v>2.23</v>
      </c>
    </row>
    <row r="67" spans="1:15" x14ac:dyDescent="0.35">
      <c r="A67" t="s">
        <v>1</v>
      </c>
      <c r="B67" t="s">
        <v>170</v>
      </c>
      <c r="C67" t="s">
        <v>198</v>
      </c>
      <c r="D67">
        <v>2013</v>
      </c>
      <c r="E67" t="s">
        <v>166</v>
      </c>
      <c r="F67" t="s">
        <v>197</v>
      </c>
      <c r="G67" t="s">
        <v>194</v>
      </c>
      <c r="I67" t="s">
        <v>150</v>
      </c>
      <c r="J67" t="s">
        <v>195</v>
      </c>
      <c r="K67" t="s">
        <v>196</v>
      </c>
      <c r="M67">
        <v>15</v>
      </c>
      <c r="O67">
        <v>2.27</v>
      </c>
    </row>
    <row r="68" spans="1:15" x14ac:dyDescent="0.35">
      <c r="A68" t="s">
        <v>1</v>
      </c>
      <c r="B68" t="s">
        <v>170</v>
      </c>
      <c r="C68" t="s">
        <v>126</v>
      </c>
      <c r="D68">
        <v>2013</v>
      </c>
      <c r="E68" t="s">
        <v>127</v>
      </c>
      <c r="G68" t="s">
        <v>162</v>
      </c>
      <c r="I68" t="s">
        <v>310</v>
      </c>
      <c r="J68" t="s">
        <v>125</v>
      </c>
      <c r="K68" t="s">
        <v>124</v>
      </c>
      <c r="M68">
        <v>0</v>
      </c>
      <c r="O68">
        <v>0.92592592600000001</v>
      </c>
    </row>
    <row r="69" spans="1:15" x14ac:dyDescent="0.35">
      <c r="A69" t="s">
        <v>1</v>
      </c>
      <c r="B69" t="s">
        <v>170</v>
      </c>
      <c r="C69" t="s">
        <v>126</v>
      </c>
      <c r="D69">
        <v>2013</v>
      </c>
      <c r="E69" t="s">
        <v>127</v>
      </c>
      <c r="G69" t="s">
        <v>162</v>
      </c>
      <c r="I69" t="s">
        <v>310</v>
      </c>
      <c r="J69" t="s">
        <v>125</v>
      </c>
      <c r="K69" t="s">
        <v>124</v>
      </c>
      <c r="M69">
        <v>10</v>
      </c>
      <c r="O69">
        <v>0.87719298199999995</v>
      </c>
    </row>
    <row r="70" spans="1:15" x14ac:dyDescent="0.35">
      <c r="A70" t="s">
        <v>1</v>
      </c>
      <c r="B70" t="s">
        <v>170</v>
      </c>
      <c r="C70" t="s">
        <v>126</v>
      </c>
      <c r="D70">
        <v>2013</v>
      </c>
      <c r="E70" t="s">
        <v>127</v>
      </c>
      <c r="G70" t="s">
        <v>162</v>
      </c>
      <c r="I70" t="s">
        <v>310</v>
      </c>
      <c r="J70" t="s">
        <v>125</v>
      </c>
      <c r="K70" t="s">
        <v>124</v>
      </c>
      <c r="M70">
        <v>20</v>
      </c>
      <c r="O70">
        <v>0.94339622599999995</v>
      </c>
    </row>
    <row r="71" spans="1:15" x14ac:dyDescent="0.35">
      <c r="A71" t="s">
        <v>1</v>
      </c>
      <c r="B71" t="s">
        <v>170</v>
      </c>
      <c r="C71" t="s">
        <v>126</v>
      </c>
      <c r="D71">
        <v>2013</v>
      </c>
      <c r="E71" t="s">
        <v>127</v>
      </c>
      <c r="G71" t="s">
        <v>162</v>
      </c>
      <c r="I71" t="s">
        <v>310</v>
      </c>
      <c r="J71" t="s">
        <v>125</v>
      </c>
      <c r="K71" t="s">
        <v>124</v>
      </c>
      <c r="M71">
        <v>40</v>
      </c>
      <c r="O71">
        <v>1.123595506</v>
      </c>
    </row>
    <row r="72" spans="1:15" x14ac:dyDescent="0.35">
      <c r="A72" t="s">
        <v>1</v>
      </c>
      <c r="B72" t="s">
        <v>170</v>
      </c>
      <c r="C72" t="s">
        <v>208</v>
      </c>
      <c r="D72">
        <v>2001</v>
      </c>
      <c r="E72" t="s">
        <v>166</v>
      </c>
      <c r="F72" t="s">
        <v>209</v>
      </c>
      <c r="G72" t="s">
        <v>194</v>
      </c>
      <c r="I72" t="s">
        <v>106</v>
      </c>
      <c r="J72" t="s">
        <v>204</v>
      </c>
      <c r="K72" t="s">
        <v>206</v>
      </c>
      <c r="M72">
        <v>0</v>
      </c>
      <c r="O72">
        <v>2.14</v>
      </c>
    </row>
    <row r="73" spans="1:15" x14ac:dyDescent="0.35">
      <c r="A73" t="s">
        <v>1</v>
      </c>
      <c r="B73" t="s">
        <v>170</v>
      </c>
      <c r="C73" t="s">
        <v>208</v>
      </c>
      <c r="D73">
        <v>2001</v>
      </c>
      <c r="E73" t="s">
        <v>166</v>
      </c>
      <c r="F73" t="s">
        <v>209</v>
      </c>
      <c r="G73" t="s">
        <v>194</v>
      </c>
      <c r="I73" t="s">
        <v>106</v>
      </c>
      <c r="J73" t="s">
        <v>204</v>
      </c>
      <c r="K73" t="s">
        <v>206</v>
      </c>
      <c r="M73">
        <v>25</v>
      </c>
      <c r="O73">
        <v>2.31</v>
      </c>
    </row>
    <row r="74" spans="1:15" x14ac:dyDescent="0.35">
      <c r="A74" t="s">
        <v>1</v>
      </c>
      <c r="B74" t="s">
        <v>170</v>
      </c>
      <c r="C74" t="s">
        <v>208</v>
      </c>
      <c r="D74">
        <v>2001</v>
      </c>
      <c r="E74" t="s">
        <v>166</v>
      </c>
      <c r="F74" t="s">
        <v>209</v>
      </c>
      <c r="G74" t="s">
        <v>194</v>
      </c>
      <c r="I74" t="s">
        <v>106</v>
      </c>
      <c r="J74" t="s">
        <v>204</v>
      </c>
      <c r="K74" t="s">
        <v>206</v>
      </c>
      <c r="M74">
        <v>50</v>
      </c>
      <c r="O74">
        <v>2.5</v>
      </c>
    </row>
    <row r="75" spans="1:15" x14ac:dyDescent="0.35">
      <c r="A75" t="s">
        <v>1</v>
      </c>
      <c r="B75" t="s">
        <v>170</v>
      </c>
      <c r="C75" t="s">
        <v>208</v>
      </c>
      <c r="D75">
        <v>2001</v>
      </c>
      <c r="E75" t="s">
        <v>166</v>
      </c>
      <c r="F75" t="s">
        <v>209</v>
      </c>
      <c r="G75" t="s">
        <v>194</v>
      </c>
      <c r="I75" t="s">
        <v>106</v>
      </c>
      <c r="J75" t="s">
        <v>204</v>
      </c>
      <c r="K75" t="s">
        <v>206</v>
      </c>
      <c r="M75">
        <v>75</v>
      </c>
      <c r="O75">
        <v>2.2400000000000002</v>
      </c>
    </row>
    <row r="76" spans="1:15" x14ac:dyDescent="0.35">
      <c r="A76" t="s">
        <v>1</v>
      </c>
      <c r="B76" t="s">
        <v>170</v>
      </c>
      <c r="C76" t="s">
        <v>208</v>
      </c>
      <c r="D76">
        <v>2001</v>
      </c>
      <c r="E76" t="s">
        <v>166</v>
      </c>
      <c r="F76" t="s">
        <v>209</v>
      </c>
      <c r="G76" t="s">
        <v>194</v>
      </c>
      <c r="I76" t="s">
        <v>106</v>
      </c>
      <c r="J76" t="s">
        <v>204</v>
      </c>
      <c r="K76" t="s">
        <v>206</v>
      </c>
      <c r="M76">
        <v>100</v>
      </c>
      <c r="O76">
        <v>2.2799999999999998</v>
      </c>
    </row>
    <row r="77" spans="1:15" x14ac:dyDescent="0.35">
      <c r="A77" t="s">
        <v>1</v>
      </c>
      <c r="B77" t="s">
        <v>170</v>
      </c>
      <c r="C77" t="s">
        <v>210</v>
      </c>
      <c r="D77">
        <v>2002</v>
      </c>
      <c r="E77" t="s">
        <v>166</v>
      </c>
      <c r="F77" t="s">
        <v>209</v>
      </c>
      <c r="G77" t="s">
        <v>194</v>
      </c>
      <c r="I77" t="s">
        <v>106</v>
      </c>
      <c r="J77" t="s">
        <v>205</v>
      </c>
      <c r="K77" t="s">
        <v>109</v>
      </c>
      <c r="M77">
        <v>0</v>
      </c>
      <c r="O77">
        <v>2.1</v>
      </c>
    </row>
    <row r="78" spans="1:15" x14ac:dyDescent="0.35">
      <c r="A78" t="s">
        <v>1</v>
      </c>
      <c r="B78" t="s">
        <v>170</v>
      </c>
      <c r="C78" t="s">
        <v>210</v>
      </c>
      <c r="D78">
        <v>2002</v>
      </c>
      <c r="E78" t="s">
        <v>166</v>
      </c>
      <c r="F78" t="s">
        <v>209</v>
      </c>
      <c r="G78" t="s">
        <v>194</v>
      </c>
      <c r="I78" t="s">
        <v>106</v>
      </c>
      <c r="J78" t="s">
        <v>205</v>
      </c>
      <c r="K78" t="s">
        <v>109</v>
      </c>
      <c r="M78">
        <v>25</v>
      </c>
      <c r="O78">
        <v>2.06</v>
      </c>
    </row>
    <row r="79" spans="1:15" x14ac:dyDescent="0.35">
      <c r="A79" t="s">
        <v>1</v>
      </c>
      <c r="B79" t="s">
        <v>170</v>
      </c>
      <c r="C79" t="s">
        <v>210</v>
      </c>
      <c r="D79">
        <v>2002</v>
      </c>
      <c r="E79" t="s">
        <v>166</v>
      </c>
      <c r="F79" t="s">
        <v>209</v>
      </c>
      <c r="G79" t="s">
        <v>194</v>
      </c>
      <c r="I79" t="s">
        <v>106</v>
      </c>
      <c r="J79" t="s">
        <v>205</v>
      </c>
      <c r="K79" t="s">
        <v>109</v>
      </c>
      <c r="M79">
        <v>50</v>
      </c>
      <c r="O79">
        <v>2.12</v>
      </c>
    </row>
    <row r="80" spans="1:15" x14ac:dyDescent="0.35">
      <c r="A80" t="s">
        <v>1</v>
      </c>
      <c r="B80" t="s">
        <v>170</v>
      </c>
      <c r="C80" t="s">
        <v>210</v>
      </c>
      <c r="D80">
        <v>2002</v>
      </c>
      <c r="E80" t="s">
        <v>166</v>
      </c>
      <c r="F80" t="s">
        <v>209</v>
      </c>
      <c r="G80" t="s">
        <v>194</v>
      </c>
      <c r="I80" t="s">
        <v>106</v>
      </c>
      <c r="J80" t="s">
        <v>205</v>
      </c>
      <c r="K80" t="s">
        <v>109</v>
      </c>
      <c r="M80">
        <v>75</v>
      </c>
      <c r="O80">
        <v>2.56</v>
      </c>
    </row>
    <row r="81" spans="1:15" x14ac:dyDescent="0.35">
      <c r="A81" t="s">
        <v>1</v>
      </c>
      <c r="B81" t="s">
        <v>170</v>
      </c>
      <c r="C81" t="s">
        <v>210</v>
      </c>
      <c r="D81">
        <v>2002</v>
      </c>
      <c r="E81" t="s">
        <v>166</v>
      </c>
      <c r="F81" t="s">
        <v>209</v>
      </c>
      <c r="G81" t="s">
        <v>194</v>
      </c>
      <c r="I81" t="s">
        <v>106</v>
      </c>
      <c r="J81" t="s">
        <v>205</v>
      </c>
      <c r="K81" t="s">
        <v>109</v>
      </c>
      <c r="M81">
        <v>100</v>
      </c>
      <c r="O81">
        <v>2.5099999999999998</v>
      </c>
    </row>
    <row r="82" spans="1:15" x14ac:dyDescent="0.35">
      <c r="A82" t="s">
        <v>1</v>
      </c>
      <c r="B82" t="s">
        <v>170</v>
      </c>
      <c r="C82" t="s">
        <v>213</v>
      </c>
      <c r="D82">
        <v>1998</v>
      </c>
      <c r="E82" t="s">
        <v>166</v>
      </c>
      <c r="F82" t="s">
        <v>212</v>
      </c>
      <c r="G82" t="s">
        <v>194</v>
      </c>
      <c r="I82" t="s">
        <v>101</v>
      </c>
      <c r="J82" t="s">
        <v>103</v>
      </c>
      <c r="K82" t="s">
        <v>214</v>
      </c>
      <c r="M82">
        <v>0</v>
      </c>
      <c r="O82">
        <v>1.03</v>
      </c>
    </row>
    <row r="83" spans="1:15" x14ac:dyDescent="0.35">
      <c r="A83" t="s">
        <v>1</v>
      </c>
      <c r="B83" t="s">
        <v>170</v>
      </c>
      <c r="C83" t="s">
        <v>213</v>
      </c>
      <c r="D83">
        <v>1998</v>
      </c>
      <c r="E83" t="s">
        <v>166</v>
      </c>
      <c r="F83" t="s">
        <v>212</v>
      </c>
      <c r="G83" t="s">
        <v>194</v>
      </c>
      <c r="I83" t="s">
        <v>101</v>
      </c>
      <c r="J83" t="s">
        <v>103</v>
      </c>
      <c r="K83" t="s">
        <v>214</v>
      </c>
      <c r="M83">
        <v>20</v>
      </c>
      <c r="O83">
        <v>1.07</v>
      </c>
    </row>
    <row r="84" spans="1:15" x14ac:dyDescent="0.35">
      <c r="A84" t="s">
        <v>1</v>
      </c>
      <c r="B84" t="s">
        <v>170</v>
      </c>
      <c r="C84" t="s">
        <v>213</v>
      </c>
      <c r="D84">
        <v>1998</v>
      </c>
      <c r="E84" t="s">
        <v>166</v>
      </c>
      <c r="F84" t="s">
        <v>212</v>
      </c>
      <c r="G84" t="s">
        <v>194</v>
      </c>
      <c r="I84" t="s">
        <v>101</v>
      </c>
      <c r="J84" t="s">
        <v>103</v>
      </c>
      <c r="K84" t="s">
        <v>214</v>
      </c>
      <c r="M84">
        <v>40</v>
      </c>
      <c r="O84">
        <v>1.28</v>
      </c>
    </row>
    <row r="85" spans="1:15" x14ac:dyDescent="0.35">
      <c r="A85" t="s">
        <v>1</v>
      </c>
      <c r="B85" t="s">
        <v>170</v>
      </c>
      <c r="C85" t="s">
        <v>213</v>
      </c>
      <c r="D85">
        <v>1998</v>
      </c>
      <c r="E85" t="s">
        <v>166</v>
      </c>
      <c r="F85" t="s">
        <v>212</v>
      </c>
      <c r="G85" t="s">
        <v>194</v>
      </c>
      <c r="I85" t="s">
        <v>101</v>
      </c>
      <c r="J85" t="s">
        <v>103</v>
      </c>
      <c r="K85" t="s">
        <v>214</v>
      </c>
      <c r="M85">
        <v>60</v>
      </c>
      <c r="O85">
        <v>1.45</v>
      </c>
    </row>
    <row r="86" spans="1:15" x14ac:dyDescent="0.35">
      <c r="A86" t="s">
        <v>1</v>
      </c>
      <c r="B86" t="s">
        <v>170</v>
      </c>
      <c r="C86" t="s">
        <v>213</v>
      </c>
      <c r="D86">
        <v>1998</v>
      </c>
      <c r="E86" t="s">
        <v>166</v>
      </c>
      <c r="F86" t="s">
        <v>212</v>
      </c>
      <c r="G86" t="s">
        <v>194</v>
      </c>
      <c r="I86" t="s">
        <v>101</v>
      </c>
      <c r="J86" t="s">
        <v>103</v>
      </c>
      <c r="K86" t="s">
        <v>214</v>
      </c>
      <c r="M86">
        <v>80</v>
      </c>
      <c r="O86">
        <v>1.91</v>
      </c>
    </row>
    <row r="87" spans="1:15" x14ac:dyDescent="0.35">
      <c r="A87" t="s">
        <v>1</v>
      </c>
      <c r="B87" t="s">
        <v>170</v>
      </c>
      <c r="C87" t="s">
        <v>213</v>
      </c>
      <c r="D87">
        <v>1998</v>
      </c>
      <c r="E87" t="s">
        <v>166</v>
      </c>
      <c r="F87" t="s">
        <v>212</v>
      </c>
      <c r="G87" t="s">
        <v>194</v>
      </c>
      <c r="I87" t="s">
        <v>101</v>
      </c>
      <c r="J87" t="s">
        <v>103</v>
      </c>
      <c r="K87" t="s">
        <v>214</v>
      </c>
      <c r="M87">
        <v>100</v>
      </c>
      <c r="O87">
        <v>1.96</v>
      </c>
    </row>
    <row r="88" spans="1:15" x14ac:dyDescent="0.35">
      <c r="A88" t="s">
        <v>1</v>
      </c>
      <c r="B88" t="s">
        <v>128</v>
      </c>
      <c r="C88" t="s">
        <v>159</v>
      </c>
      <c r="D88">
        <v>2010</v>
      </c>
      <c r="E88" t="s">
        <v>158</v>
      </c>
      <c r="F88" t="s">
        <v>152</v>
      </c>
      <c r="G88" t="s">
        <v>162</v>
      </c>
      <c r="I88" t="s">
        <v>31</v>
      </c>
      <c r="J88" t="s">
        <v>32</v>
      </c>
      <c r="K88" t="s">
        <v>91</v>
      </c>
      <c r="M88">
        <v>0</v>
      </c>
      <c r="O88">
        <v>1.34</v>
      </c>
    </row>
    <row r="89" spans="1:15" x14ac:dyDescent="0.35">
      <c r="A89" t="s">
        <v>1</v>
      </c>
      <c r="B89" t="s">
        <v>128</v>
      </c>
      <c r="C89" t="s">
        <v>159</v>
      </c>
      <c r="D89">
        <v>2010</v>
      </c>
      <c r="E89" t="s">
        <v>158</v>
      </c>
      <c r="F89" t="s">
        <v>152</v>
      </c>
      <c r="G89" t="s">
        <v>162</v>
      </c>
      <c r="I89" t="s">
        <v>31</v>
      </c>
      <c r="J89" t="s">
        <v>32</v>
      </c>
      <c r="K89" t="s">
        <v>91</v>
      </c>
      <c r="M89">
        <v>25</v>
      </c>
      <c r="O89">
        <v>1.36</v>
      </c>
    </row>
    <row r="90" spans="1:15" x14ac:dyDescent="0.35">
      <c r="A90" t="s">
        <v>1</v>
      </c>
      <c r="B90" t="s">
        <v>128</v>
      </c>
      <c r="C90" t="s">
        <v>159</v>
      </c>
      <c r="D90">
        <v>2010</v>
      </c>
      <c r="E90" t="s">
        <v>158</v>
      </c>
      <c r="F90" t="s">
        <v>152</v>
      </c>
      <c r="G90" t="s">
        <v>162</v>
      </c>
      <c r="I90" t="s">
        <v>31</v>
      </c>
      <c r="J90" t="s">
        <v>32</v>
      </c>
      <c r="K90" t="s">
        <v>91</v>
      </c>
      <c r="M90">
        <v>50</v>
      </c>
      <c r="O90">
        <v>1.44</v>
      </c>
    </row>
    <row r="91" spans="1:15" x14ac:dyDescent="0.35">
      <c r="A91" t="s">
        <v>1</v>
      </c>
      <c r="B91" t="s">
        <v>128</v>
      </c>
      <c r="C91" t="s">
        <v>159</v>
      </c>
      <c r="D91">
        <v>2010</v>
      </c>
      <c r="E91" t="s">
        <v>158</v>
      </c>
      <c r="F91" t="s">
        <v>152</v>
      </c>
      <c r="G91" t="s">
        <v>162</v>
      </c>
      <c r="I91" t="s">
        <v>31</v>
      </c>
      <c r="J91" t="s">
        <v>32</v>
      </c>
      <c r="K91" t="s">
        <v>91</v>
      </c>
      <c r="M91">
        <v>75</v>
      </c>
      <c r="O91">
        <v>1.61</v>
      </c>
    </row>
    <row r="92" spans="1:15" x14ac:dyDescent="0.35">
      <c r="A92" t="s">
        <v>1</v>
      </c>
      <c r="B92" t="s">
        <v>128</v>
      </c>
      <c r="C92" t="s">
        <v>159</v>
      </c>
      <c r="D92">
        <v>2010</v>
      </c>
      <c r="E92" t="s">
        <v>158</v>
      </c>
      <c r="F92" t="s">
        <v>152</v>
      </c>
      <c r="G92" t="s">
        <v>162</v>
      </c>
      <c r="I92" t="s">
        <v>31</v>
      </c>
      <c r="J92" t="s">
        <v>32</v>
      </c>
      <c r="K92" t="s">
        <v>91</v>
      </c>
      <c r="M92">
        <v>100</v>
      </c>
      <c r="O92">
        <v>1.67</v>
      </c>
    </row>
    <row r="93" spans="1:15" x14ac:dyDescent="0.35">
      <c r="A93" t="s">
        <v>1</v>
      </c>
      <c r="B93" t="s">
        <v>128</v>
      </c>
      <c r="C93" t="s">
        <v>110</v>
      </c>
      <c r="D93">
        <v>1994</v>
      </c>
      <c r="E93" t="s">
        <v>105</v>
      </c>
      <c r="F93" t="s">
        <v>108</v>
      </c>
      <c r="G93" t="s">
        <v>162</v>
      </c>
      <c r="I93" t="s">
        <v>106</v>
      </c>
      <c r="J93" t="s">
        <v>107</v>
      </c>
      <c r="K93" t="s">
        <v>109</v>
      </c>
      <c r="M93">
        <v>0</v>
      </c>
      <c r="O93">
        <v>2.0499999999999998</v>
      </c>
    </row>
    <row r="94" spans="1:15" x14ac:dyDescent="0.35">
      <c r="A94" t="s">
        <v>1</v>
      </c>
      <c r="B94" t="s">
        <v>128</v>
      </c>
      <c r="C94" t="s">
        <v>110</v>
      </c>
      <c r="D94">
        <v>1994</v>
      </c>
      <c r="E94" t="s">
        <v>105</v>
      </c>
      <c r="F94" t="s">
        <v>108</v>
      </c>
      <c r="G94" t="s">
        <v>162</v>
      </c>
      <c r="I94" t="s">
        <v>106</v>
      </c>
      <c r="J94" t="s">
        <v>107</v>
      </c>
      <c r="K94" t="s">
        <v>109</v>
      </c>
      <c r="M94">
        <v>35</v>
      </c>
      <c r="O94">
        <v>1.96</v>
      </c>
    </row>
    <row r="95" spans="1:15" x14ac:dyDescent="0.35">
      <c r="A95" t="s">
        <v>1</v>
      </c>
      <c r="B95" t="s">
        <v>128</v>
      </c>
      <c r="C95" t="s">
        <v>110</v>
      </c>
      <c r="D95">
        <v>1994</v>
      </c>
      <c r="E95" t="s">
        <v>105</v>
      </c>
      <c r="F95" t="s">
        <v>108</v>
      </c>
      <c r="G95" t="s">
        <v>162</v>
      </c>
      <c r="I95" t="s">
        <v>106</v>
      </c>
      <c r="J95" t="s">
        <v>107</v>
      </c>
      <c r="K95" t="s">
        <v>109</v>
      </c>
      <c r="M95">
        <v>60</v>
      </c>
      <c r="O95">
        <v>1.92</v>
      </c>
    </row>
    <row r="96" spans="1:15" x14ac:dyDescent="0.35">
      <c r="A96" t="s">
        <v>1</v>
      </c>
      <c r="B96" t="s">
        <v>128</v>
      </c>
      <c r="C96" t="s">
        <v>110</v>
      </c>
      <c r="D96">
        <v>1994</v>
      </c>
      <c r="E96" t="s">
        <v>105</v>
      </c>
      <c r="F96" t="s">
        <v>108</v>
      </c>
      <c r="G96" t="s">
        <v>162</v>
      </c>
      <c r="I96" t="s">
        <v>106</v>
      </c>
      <c r="J96" t="s">
        <v>107</v>
      </c>
      <c r="K96" t="s">
        <v>109</v>
      </c>
      <c r="M96">
        <v>80</v>
      </c>
      <c r="O96">
        <v>2</v>
      </c>
    </row>
    <row r="97" spans="1:15" x14ac:dyDescent="0.35">
      <c r="A97" t="s">
        <v>1</v>
      </c>
      <c r="B97" t="s">
        <v>128</v>
      </c>
      <c r="C97" t="s">
        <v>110</v>
      </c>
      <c r="D97">
        <v>1994</v>
      </c>
      <c r="E97" t="s">
        <v>105</v>
      </c>
      <c r="F97" t="s">
        <v>108</v>
      </c>
      <c r="G97" t="s">
        <v>162</v>
      </c>
      <c r="I97" t="s">
        <v>106</v>
      </c>
      <c r="J97" t="s">
        <v>107</v>
      </c>
      <c r="K97" t="s">
        <v>109</v>
      </c>
      <c r="M97">
        <v>100</v>
      </c>
      <c r="O97">
        <v>2.0699999999999998</v>
      </c>
    </row>
    <row r="98" spans="1:15" x14ac:dyDescent="0.35">
      <c r="A98" t="s">
        <v>1</v>
      </c>
      <c r="B98" t="s">
        <v>128</v>
      </c>
      <c r="C98" t="s">
        <v>177</v>
      </c>
      <c r="D98">
        <v>2016</v>
      </c>
      <c r="E98" t="s">
        <v>178</v>
      </c>
      <c r="F98" t="s">
        <v>176</v>
      </c>
      <c r="G98" t="s">
        <v>162</v>
      </c>
      <c r="I98" t="s">
        <v>310</v>
      </c>
      <c r="J98" t="s">
        <v>179</v>
      </c>
      <c r="K98" t="s">
        <v>180</v>
      </c>
      <c r="M98">
        <v>0</v>
      </c>
      <c r="O98">
        <v>0.8</v>
      </c>
    </row>
    <row r="99" spans="1:15" x14ac:dyDescent="0.35">
      <c r="A99" t="s">
        <v>1</v>
      </c>
      <c r="B99" t="s">
        <v>128</v>
      </c>
      <c r="C99" t="s">
        <v>177</v>
      </c>
      <c r="D99">
        <v>2016</v>
      </c>
      <c r="E99" t="s">
        <v>178</v>
      </c>
      <c r="F99" t="s">
        <v>176</v>
      </c>
      <c r="G99" t="s">
        <v>162</v>
      </c>
      <c r="I99" t="s">
        <v>310</v>
      </c>
      <c r="J99" t="s">
        <v>179</v>
      </c>
      <c r="K99" t="s">
        <v>180</v>
      </c>
      <c r="M99">
        <v>5</v>
      </c>
      <c r="O99">
        <v>0.8</v>
      </c>
    </row>
    <row r="100" spans="1:15" x14ac:dyDescent="0.35">
      <c r="A100" t="s">
        <v>1</v>
      </c>
      <c r="B100" t="s">
        <v>128</v>
      </c>
      <c r="C100" t="s">
        <v>177</v>
      </c>
      <c r="D100">
        <v>2016</v>
      </c>
      <c r="E100" t="s">
        <v>178</v>
      </c>
      <c r="F100" t="s">
        <v>176</v>
      </c>
      <c r="G100" t="s">
        <v>162</v>
      </c>
      <c r="I100" t="s">
        <v>310</v>
      </c>
      <c r="J100" t="s">
        <v>179</v>
      </c>
      <c r="K100" t="s">
        <v>180</v>
      </c>
      <c r="M100">
        <v>10</v>
      </c>
      <c r="O100">
        <v>0.8</v>
      </c>
    </row>
    <row r="101" spans="1:15" x14ac:dyDescent="0.35">
      <c r="A101" t="s">
        <v>1</v>
      </c>
      <c r="B101" t="s">
        <v>128</v>
      </c>
      <c r="C101" t="s">
        <v>177</v>
      </c>
      <c r="D101">
        <v>2016</v>
      </c>
      <c r="E101" t="s">
        <v>178</v>
      </c>
      <c r="F101" t="s">
        <v>176</v>
      </c>
      <c r="G101" t="s">
        <v>162</v>
      </c>
      <c r="I101" t="s">
        <v>310</v>
      </c>
      <c r="J101" t="s">
        <v>179</v>
      </c>
      <c r="K101" t="s">
        <v>180</v>
      </c>
      <c r="M101">
        <v>15</v>
      </c>
      <c r="O101">
        <v>0.8</v>
      </c>
    </row>
    <row r="102" spans="1:15" x14ac:dyDescent="0.35">
      <c r="A102" t="s">
        <v>1</v>
      </c>
      <c r="B102" t="s">
        <v>128</v>
      </c>
      <c r="C102" t="s">
        <v>177</v>
      </c>
      <c r="D102">
        <v>2016</v>
      </c>
      <c r="E102" t="s">
        <v>178</v>
      </c>
      <c r="F102" t="s">
        <v>176</v>
      </c>
      <c r="G102" t="s">
        <v>162</v>
      </c>
      <c r="I102" t="s">
        <v>310</v>
      </c>
      <c r="J102" t="s">
        <v>179</v>
      </c>
      <c r="K102" t="s">
        <v>180</v>
      </c>
      <c r="M102">
        <v>20</v>
      </c>
      <c r="O102">
        <v>0.8</v>
      </c>
    </row>
    <row r="103" spans="1:15" x14ac:dyDescent="0.35">
      <c r="A103" t="s">
        <v>1</v>
      </c>
      <c r="B103" t="s">
        <v>128</v>
      </c>
      <c r="C103" t="s">
        <v>126</v>
      </c>
      <c r="D103">
        <v>2013</v>
      </c>
      <c r="E103" t="s">
        <v>132</v>
      </c>
      <c r="F103" t="s">
        <v>108</v>
      </c>
      <c r="G103" t="s">
        <v>162</v>
      </c>
      <c r="I103" t="s">
        <v>310</v>
      </c>
      <c r="J103" t="s">
        <v>125</v>
      </c>
      <c r="K103" t="s">
        <v>124</v>
      </c>
      <c r="M103">
        <v>0</v>
      </c>
      <c r="O103">
        <v>0.92592592600000001</v>
      </c>
    </row>
    <row r="104" spans="1:15" x14ac:dyDescent="0.35">
      <c r="A104" t="s">
        <v>1</v>
      </c>
      <c r="B104" t="s">
        <v>128</v>
      </c>
      <c r="C104" t="s">
        <v>126</v>
      </c>
      <c r="D104">
        <v>2013</v>
      </c>
      <c r="E104" t="s">
        <v>132</v>
      </c>
      <c r="F104" t="s">
        <v>108</v>
      </c>
      <c r="G104" t="s">
        <v>162</v>
      </c>
      <c r="I104" t="s">
        <v>310</v>
      </c>
      <c r="J104" t="s">
        <v>125</v>
      </c>
      <c r="K104" t="s">
        <v>124</v>
      </c>
      <c r="M104">
        <v>10</v>
      </c>
      <c r="O104">
        <v>0.869565217</v>
      </c>
    </row>
    <row r="105" spans="1:15" x14ac:dyDescent="0.35">
      <c r="A105" t="s">
        <v>1</v>
      </c>
      <c r="B105" t="s">
        <v>128</v>
      </c>
      <c r="C105" t="s">
        <v>126</v>
      </c>
      <c r="D105">
        <v>2013</v>
      </c>
      <c r="E105" t="s">
        <v>132</v>
      </c>
      <c r="F105" t="s">
        <v>108</v>
      </c>
      <c r="G105" t="s">
        <v>162</v>
      </c>
      <c r="I105" t="s">
        <v>310</v>
      </c>
      <c r="J105" t="s">
        <v>125</v>
      </c>
      <c r="K105" t="s">
        <v>124</v>
      </c>
      <c r="M105">
        <v>20</v>
      </c>
      <c r="O105">
        <v>1.063829787</v>
      </c>
    </row>
    <row r="106" spans="1:15" x14ac:dyDescent="0.35">
      <c r="A106" t="s">
        <v>1</v>
      </c>
      <c r="B106" t="s">
        <v>10</v>
      </c>
      <c r="C106" t="s">
        <v>69</v>
      </c>
      <c r="D106">
        <v>2011</v>
      </c>
      <c r="E106" t="s">
        <v>68</v>
      </c>
      <c r="F106" t="s">
        <v>70</v>
      </c>
      <c r="G106" t="s">
        <v>162</v>
      </c>
      <c r="I106" t="s">
        <v>31</v>
      </c>
      <c r="J106" t="s">
        <v>32</v>
      </c>
      <c r="K106" t="s">
        <v>91</v>
      </c>
      <c r="M106">
        <v>0</v>
      </c>
      <c r="O106">
        <v>1.51</v>
      </c>
    </row>
    <row r="107" spans="1:15" x14ac:dyDescent="0.35">
      <c r="A107" t="s">
        <v>1</v>
      </c>
      <c r="B107" t="s">
        <v>10</v>
      </c>
      <c r="C107" t="s">
        <v>69</v>
      </c>
      <c r="D107">
        <v>2011</v>
      </c>
      <c r="E107" t="s">
        <v>68</v>
      </c>
      <c r="F107" t="s">
        <v>70</v>
      </c>
      <c r="G107" t="s">
        <v>162</v>
      </c>
      <c r="I107" t="s">
        <v>31</v>
      </c>
      <c r="J107" t="s">
        <v>32</v>
      </c>
      <c r="K107" t="s">
        <v>91</v>
      </c>
      <c r="M107">
        <v>25</v>
      </c>
      <c r="O107">
        <v>1.46</v>
      </c>
    </row>
    <row r="108" spans="1:15" x14ac:dyDescent="0.35">
      <c r="A108" t="s">
        <v>1</v>
      </c>
      <c r="B108" t="s">
        <v>10</v>
      </c>
      <c r="C108" t="s">
        <v>69</v>
      </c>
      <c r="D108">
        <v>2011</v>
      </c>
      <c r="E108" t="s">
        <v>68</v>
      </c>
      <c r="F108" t="s">
        <v>70</v>
      </c>
      <c r="G108" t="s">
        <v>162</v>
      </c>
      <c r="I108" t="s">
        <v>31</v>
      </c>
      <c r="J108" t="s">
        <v>32</v>
      </c>
      <c r="K108" t="s">
        <v>91</v>
      </c>
      <c r="M108">
        <v>50</v>
      </c>
      <c r="O108">
        <v>1.81</v>
      </c>
    </row>
    <row r="109" spans="1:15" x14ac:dyDescent="0.35">
      <c r="A109" t="s">
        <v>1</v>
      </c>
      <c r="B109" t="s">
        <v>10</v>
      </c>
      <c r="C109" t="s">
        <v>69</v>
      </c>
      <c r="D109">
        <v>2011</v>
      </c>
      <c r="E109" t="s">
        <v>68</v>
      </c>
      <c r="F109" t="s">
        <v>70</v>
      </c>
      <c r="G109" t="s">
        <v>162</v>
      </c>
      <c r="I109" t="s">
        <v>31</v>
      </c>
      <c r="J109" t="s">
        <v>32</v>
      </c>
      <c r="K109" t="s">
        <v>91</v>
      </c>
      <c r="M109">
        <v>75</v>
      </c>
      <c r="O109">
        <v>1.72</v>
      </c>
    </row>
    <row r="110" spans="1:15" x14ac:dyDescent="0.35">
      <c r="A110" t="s">
        <v>1</v>
      </c>
      <c r="B110" t="s">
        <v>10</v>
      </c>
      <c r="C110" t="s">
        <v>69</v>
      </c>
      <c r="D110">
        <v>2011</v>
      </c>
      <c r="E110" t="s">
        <v>68</v>
      </c>
      <c r="F110" t="s">
        <v>70</v>
      </c>
      <c r="G110" t="s">
        <v>162</v>
      </c>
      <c r="I110" t="s">
        <v>31</v>
      </c>
      <c r="J110" t="s">
        <v>32</v>
      </c>
      <c r="K110" t="s">
        <v>91</v>
      </c>
      <c r="M110">
        <v>100</v>
      </c>
      <c r="O110">
        <v>1.91</v>
      </c>
    </row>
    <row r="111" spans="1:15" x14ac:dyDescent="0.35">
      <c r="A111" t="s">
        <v>1</v>
      </c>
      <c r="B111" t="s">
        <v>10</v>
      </c>
      <c r="C111" t="s">
        <v>156</v>
      </c>
      <c r="D111">
        <v>2009</v>
      </c>
      <c r="E111" t="s">
        <v>151</v>
      </c>
      <c r="F111" t="s">
        <v>152</v>
      </c>
      <c r="G111" t="s">
        <v>162</v>
      </c>
      <c r="I111" t="s">
        <v>31</v>
      </c>
      <c r="J111" t="s">
        <v>32</v>
      </c>
      <c r="K111" t="s">
        <v>91</v>
      </c>
      <c r="M111">
        <v>0</v>
      </c>
      <c r="O111">
        <v>1.1499999999999999</v>
      </c>
    </row>
    <row r="112" spans="1:15" x14ac:dyDescent="0.35">
      <c r="A112" t="s">
        <v>1</v>
      </c>
      <c r="B112" t="s">
        <v>10</v>
      </c>
      <c r="C112" t="s">
        <v>156</v>
      </c>
      <c r="D112">
        <v>2009</v>
      </c>
      <c r="E112" t="s">
        <v>151</v>
      </c>
      <c r="F112" t="s">
        <v>152</v>
      </c>
      <c r="G112" t="s">
        <v>162</v>
      </c>
      <c r="I112" t="s">
        <v>31</v>
      </c>
      <c r="J112" t="s">
        <v>32</v>
      </c>
      <c r="K112" t="s">
        <v>91</v>
      </c>
      <c r="M112">
        <v>50</v>
      </c>
      <c r="O112">
        <v>1.17</v>
      </c>
    </row>
    <row r="113" spans="1:15" x14ac:dyDescent="0.35">
      <c r="A113" t="s">
        <v>1</v>
      </c>
      <c r="B113" t="s">
        <v>10</v>
      </c>
      <c r="C113" t="s">
        <v>156</v>
      </c>
      <c r="D113">
        <v>2009</v>
      </c>
      <c r="E113" t="s">
        <v>151</v>
      </c>
      <c r="F113" t="s">
        <v>152</v>
      </c>
      <c r="G113" t="s">
        <v>162</v>
      </c>
      <c r="I113" t="s">
        <v>31</v>
      </c>
      <c r="J113" t="s">
        <v>32</v>
      </c>
      <c r="K113" t="s">
        <v>91</v>
      </c>
      <c r="M113">
        <v>100</v>
      </c>
      <c r="O113">
        <v>1.1599999999999999</v>
      </c>
    </row>
    <row r="114" spans="1:15" x14ac:dyDescent="0.35">
      <c r="A114" t="s">
        <v>1</v>
      </c>
      <c r="B114" t="s">
        <v>10</v>
      </c>
      <c r="C114" t="s">
        <v>82</v>
      </c>
      <c r="D114">
        <v>2015</v>
      </c>
      <c r="E114" t="s">
        <v>17</v>
      </c>
      <c r="F114" t="s">
        <v>4</v>
      </c>
      <c r="G114" t="s">
        <v>162</v>
      </c>
      <c r="I114" t="s">
        <v>97</v>
      </c>
      <c r="J114" t="s">
        <v>81</v>
      </c>
      <c r="K114" t="s">
        <v>131</v>
      </c>
      <c r="M114">
        <v>0</v>
      </c>
      <c r="O114">
        <v>1.2</v>
      </c>
    </row>
    <row r="115" spans="1:15" x14ac:dyDescent="0.35">
      <c r="A115" t="s">
        <v>1</v>
      </c>
      <c r="B115" t="s">
        <v>10</v>
      </c>
      <c r="C115" t="s">
        <v>82</v>
      </c>
      <c r="D115">
        <v>2015</v>
      </c>
      <c r="E115" t="s">
        <v>17</v>
      </c>
      <c r="F115" t="s">
        <v>4</v>
      </c>
      <c r="G115" t="s">
        <v>162</v>
      </c>
      <c r="I115" t="s">
        <v>97</v>
      </c>
      <c r="J115" t="s">
        <v>81</v>
      </c>
      <c r="K115" t="s">
        <v>131</v>
      </c>
      <c r="M115">
        <v>35</v>
      </c>
      <c r="O115">
        <v>1</v>
      </c>
    </row>
    <row r="116" spans="1:15" x14ac:dyDescent="0.35">
      <c r="A116" t="s">
        <v>1</v>
      </c>
      <c r="B116" t="s">
        <v>10</v>
      </c>
      <c r="C116" t="s">
        <v>82</v>
      </c>
      <c r="D116">
        <v>2015</v>
      </c>
      <c r="E116" t="s">
        <v>17</v>
      </c>
      <c r="F116" t="s">
        <v>4</v>
      </c>
      <c r="G116" t="s">
        <v>162</v>
      </c>
      <c r="I116" t="s">
        <v>97</v>
      </c>
      <c r="J116" t="s">
        <v>81</v>
      </c>
      <c r="K116" t="s">
        <v>131</v>
      </c>
      <c r="M116">
        <v>75</v>
      </c>
      <c r="O116">
        <v>1</v>
      </c>
    </row>
    <row r="117" spans="1:15" x14ac:dyDescent="0.35">
      <c r="A117" t="s">
        <v>1</v>
      </c>
      <c r="B117" t="s">
        <v>10</v>
      </c>
      <c r="C117" t="s">
        <v>85</v>
      </c>
      <c r="D117">
        <v>2010</v>
      </c>
      <c r="E117" t="s">
        <v>84</v>
      </c>
      <c r="F117" t="s">
        <v>83</v>
      </c>
      <c r="G117" t="s">
        <v>162</v>
      </c>
      <c r="I117" t="s">
        <v>98</v>
      </c>
      <c r="J117" t="s">
        <v>71</v>
      </c>
      <c r="K117" t="s">
        <v>91</v>
      </c>
      <c r="M117">
        <v>0</v>
      </c>
      <c r="O117">
        <v>0.89</v>
      </c>
    </row>
    <row r="118" spans="1:15" x14ac:dyDescent="0.35">
      <c r="A118" t="s">
        <v>1</v>
      </c>
      <c r="B118" t="s">
        <v>10</v>
      </c>
      <c r="C118" t="s">
        <v>85</v>
      </c>
      <c r="D118">
        <v>2010</v>
      </c>
      <c r="E118" t="s">
        <v>84</v>
      </c>
      <c r="F118" t="s">
        <v>83</v>
      </c>
      <c r="G118" t="s">
        <v>162</v>
      </c>
      <c r="I118" t="s">
        <v>98</v>
      </c>
      <c r="J118" t="s">
        <v>71</v>
      </c>
      <c r="K118" t="s">
        <v>91</v>
      </c>
      <c r="M118">
        <v>25</v>
      </c>
      <c r="O118">
        <v>0.7</v>
      </c>
    </row>
    <row r="119" spans="1:15" x14ac:dyDescent="0.35">
      <c r="A119" t="s">
        <v>1</v>
      </c>
      <c r="B119" t="s">
        <v>10</v>
      </c>
      <c r="C119" t="s">
        <v>85</v>
      </c>
      <c r="D119">
        <v>2010</v>
      </c>
      <c r="E119" t="s">
        <v>84</v>
      </c>
      <c r="F119" t="s">
        <v>83</v>
      </c>
      <c r="G119" t="s">
        <v>162</v>
      </c>
      <c r="I119" t="s">
        <v>98</v>
      </c>
      <c r="J119" t="s">
        <v>71</v>
      </c>
      <c r="K119" t="s">
        <v>91</v>
      </c>
      <c r="M119">
        <v>50</v>
      </c>
      <c r="O119">
        <v>0.99</v>
      </c>
    </row>
    <row r="120" spans="1:15" x14ac:dyDescent="0.35">
      <c r="A120" t="s">
        <v>1</v>
      </c>
      <c r="B120" t="s">
        <v>10</v>
      </c>
      <c r="C120" t="s">
        <v>85</v>
      </c>
      <c r="D120">
        <v>2010</v>
      </c>
      <c r="E120" t="s">
        <v>84</v>
      </c>
      <c r="F120" t="s">
        <v>83</v>
      </c>
      <c r="G120" t="s">
        <v>162</v>
      </c>
      <c r="I120" t="s">
        <v>98</v>
      </c>
      <c r="J120" t="s">
        <v>71</v>
      </c>
      <c r="K120" t="s">
        <v>91</v>
      </c>
      <c r="M120">
        <v>75</v>
      </c>
      <c r="O120">
        <v>1.04</v>
      </c>
    </row>
    <row r="121" spans="1:15" x14ac:dyDescent="0.35">
      <c r="A121" t="s">
        <v>1</v>
      </c>
      <c r="B121" t="s">
        <v>10</v>
      </c>
      <c r="C121" t="s">
        <v>157</v>
      </c>
      <c r="D121">
        <v>2003</v>
      </c>
      <c r="E121" t="s">
        <v>151</v>
      </c>
      <c r="F121" t="s">
        <v>152</v>
      </c>
      <c r="G121" t="s">
        <v>162</v>
      </c>
      <c r="I121" t="s">
        <v>31</v>
      </c>
      <c r="J121" t="s">
        <v>32</v>
      </c>
      <c r="K121" t="s">
        <v>91</v>
      </c>
      <c r="M121">
        <v>0</v>
      </c>
      <c r="O121">
        <v>2.2599999999999998</v>
      </c>
    </row>
    <row r="122" spans="1:15" x14ac:dyDescent="0.35">
      <c r="A122" t="s">
        <v>1</v>
      </c>
      <c r="B122" t="s">
        <v>10</v>
      </c>
      <c r="C122" t="s">
        <v>157</v>
      </c>
      <c r="D122">
        <v>2003</v>
      </c>
      <c r="E122" t="s">
        <v>151</v>
      </c>
      <c r="F122" t="s">
        <v>152</v>
      </c>
      <c r="G122" t="s">
        <v>162</v>
      </c>
      <c r="I122" t="s">
        <v>31</v>
      </c>
      <c r="J122" t="s">
        <v>32</v>
      </c>
      <c r="K122" t="s">
        <v>91</v>
      </c>
      <c r="M122">
        <v>0</v>
      </c>
      <c r="O122">
        <v>2.2599999999999998</v>
      </c>
    </row>
    <row r="123" spans="1:15" x14ac:dyDescent="0.35">
      <c r="A123" t="s">
        <v>1</v>
      </c>
      <c r="B123" t="s">
        <v>10</v>
      </c>
      <c r="C123" t="s">
        <v>157</v>
      </c>
      <c r="D123">
        <v>2003</v>
      </c>
      <c r="E123" t="s">
        <v>151</v>
      </c>
      <c r="F123" t="s">
        <v>152</v>
      </c>
      <c r="G123" t="s">
        <v>162</v>
      </c>
      <c r="I123" t="s">
        <v>31</v>
      </c>
      <c r="J123" t="s">
        <v>32</v>
      </c>
      <c r="K123" t="s">
        <v>91</v>
      </c>
      <c r="M123">
        <v>0</v>
      </c>
      <c r="O123">
        <v>2.2599999999999998</v>
      </c>
    </row>
    <row r="124" spans="1:15" x14ac:dyDescent="0.35">
      <c r="A124" t="s">
        <v>1</v>
      </c>
      <c r="B124" t="s">
        <v>10</v>
      </c>
      <c r="C124" t="s">
        <v>157</v>
      </c>
      <c r="D124">
        <v>2003</v>
      </c>
      <c r="E124" t="s">
        <v>151</v>
      </c>
      <c r="F124" t="s">
        <v>152</v>
      </c>
      <c r="G124" t="s">
        <v>162</v>
      </c>
      <c r="I124" t="s">
        <v>31</v>
      </c>
      <c r="J124" t="s">
        <v>32</v>
      </c>
      <c r="K124" t="s">
        <v>91</v>
      </c>
      <c r="M124">
        <v>0</v>
      </c>
      <c r="O124">
        <v>2.2599999999999998</v>
      </c>
    </row>
    <row r="125" spans="1:15" x14ac:dyDescent="0.35">
      <c r="A125" t="s">
        <v>1</v>
      </c>
      <c r="B125" t="s">
        <v>10</v>
      </c>
      <c r="C125" t="s">
        <v>157</v>
      </c>
      <c r="D125">
        <v>2003</v>
      </c>
      <c r="E125" t="s">
        <v>151</v>
      </c>
      <c r="F125" t="s">
        <v>152</v>
      </c>
      <c r="G125" t="s">
        <v>162</v>
      </c>
      <c r="I125" t="s">
        <v>31</v>
      </c>
      <c r="J125" t="s">
        <v>32</v>
      </c>
      <c r="K125" t="s">
        <v>91</v>
      </c>
      <c r="M125">
        <v>100</v>
      </c>
      <c r="O125">
        <v>2.58</v>
      </c>
    </row>
    <row r="126" spans="1:15" x14ac:dyDescent="0.35">
      <c r="A126" t="s">
        <v>1</v>
      </c>
      <c r="B126" t="s">
        <v>10</v>
      </c>
      <c r="C126" t="s">
        <v>157</v>
      </c>
      <c r="D126">
        <v>2003</v>
      </c>
      <c r="E126" t="s">
        <v>151</v>
      </c>
      <c r="F126" t="s">
        <v>152</v>
      </c>
      <c r="G126" t="s">
        <v>162</v>
      </c>
      <c r="I126" t="s">
        <v>31</v>
      </c>
      <c r="J126" t="s">
        <v>32</v>
      </c>
      <c r="K126" t="s">
        <v>91</v>
      </c>
      <c r="M126">
        <v>100</v>
      </c>
      <c r="O126">
        <v>3.52</v>
      </c>
    </row>
    <row r="127" spans="1:15" x14ac:dyDescent="0.35">
      <c r="A127" t="s">
        <v>1</v>
      </c>
      <c r="B127" t="s">
        <v>10</v>
      </c>
      <c r="C127" t="s">
        <v>157</v>
      </c>
      <c r="D127">
        <v>2003</v>
      </c>
      <c r="E127" t="s">
        <v>151</v>
      </c>
      <c r="F127" t="s">
        <v>152</v>
      </c>
      <c r="G127" t="s">
        <v>162</v>
      </c>
      <c r="I127" t="s">
        <v>31</v>
      </c>
      <c r="J127" t="s">
        <v>32</v>
      </c>
      <c r="K127" t="s">
        <v>91</v>
      </c>
      <c r="M127">
        <v>100</v>
      </c>
      <c r="O127">
        <v>2.2400000000000002</v>
      </c>
    </row>
    <row r="128" spans="1:15" x14ac:dyDescent="0.35">
      <c r="A128" t="s">
        <v>1</v>
      </c>
      <c r="B128" t="s">
        <v>10</v>
      </c>
      <c r="C128" t="s">
        <v>157</v>
      </c>
      <c r="D128">
        <v>2003</v>
      </c>
      <c r="E128" t="s">
        <v>151</v>
      </c>
      <c r="F128" t="s">
        <v>152</v>
      </c>
      <c r="G128" t="s">
        <v>162</v>
      </c>
      <c r="I128" t="s">
        <v>31</v>
      </c>
      <c r="J128" t="s">
        <v>32</v>
      </c>
      <c r="K128" t="s">
        <v>91</v>
      </c>
      <c r="M128">
        <v>100</v>
      </c>
      <c r="O128">
        <v>2.65</v>
      </c>
    </row>
    <row r="129" spans="1:15" x14ac:dyDescent="0.35">
      <c r="A129" t="s">
        <v>1</v>
      </c>
      <c r="B129" t="s">
        <v>10</v>
      </c>
      <c r="C129" t="s">
        <v>80</v>
      </c>
      <c r="D129">
        <v>2016</v>
      </c>
      <c r="E129" t="s">
        <v>17</v>
      </c>
      <c r="F129" t="s">
        <v>4</v>
      </c>
      <c r="G129" t="s">
        <v>162</v>
      </c>
      <c r="I129" t="s">
        <v>310</v>
      </c>
      <c r="J129" t="s">
        <v>78</v>
      </c>
      <c r="K129" t="s">
        <v>96</v>
      </c>
      <c r="M129">
        <v>0</v>
      </c>
      <c r="O129">
        <v>0.9</v>
      </c>
    </row>
    <row r="130" spans="1:15" x14ac:dyDescent="0.35">
      <c r="A130" t="s">
        <v>1</v>
      </c>
      <c r="B130" t="s">
        <v>10</v>
      </c>
      <c r="C130" t="s">
        <v>80</v>
      </c>
      <c r="D130">
        <v>2016</v>
      </c>
      <c r="E130" t="s">
        <v>17</v>
      </c>
      <c r="F130" t="s">
        <v>4</v>
      </c>
      <c r="G130" t="s">
        <v>162</v>
      </c>
      <c r="I130" t="s">
        <v>310</v>
      </c>
      <c r="J130" t="s">
        <v>78</v>
      </c>
      <c r="K130" t="s">
        <v>96</v>
      </c>
      <c r="M130">
        <v>35</v>
      </c>
      <c r="O130">
        <v>0.91</v>
      </c>
    </row>
    <row r="131" spans="1:15" x14ac:dyDescent="0.35">
      <c r="A131" t="s">
        <v>1</v>
      </c>
      <c r="B131" t="s">
        <v>10</v>
      </c>
      <c r="C131" t="s">
        <v>80</v>
      </c>
      <c r="D131">
        <v>2016</v>
      </c>
      <c r="E131" t="s">
        <v>17</v>
      </c>
      <c r="F131" t="s">
        <v>4</v>
      </c>
      <c r="G131" t="s">
        <v>162</v>
      </c>
      <c r="I131" t="s">
        <v>310</v>
      </c>
      <c r="J131" t="s">
        <v>78</v>
      </c>
      <c r="K131" t="s">
        <v>96</v>
      </c>
      <c r="M131">
        <v>70</v>
      </c>
      <c r="O131">
        <v>0.99</v>
      </c>
    </row>
    <row r="132" spans="1:15" x14ac:dyDescent="0.35">
      <c r="A132" t="s">
        <v>1</v>
      </c>
      <c r="B132" t="s">
        <v>10</v>
      </c>
      <c r="C132" t="s">
        <v>104</v>
      </c>
      <c r="D132">
        <v>2012</v>
      </c>
      <c r="E132" t="s">
        <v>100</v>
      </c>
      <c r="F132" t="s">
        <v>99</v>
      </c>
      <c r="G132" t="s">
        <v>162</v>
      </c>
      <c r="I132" t="s">
        <v>101</v>
      </c>
      <c r="J132" t="s">
        <v>103</v>
      </c>
      <c r="K132" t="s">
        <v>102</v>
      </c>
      <c r="M132">
        <v>0</v>
      </c>
      <c r="O132">
        <v>1.47</v>
      </c>
    </row>
    <row r="133" spans="1:15" x14ac:dyDescent="0.35">
      <c r="A133" t="s">
        <v>1</v>
      </c>
      <c r="B133" t="s">
        <v>10</v>
      </c>
      <c r="C133" t="s">
        <v>104</v>
      </c>
      <c r="D133">
        <v>2012</v>
      </c>
      <c r="E133" t="s">
        <v>100</v>
      </c>
      <c r="F133" t="s">
        <v>99</v>
      </c>
      <c r="G133" t="s">
        <v>162</v>
      </c>
      <c r="I133" t="s">
        <v>101</v>
      </c>
      <c r="J133" t="s">
        <v>103</v>
      </c>
      <c r="K133" t="s">
        <v>102</v>
      </c>
      <c r="M133">
        <v>25</v>
      </c>
      <c r="O133">
        <v>1.25</v>
      </c>
    </row>
    <row r="134" spans="1:15" x14ac:dyDescent="0.35">
      <c r="A134" t="s">
        <v>1</v>
      </c>
      <c r="B134" t="s">
        <v>10</v>
      </c>
      <c r="C134" t="s">
        <v>104</v>
      </c>
      <c r="D134">
        <v>2012</v>
      </c>
      <c r="E134" t="s">
        <v>100</v>
      </c>
      <c r="F134" t="s">
        <v>99</v>
      </c>
      <c r="G134" t="s">
        <v>162</v>
      </c>
      <c r="I134" t="s">
        <v>101</v>
      </c>
      <c r="J134" t="s">
        <v>103</v>
      </c>
      <c r="K134" t="s">
        <v>102</v>
      </c>
      <c r="M134">
        <v>50</v>
      </c>
      <c r="O134">
        <v>1.36</v>
      </c>
    </row>
    <row r="135" spans="1:15" x14ac:dyDescent="0.35">
      <c r="A135" t="s">
        <v>1</v>
      </c>
      <c r="B135" t="s">
        <v>10</v>
      </c>
      <c r="C135" t="s">
        <v>104</v>
      </c>
      <c r="D135">
        <v>2012</v>
      </c>
      <c r="E135" t="s">
        <v>100</v>
      </c>
      <c r="F135" t="s">
        <v>99</v>
      </c>
      <c r="G135" t="s">
        <v>162</v>
      </c>
      <c r="I135" t="s">
        <v>101</v>
      </c>
      <c r="J135" t="s">
        <v>103</v>
      </c>
      <c r="K135" t="s">
        <v>102</v>
      </c>
      <c r="M135">
        <v>75</v>
      </c>
      <c r="O135">
        <v>1.42</v>
      </c>
    </row>
    <row r="136" spans="1:15" x14ac:dyDescent="0.35">
      <c r="A136" t="s">
        <v>1</v>
      </c>
      <c r="B136" t="s">
        <v>10</v>
      </c>
      <c r="C136" t="s">
        <v>104</v>
      </c>
      <c r="D136">
        <v>2012</v>
      </c>
      <c r="E136" t="s">
        <v>100</v>
      </c>
      <c r="F136" t="s">
        <v>99</v>
      </c>
      <c r="G136" t="s">
        <v>162</v>
      </c>
      <c r="I136" t="s">
        <v>101</v>
      </c>
      <c r="J136" t="s">
        <v>103</v>
      </c>
      <c r="K136" t="s">
        <v>102</v>
      </c>
      <c r="M136">
        <v>100</v>
      </c>
      <c r="O136">
        <v>1.5</v>
      </c>
    </row>
    <row r="137" spans="1:15" x14ac:dyDescent="0.35">
      <c r="A137" t="s">
        <v>1</v>
      </c>
      <c r="B137" t="s">
        <v>10</v>
      </c>
      <c r="C137" t="s">
        <v>117</v>
      </c>
      <c r="D137">
        <v>2013</v>
      </c>
      <c r="E137" t="s">
        <v>113</v>
      </c>
      <c r="F137" t="s">
        <v>108</v>
      </c>
      <c r="G137" t="s">
        <v>162</v>
      </c>
      <c r="I137" t="s">
        <v>106</v>
      </c>
      <c r="J137" t="s">
        <v>116</v>
      </c>
      <c r="K137" t="s">
        <v>115</v>
      </c>
      <c r="M137">
        <v>0</v>
      </c>
      <c r="O137">
        <v>1.41</v>
      </c>
    </row>
    <row r="138" spans="1:15" x14ac:dyDescent="0.35">
      <c r="A138" t="s">
        <v>1</v>
      </c>
      <c r="B138" t="s">
        <v>10</v>
      </c>
      <c r="C138" t="s">
        <v>117</v>
      </c>
      <c r="D138">
        <v>2013</v>
      </c>
      <c r="E138" t="s">
        <v>113</v>
      </c>
      <c r="F138" t="s">
        <v>108</v>
      </c>
      <c r="G138" t="s">
        <v>162</v>
      </c>
      <c r="I138" t="s">
        <v>106</v>
      </c>
      <c r="J138" t="s">
        <v>116</v>
      </c>
      <c r="K138" t="s">
        <v>115</v>
      </c>
      <c r="M138">
        <v>50</v>
      </c>
      <c r="O138">
        <v>1.36</v>
      </c>
    </row>
    <row r="139" spans="1:15" x14ac:dyDescent="0.35">
      <c r="A139" t="s">
        <v>1</v>
      </c>
      <c r="B139" t="s">
        <v>10</v>
      </c>
      <c r="C139" t="s">
        <v>117</v>
      </c>
      <c r="D139">
        <v>2013</v>
      </c>
      <c r="E139" t="s">
        <v>113</v>
      </c>
      <c r="F139" t="s">
        <v>108</v>
      </c>
      <c r="G139" t="s">
        <v>162</v>
      </c>
      <c r="I139" t="s">
        <v>106</v>
      </c>
      <c r="J139" t="s">
        <v>116</v>
      </c>
      <c r="K139" t="s">
        <v>115</v>
      </c>
      <c r="M139">
        <v>60</v>
      </c>
      <c r="O139">
        <v>1.35</v>
      </c>
    </row>
    <row r="140" spans="1:15" x14ac:dyDescent="0.35">
      <c r="A140" t="s">
        <v>1</v>
      </c>
      <c r="B140" t="s">
        <v>10</v>
      </c>
      <c r="C140" t="s">
        <v>117</v>
      </c>
      <c r="D140">
        <v>2013</v>
      </c>
      <c r="E140" t="s">
        <v>113</v>
      </c>
      <c r="F140" t="s">
        <v>108</v>
      </c>
      <c r="G140" t="s">
        <v>162</v>
      </c>
      <c r="I140" t="s">
        <v>106</v>
      </c>
      <c r="J140" t="s">
        <v>116</v>
      </c>
      <c r="K140" t="s">
        <v>115</v>
      </c>
      <c r="M140">
        <v>70</v>
      </c>
      <c r="O140">
        <v>1.44</v>
      </c>
    </row>
    <row r="141" spans="1:15" x14ac:dyDescent="0.35">
      <c r="A141" t="s">
        <v>1</v>
      </c>
      <c r="B141" t="s">
        <v>10</v>
      </c>
      <c r="C141" t="s">
        <v>117</v>
      </c>
      <c r="D141">
        <v>2013</v>
      </c>
      <c r="E141" t="s">
        <v>113</v>
      </c>
      <c r="F141" t="s">
        <v>108</v>
      </c>
      <c r="G141" t="s">
        <v>162</v>
      </c>
      <c r="I141" t="s">
        <v>106</v>
      </c>
      <c r="J141" t="s">
        <v>116</v>
      </c>
      <c r="K141" t="s">
        <v>115</v>
      </c>
      <c r="M141">
        <v>80</v>
      </c>
      <c r="O141">
        <v>1.46</v>
      </c>
    </row>
    <row r="142" spans="1:15" x14ac:dyDescent="0.35">
      <c r="A142" t="s">
        <v>1</v>
      </c>
      <c r="B142" t="s">
        <v>10</v>
      </c>
      <c r="C142" t="s">
        <v>155</v>
      </c>
      <c r="D142">
        <v>2013</v>
      </c>
      <c r="E142" t="s">
        <v>29</v>
      </c>
      <c r="F142" t="s">
        <v>137</v>
      </c>
      <c r="G142" t="s">
        <v>162</v>
      </c>
      <c r="I142" t="s">
        <v>310</v>
      </c>
      <c r="J142" t="s">
        <v>149</v>
      </c>
      <c r="K142" t="s">
        <v>148</v>
      </c>
      <c r="M142">
        <v>0</v>
      </c>
      <c r="O142">
        <v>0.41666666699999999</v>
      </c>
    </row>
    <row r="143" spans="1:15" x14ac:dyDescent="0.35">
      <c r="A143" t="s">
        <v>1</v>
      </c>
      <c r="B143" t="s">
        <v>10</v>
      </c>
      <c r="C143" t="s">
        <v>155</v>
      </c>
      <c r="D143">
        <v>2013</v>
      </c>
      <c r="E143" t="s">
        <v>29</v>
      </c>
      <c r="F143" t="s">
        <v>137</v>
      </c>
      <c r="G143" t="s">
        <v>162</v>
      </c>
      <c r="I143" t="s">
        <v>310</v>
      </c>
      <c r="J143" t="s">
        <v>149</v>
      </c>
      <c r="K143" t="s">
        <v>148</v>
      </c>
      <c r="M143">
        <v>15</v>
      </c>
      <c r="O143">
        <v>0.41666666699999999</v>
      </c>
    </row>
    <row r="144" spans="1:15" x14ac:dyDescent="0.35">
      <c r="A144" t="s">
        <v>1</v>
      </c>
      <c r="B144" t="s">
        <v>10</v>
      </c>
      <c r="C144" t="s">
        <v>155</v>
      </c>
      <c r="D144">
        <v>2013</v>
      </c>
      <c r="E144" t="s">
        <v>29</v>
      </c>
      <c r="F144" t="s">
        <v>137</v>
      </c>
      <c r="G144" t="s">
        <v>162</v>
      </c>
      <c r="I144" t="s">
        <v>310</v>
      </c>
      <c r="J144" t="s">
        <v>149</v>
      </c>
      <c r="K144" t="s">
        <v>148</v>
      </c>
      <c r="M144">
        <v>30</v>
      </c>
      <c r="O144">
        <v>0.43478260899999999</v>
      </c>
    </row>
    <row r="145" spans="1:15" x14ac:dyDescent="0.35">
      <c r="A145" t="s">
        <v>1</v>
      </c>
      <c r="B145" t="s">
        <v>10</v>
      </c>
      <c r="C145" t="s">
        <v>155</v>
      </c>
      <c r="D145">
        <v>2013</v>
      </c>
      <c r="E145" t="s">
        <v>29</v>
      </c>
      <c r="F145" t="s">
        <v>137</v>
      </c>
      <c r="G145" t="s">
        <v>162</v>
      </c>
      <c r="I145" t="s">
        <v>310</v>
      </c>
      <c r="J145" t="s">
        <v>149</v>
      </c>
      <c r="K145" t="s">
        <v>148</v>
      </c>
      <c r="M145">
        <v>50</v>
      </c>
      <c r="O145">
        <v>0.45454545499999999</v>
      </c>
    </row>
    <row r="146" spans="1:15" x14ac:dyDescent="0.35">
      <c r="A146" t="s">
        <v>1</v>
      </c>
      <c r="B146" t="s">
        <v>10</v>
      </c>
      <c r="C146" t="s">
        <v>155</v>
      </c>
      <c r="D146">
        <v>2013</v>
      </c>
      <c r="E146" t="s">
        <v>29</v>
      </c>
      <c r="F146" t="s">
        <v>137</v>
      </c>
      <c r="G146" t="s">
        <v>162</v>
      </c>
      <c r="I146" t="s">
        <v>310</v>
      </c>
      <c r="J146" t="s">
        <v>149</v>
      </c>
      <c r="K146" t="s">
        <v>148</v>
      </c>
      <c r="M146">
        <v>65</v>
      </c>
      <c r="O146">
        <v>0.52631578899999998</v>
      </c>
    </row>
    <row r="147" spans="1:15" x14ac:dyDescent="0.35">
      <c r="A147" t="s">
        <v>1</v>
      </c>
      <c r="B147" t="s">
        <v>10</v>
      </c>
      <c r="C147" t="s">
        <v>155</v>
      </c>
      <c r="D147">
        <v>2013</v>
      </c>
      <c r="E147" t="s">
        <v>29</v>
      </c>
      <c r="F147" t="s">
        <v>137</v>
      </c>
      <c r="G147" t="s">
        <v>162</v>
      </c>
      <c r="I147" t="s">
        <v>310</v>
      </c>
      <c r="J147" t="s">
        <v>149</v>
      </c>
      <c r="K147" t="s">
        <v>148</v>
      </c>
      <c r="M147">
        <v>75</v>
      </c>
      <c r="O147">
        <v>0.625</v>
      </c>
    </row>
    <row r="148" spans="1:15" x14ac:dyDescent="0.35">
      <c r="A148" t="s">
        <v>1</v>
      </c>
      <c r="B148" t="s">
        <v>10</v>
      </c>
      <c r="C148" t="s">
        <v>123</v>
      </c>
      <c r="D148">
        <v>2012</v>
      </c>
      <c r="E148" t="s">
        <v>113</v>
      </c>
      <c r="F148" t="s">
        <v>108</v>
      </c>
      <c r="G148" t="s">
        <v>162</v>
      </c>
      <c r="I148" t="s">
        <v>310</v>
      </c>
      <c r="J148" t="s">
        <v>125</v>
      </c>
      <c r="K148" t="s">
        <v>124</v>
      </c>
      <c r="M148">
        <v>0</v>
      </c>
      <c r="O148">
        <v>0.92592592600000001</v>
      </c>
    </row>
    <row r="149" spans="1:15" x14ac:dyDescent="0.35">
      <c r="A149" t="s">
        <v>1</v>
      </c>
      <c r="B149" t="s">
        <v>10</v>
      </c>
      <c r="C149" t="s">
        <v>123</v>
      </c>
      <c r="D149">
        <v>2012</v>
      </c>
      <c r="E149" t="s">
        <v>113</v>
      </c>
      <c r="F149" t="s">
        <v>108</v>
      </c>
      <c r="G149" t="s">
        <v>162</v>
      </c>
      <c r="I149" t="s">
        <v>310</v>
      </c>
      <c r="J149" t="s">
        <v>125</v>
      </c>
      <c r="K149" t="s">
        <v>124</v>
      </c>
      <c r="M149">
        <v>10</v>
      </c>
      <c r="O149">
        <v>0.89285714299999996</v>
      </c>
    </row>
    <row r="150" spans="1:15" x14ac:dyDescent="0.35">
      <c r="A150" t="s">
        <v>1</v>
      </c>
      <c r="B150" t="s">
        <v>10</v>
      </c>
      <c r="C150" t="s">
        <v>123</v>
      </c>
      <c r="D150">
        <v>2012</v>
      </c>
      <c r="E150" t="s">
        <v>113</v>
      </c>
      <c r="F150" t="s">
        <v>108</v>
      </c>
      <c r="G150" t="s">
        <v>162</v>
      </c>
      <c r="I150" t="s">
        <v>310</v>
      </c>
      <c r="J150" t="s">
        <v>125</v>
      </c>
      <c r="K150" t="s">
        <v>124</v>
      </c>
      <c r="M150">
        <v>20</v>
      </c>
      <c r="O150">
        <v>0.92592592600000001</v>
      </c>
    </row>
    <row r="151" spans="1:15" x14ac:dyDescent="0.35">
      <c r="A151" t="s">
        <v>1</v>
      </c>
      <c r="B151" t="s">
        <v>10</v>
      </c>
      <c r="C151" t="s">
        <v>143</v>
      </c>
      <c r="D151">
        <v>2016</v>
      </c>
      <c r="E151" t="s">
        <v>29</v>
      </c>
      <c r="F151" t="s">
        <v>137</v>
      </c>
      <c r="G151" t="s">
        <v>162</v>
      </c>
      <c r="I151" t="s">
        <v>97</v>
      </c>
      <c r="J151" t="s">
        <v>144</v>
      </c>
      <c r="K151" t="s">
        <v>145</v>
      </c>
      <c r="M151">
        <v>0</v>
      </c>
      <c r="O151">
        <v>1.25</v>
      </c>
    </row>
    <row r="152" spans="1:15" x14ac:dyDescent="0.35">
      <c r="A152" t="s">
        <v>1</v>
      </c>
      <c r="B152" t="s">
        <v>10</v>
      </c>
      <c r="C152" t="s">
        <v>143</v>
      </c>
      <c r="D152">
        <v>2016</v>
      </c>
      <c r="E152" t="s">
        <v>29</v>
      </c>
      <c r="F152" t="s">
        <v>137</v>
      </c>
      <c r="G152" t="s">
        <v>162</v>
      </c>
      <c r="I152" t="s">
        <v>97</v>
      </c>
      <c r="J152" t="s">
        <v>144</v>
      </c>
      <c r="K152" t="s">
        <v>145</v>
      </c>
      <c r="M152">
        <v>25</v>
      </c>
      <c r="O152">
        <v>1.24</v>
      </c>
    </row>
    <row r="153" spans="1:15" x14ac:dyDescent="0.35">
      <c r="A153" t="s">
        <v>1</v>
      </c>
      <c r="B153" t="s">
        <v>10</v>
      </c>
      <c r="C153" t="s">
        <v>143</v>
      </c>
      <c r="D153">
        <v>2016</v>
      </c>
      <c r="E153" t="s">
        <v>29</v>
      </c>
      <c r="F153" t="s">
        <v>137</v>
      </c>
      <c r="G153" t="s">
        <v>162</v>
      </c>
      <c r="I153" t="s">
        <v>97</v>
      </c>
      <c r="J153" t="s">
        <v>144</v>
      </c>
      <c r="K153" t="s">
        <v>145</v>
      </c>
      <c r="M153">
        <v>50</v>
      </c>
      <c r="O153">
        <v>1.1599999999999999</v>
      </c>
    </row>
    <row r="154" spans="1:15" x14ac:dyDescent="0.35">
      <c r="A154" t="s">
        <v>1</v>
      </c>
      <c r="B154" t="s">
        <v>10</v>
      </c>
      <c r="C154" t="s">
        <v>143</v>
      </c>
      <c r="D154">
        <v>2016</v>
      </c>
      <c r="E154" t="s">
        <v>29</v>
      </c>
      <c r="F154" t="s">
        <v>137</v>
      </c>
      <c r="G154" t="s">
        <v>162</v>
      </c>
      <c r="I154" t="s">
        <v>97</v>
      </c>
      <c r="J154" t="s">
        <v>144</v>
      </c>
      <c r="K154" t="s">
        <v>145</v>
      </c>
      <c r="M154">
        <v>100</v>
      </c>
      <c r="O154">
        <v>1.1399999999999999</v>
      </c>
    </row>
    <row r="155" spans="1:15" x14ac:dyDescent="0.35">
      <c r="A155" t="s">
        <v>1</v>
      </c>
      <c r="B155" t="s">
        <v>10</v>
      </c>
      <c r="C155" t="s">
        <v>146</v>
      </c>
      <c r="D155">
        <v>2017</v>
      </c>
      <c r="E155" t="s">
        <v>29</v>
      </c>
      <c r="F155" t="s">
        <v>137</v>
      </c>
      <c r="G155" t="s">
        <v>162</v>
      </c>
      <c r="I155" t="s">
        <v>97</v>
      </c>
      <c r="J155" t="s">
        <v>144</v>
      </c>
      <c r="K155" t="s">
        <v>145</v>
      </c>
      <c r="M155">
        <v>0</v>
      </c>
      <c r="O155">
        <v>1.25</v>
      </c>
    </row>
    <row r="156" spans="1:15" x14ac:dyDescent="0.35">
      <c r="A156" t="s">
        <v>1</v>
      </c>
      <c r="B156" t="s">
        <v>10</v>
      </c>
      <c r="C156" t="s">
        <v>146</v>
      </c>
      <c r="D156">
        <v>2017</v>
      </c>
      <c r="E156" t="s">
        <v>29</v>
      </c>
      <c r="F156" t="s">
        <v>137</v>
      </c>
      <c r="G156" t="s">
        <v>162</v>
      </c>
      <c r="I156" t="s">
        <v>97</v>
      </c>
      <c r="J156" t="s">
        <v>144</v>
      </c>
      <c r="K156" t="s">
        <v>145</v>
      </c>
      <c r="M156">
        <v>25</v>
      </c>
      <c r="O156">
        <v>0.98</v>
      </c>
    </row>
    <row r="157" spans="1:15" x14ac:dyDescent="0.35">
      <c r="A157" t="s">
        <v>1</v>
      </c>
      <c r="B157" t="s">
        <v>10</v>
      </c>
      <c r="C157" t="s">
        <v>146</v>
      </c>
      <c r="D157">
        <v>2017</v>
      </c>
      <c r="E157" t="s">
        <v>29</v>
      </c>
      <c r="F157" t="s">
        <v>137</v>
      </c>
      <c r="G157" t="s">
        <v>162</v>
      </c>
      <c r="I157" t="s">
        <v>97</v>
      </c>
      <c r="J157" t="s">
        <v>144</v>
      </c>
      <c r="K157" t="s">
        <v>145</v>
      </c>
      <c r="M157">
        <v>100</v>
      </c>
      <c r="O157">
        <v>1.45</v>
      </c>
    </row>
    <row r="158" spans="1:15" x14ac:dyDescent="0.35">
      <c r="A158" t="s">
        <v>1</v>
      </c>
      <c r="B158" t="s">
        <v>10</v>
      </c>
      <c r="C158" t="s">
        <v>147</v>
      </c>
      <c r="D158">
        <v>2018</v>
      </c>
      <c r="E158" t="s">
        <v>29</v>
      </c>
      <c r="F158" t="s">
        <v>137</v>
      </c>
      <c r="G158" t="s">
        <v>162</v>
      </c>
      <c r="I158" t="s">
        <v>310</v>
      </c>
      <c r="J158" t="s">
        <v>149</v>
      </c>
      <c r="K158" t="s">
        <v>148</v>
      </c>
      <c r="M158">
        <v>0</v>
      </c>
      <c r="O158">
        <v>0.76</v>
      </c>
    </row>
    <row r="159" spans="1:15" x14ac:dyDescent="0.35">
      <c r="A159" t="s">
        <v>1</v>
      </c>
      <c r="B159" t="s">
        <v>10</v>
      </c>
      <c r="C159" t="s">
        <v>147</v>
      </c>
      <c r="D159">
        <v>2018</v>
      </c>
      <c r="E159" t="s">
        <v>29</v>
      </c>
      <c r="F159" t="s">
        <v>137</v>
      </c>
      <c r="G159" t="s">
        <v>162</v>
      </c>
      <c r="I159" t="s">
        <v>310</v>
      </c>
      <c r="J159" t="s">
        <v>149</v>
      </c>
      <c r="K159" t="s">
        <v>148</v>
      </c>
      <c r="M159">
        <v>20</v>
      </c>
      <c r="O159">
        <v>0.76</v>
      </c>
    </row>
    <row r="160" spans="1:15" x14ac:dyDescent="0.35">
      <c r="A160" t="s">
        <v>1</v>
      </c>
      <c r="B160" t="s">
        <v>10</v>
      </c>
      <c r="C160" t="s">
        <v>147</v>
      </c>
      <c r="D160">
        <v>2018</v>
      </c>
      <c r="E160" t="s">
        <v>29</v>
      </c>
      <c r="F160" t="s">
        <v>137</v>
      </c>
      <c r="G160" t="s">
        <v>162</v>
      </c>
      <c r="I160" t="s">
        <v>310</v>
      </c>
      <c r="J160" t="s">
        <v>149</v>
      </c>
      <c r="K160" t="s">
        <v>148</v>
      </c>
      <c r="M160">
        <v>35</v>
      </c>
      <c r="O160">
        <v>0.82</v>
      </c>
    </row>
    <row r="161" spans="1:15" x14ac:dyDescent="0.35">
      <c r="A161" t="s">
        <v>1</v>
      </c>
      <c r="B161" t="s">
        <v>10</v>
      </c>
      <c r="C161" t="s">
        <v>147</v>
      </c>
      <c r="D161">
        <v>2018</v>
      </c>
      <c r="E161" t="s">
        <v>29</v>
      </c>
      <c r="F161" t="s">
        <v>137</v>
      </c>
      <c r="G161" t="s">
        <v>162</v>
      </c>
      <c r="I161" t="s">
        <v>310</v>
      </c>
      <c r="J161" t="s">
        <v>149</v>
      </c>
      <c r="K161" t="s">
        <v>148</v>
      </c>
      <c r="M161">
        <v>50</v>
      </c>
      <c r="O161">
        <v>0.86</v>
      </c>
    </row>
    <row r="162" spans="1:15" x14ac:dyDescent="0.35">
      <c r="A162" t="s">
        <v>1</v>
      </c>
      <c r="B162" t="s">
        <v>10</v>
      </c>
      <c r="C162" t="s">
        <v>147</v>
      </c>
      <c r="D162">
        <v>2018</v>
      </c>
      <c r="E162" t="s">
        <v>29</v>
      </c>
      <c r="F162" t="s">
        <v>137</v>
      </c>
      <c r="G162" t="s">
        <v>162</v>
      </c>
      <c r="I162" t="s">
        <v>310</v>
      </c>
      <c r="J162" t="s">
        <v>149</v>
      </c>
      <c r="K162" t="s">
        <v>148</v>
      </c>
      <c r="M162">
        <v>70</v>
      </c>
      <c r="O162">
        <v>0.98</v>
      </c>
    </row>
    <row r="163" spans="1:15" x14ac:dyDescent="0.35">
      <c r="A163" t="s">
        <v>1</v>
      </c>
      <c r="B163" t="s">
        <v>10</v>
      </c>
      <c r="C163" t="s">
        <v>147</v>
      </c>
      <c r="D163">
        <v>2018</v>
      </c>
      <c r="E163" t="s">
        <v>29</v>
      </c>
      <c r="F163" t="s">
        <v>137</v>
      </c>
      <c r="G163" t="s">
        <v>162</v>
      </c>
      <c r="I163" t="s">
        <v>310</v>
      </c>
      <c r="J163" t="s">
        <v>149</v>
      </c>
      <c r="K163" t="s">
        <v>148</v>
      </c>
      <c r="M163">
        <v>80</v>
      </c>
      <c r="O163">
        <v>1.21</v>
      </c>
    </row>
    <row r="164" spans="1:15" x14ac:dyDescent="0.35">
      <c r="A164" t="s">
        <v>1</v>
      </c>
      <c r="B164" t="s">
        <v>10</v>
      </c>
      <c r="C164" t="s">
        <v>112</v>
      </c>
      <c r="D164">
        <v>1990</v>
      </c>
      <c r="E164" t="s">
        <v>113</v>
      </c>
      <c r="F164" t="s">
        <v>108</v>
      </c>
      <c r="G164" t="s">
        <v>162</v>
      </c>
      <c r="I164" t="s">
        <v>106</v>
      </c>
      <c r="J164" t="s">
        <v>114</v>
      </c>
      <c r="K164" t="s">
        <v>115</v>
      </c>
      <c r="M164">
        <v>0</v>
      </c>
      <c r="O164">
        <v>3.31</v>
      </c>
    </row>
    <row r="165" spans="1:15" x14ac:dyDescent="0.35">
      <c r="A165" t="s">
        <v>1</v>
      </c>
      <c r="B165" t="s">
        <v>10</v>
      </c>
      <c r="C165" t="s">
        <v>112</v>
      </c>
      <c r="D165">
        <v>1990</v>
      </c>
      <c r="E165" t="s">
        <v>113</v>
      </c>
      <c r="F165" t="s">
        <v>108</v>
      </c>
      <c r="G165" t="s">
        <v>162</v>
      </c>
      <c r="I165" t="s">
        <v>106</v>
      </c>
      <c r="J165" t="s">
        <v>114</v>
      </c>
      <c r="K165" t="s">
        <v>115</v>
      </c>
      <c r="M165">
        <v>50</v>
      </c>
      <c r="O165">
        <v>3.19</v>
      </c>
    </row>
    <row r="166" spans="1:15" x14ac:dyDescent="0.35">
      <c r="A166" t="s">
        <v>1</v>
      </c>
      <c r="B166" t="s">
        <v>10</v>
      </c>
      <c r="C166" t="s">
        <v>112</v>
      </c>
      <c r="D166">
        <v>1990</v>
      </c>
      <c r="E166" t="s">
        <v>113</v>
      </c>
      <c r="F166" t="s">
        <v>108</v>
      </c>
      <c r="G166" t="s">
        <v>162</v>
      </c>
      <c r="I166" t="s">
        <v>106</v>
      </c>
      <c r="J166" t="s">
        <v>114</v>
      </c>
      <c r="K166" t="s">
        <v>115</v>
      </c>
      <c r="M166">
        <v>100</v>
      </c>
      <c r="O166">
        <v>3.38</v>
      </c>
    </row>
    <row r="167" spans="1:15" x14ac:dyDescent="0.35">
      <c r="A167" t="s">
        <v>1</v>
      </c>
      <c r="B167" t="s">
        <v>10</v>
      </c>
      <c r="C167" t="s">
        <v>135</v>
      </c>
      <c r="D167">
        <v>2005</v>
      </c>
      <c r="E167" t="s">
        <v>136</v>
      </c>
      <c r="F167" t="s">
        <v>137</v>
      </c>
      <c r="G167" t="s">
        <v>162</v>
      </c>
      <c r="I167" t="s">
        <v>31</v>
      </c>
      <c r="J167" t="s">
        <v>134</v>
      </c>
      <c r="K167" t="s">
        <v>133</v>
      </c>
      <c r="M167">
        <v>0</v>
      </c>
      <c r="O167">
        <v>0.675675676</v>
      </c>
    </row>
    <row r="168" spans="1:15" x14ac:dyDescent="0.35">
      <c r="A168" t="s">
        <v>1</v>
      </c>
      <c r="B168" t="s">
        <v>10</v>
      </c>
      <c r="C168" t="s">
        <v>135</v>
      </c>
      <c r="D168">
        <v>2005</v>
      </c>
      <c r="E168" t="s">
        <v>136</v>
      </c>
      <c r="F168" t="s">
        <v>137</v>
      </c>
      <c r="G168" t="s">
        <v>162</v>
      </c>
      <c r="I168" t="s">
        <v>31</v>
      </c>
      <c r="J168" t="s">
        <v>134</v>
      </c>
      <c r="K168" t="s">
        <v>133</v>
      </c>
      <c r="M168">
        <v>100</v>
      </c>
      <c r="O168">
        <v>0.59523809500000002</v>
      </c>
    </row>
    <row r="169" spans="1:15" x14ac:dyDescent="0.35">
      <c r="A169" t="s">
        <v>1</v>
      </c>
      <c r="B169" t="s">
        <v>10</v>
      </c>
      <c r="C169" t="s">
        <v>34</v>
      </c>
      <c r="D169">
        <v>2001</v>
      </c>
      <c r="E169" t="s">
        <v>17</v>
      </c>
      <c r="F169" t="s">
        <v>4</v>
      </c>
      <c r="G169" t="s">
        <v>162</v>
      </c>
      <c r="I169" t="s">
        <v>31</v>
      </c>
      <c r="J169" t="s">
        <v>32</v>
      </c>
      <c r="K169" t="s">
        <v>91</v>
      </c>
      <c r="M169">
        <v>0</v>
      </c>
      <c r="O169">
        <v>0.76</v>
      </c>
    </row>
    <row r="170" spans="1:15" x14ac:dyDescent="0.35">
      <c r="A170" t="s">
        <v>1</v>
      </c>
      <c r="B170" t="s">
        <v>10</v>
      </c>
      <c r="C170" t="s">
        <v>34</v>
      </c>
      <c r="D170">
        <v>2001</v>
      </c>
      <c r="E170" t="s">
        <v>17</v>
      </c>
      <c r="F170" t="s">
        <v>4</v>
      </c>
      <c r="G170" t="s">
        <v>162</v>
      </c>
      <c r="I170" t="s">
        <v>31</v>
      </c>
      <c r="J170" t="s">
        <v>32</v>
      </c>
      <c r="K170" t="s">
        <v>91</v>
      </c>
      <c r="M170">
        <v>20</v>
      </c>
      <c r="O170">
        <v>0.75187969899999996</v>
      </c>
    </row>
    <row r="171" spans="1:15" x14ac:dyDescent="0.35">
      <c r="A171" t="s">
        <v>1</v>
      </c>
      <c r="B171" t="s">
        <v>10</v>
      </c>
      <c r="C171" t="s">
        <v>34</v>
      </c>
      <c r="D171">
        <v>2001</v>
      </c>
      <c r="E171" t="s">
        <v>17</v>
      </c>
      <c r="F171" t="s">
        <v>4</v>
      </c>
      <c r="G171" t="s">
        <v>162</v>
      </c>
      <c r="I171" t="s">
        <v>31</v>
      </c>
      <c r="J171" t="s">
        <v>32</v>
      </c>
      <c r="K171" t="s">
        <v>91</v>
      </c>
      <c r="M171">
        <v>40</v>
      </c>
      <c r="O171">
        <v>0.84033613399999996</v>
      </c>
    </row>
    <row r="172" spans="1:15" x14ac:dyDescent="0.35">
      <c r="A172" t="s">
        <v>1</v>
      </c>
      <c r="B172" t="s">
        <v>10</v>
      </c>
      <c r="C172" t="s">
        <v>34</v>
      </c>
      <c r="D172">
        <v>2001</v>
      </c>
      <c r="E172" t="s">
        <v>17</v>
      </c>
      <c r="F172" t="s">
        <v>4</v>
      </c>
      <c r="G172" t="s">
        <v>162</v>
      </c>
      <c r="I172" t="s">
        <v>31</v>
      </c>
      <c r="J172" t="s">
        <v>32</v>
      </c>
      <c r="K172" t="s">
        <v>91</v>
      </c>
      <c r="M172">
        <v>60</v>
      </c>
      <c r="O172">
        <v>0.98039215700000004</v>
      </c>
    </row>
    <row r="173" spans="1:15" x14ac:dyDescent="0.35">
      <c r="A173" t="s">
        <v>1</v>
      </c>
      <c r="B173" t="s">
        <v>10</v>
      </c>
      <c r="C173" t="s">
        <v>34</v>
      </c>
      <c r="D173">
        <v>2001</v>
      </c>
      <c r="E173" t="s">
        <v>17</v>
      </c>
      <c r="F173" t="s">
        <v>4</v>
      </c>
      <c r="G173" t="s">
        <v>162</v>
      </c>
      <c r="I173" t="s">
        <v>31</v>
      </c>
      <c r="J173" t="s">
        <v>32</v>
      </c>
      <c r="K173" t="s">
        <v>91</v>
      </c>
      <c r="M173">
        <v>80</v>
      </c>
      <c r="O173">
        <v>0.89285714299999996</v>
      </c>
    </row>
    <row r="174" spans="1:15" x14ac:dyDescent="0.35">
      <c r="A174" t="s">
        <v>1</v>
      </c>
      <c r="B174" t="s">
        <v>10</v>
      </c>
      <c r="C174" t="s">
        <v>34</v>
      </c>
      <c r="D174">
        <v>2001</v>
      </c>
      <c r="E174" t="s">
        <v>17</v>
      </c>
      <c r="F174" t="s">
        <v>4</v>
      </c>
      <c r="G174" t="s">
        <v>162</v>
      </c>
      <c r="I174" t="s">
        <v>31</v>
      </c>
      <c r="J174" t="s">
        <v>32</v>
      </c>
      <c r="K174" t="s">
        <v>91</v>
      </c>
      <c r="M174">
        <v>100</v>
      </c>
      <c r="O174">
        <v>1.123595506</v>
      </c>
    </row>
    <row r="175" spans="1:15" x14ac:dyDescent="0.35">
      <c r="A175" t="s">
        <v>1</v>
      </c>
      <c r="B175" t="s">
        <v>10</v>
      </c>
      <c r="C175" t="s">
        <v>154</v>
      </c>
      <c r="D175">
        <v>2007</v>
      </c>
      <c r="E175" t="s">
        <v>151</v>
      </c>
      <c r="F175" t="s">
        <v>152</v>
      </c>
      <c r="G175" t="s">
        <v>162</v>
      </c>
      <c r="I175" t="s">
        <v>101</v>
      </c>
      <c r="J175" t="s">
        <v>103</v>
      </c>
      <c r="K175" t="s">
        <v>102</v>
      </c>
      <c r="M175">
        <v>0</v>
      </c>
      <c r="O175">
        <v>1.1000000000000001</v>
      </c>
    </row>
    <row r="176" spans="1:15" x14ac:dyDescent="0.35">
      <c r="A176" t="s">
        <v>1</v>
      </c>
      <c r="B176" t="s">
        <v>10</v>
      </c>
      <c r="C176" t="s">
        <v>154</v>
      </c>
      <c r="D176">
        <v>2007</v>
      </c>
      <c r="E176" t="s">
        <v>151</v>
      </c>
      <c r="F176" t="s">
        <v>152</v>
      </c>
      <c r="G176" t="s">
        <v>162</v>
      </c>
      <c r="I176" t="s">
        <v>101</v>
      </c>
      <c r="J176" t="s">
        <v>103</v>
      </c>
      <c r="K176" t="s">
        <v>102</v>
      </c>
      <c r="M176">
        <v>30</v>
      </c>
      <c r="O176">
        <v>1.1000000000000001</v>
      </c>
    </row>
    <row r="177" spans="1:15" x14ac:dyDescent="0.35">
      <c r="A177" t="s">
        <v>1</v>
      </c>
      <c r="B177" t="s">
        <v>10</v>
      </c>
      <c r="C177" t="s">
        <v>154</v>
      </c>
      <c r="D177">
        <v>2007</v>
      </c>
      <c r="E177" t="s">
        <v>151</v>
      </c>
      <c r="F177" t="s">
        <v>152</v>
      </c>
      <c r="G177" t="s">
        <v>162</v>
      </c>
      <c r="I177" t="s">
        <v>101</v>
      </c>
      <c r="J177" t="s">
        <v>103</v>
      </c>
      <c r="K177" t="s">
        <v>102</v>
      </c>
      <c r="M177">
        <v>45</v>
      </c>
      <c r="O177">
        <v>1.1000000000000001</v>
      </c>
    </row>
    <row r="178" spans="1:15" x14ac:dyDescent="0.35">
      <c r="A178" t="s">
        <v>1</v>
      </c>
      <c r="B178" t="s">
        <v>10</v>
      </c>
      <c r="C178" t="s">
        <v>154</v>
      </c>
      <c r="D178">
        <v>2007</v>
      </c>
      <c r="E178" t="s">
        <v>151</v>
      </c>
      <c r="F178" t="s">
        <v>152</v>
      </c>
      <c r="G178" t="s">
        <v>162</v>
      </c>
      <c r="I178" t="s">
        <v>101</v>
      </c>
      <c r="J178" t="s">
        <v>103</v>
      </c>
      <c r="K178" t="s">
        <v>102</v>
      </c>
      <c r="M178">
        <v>60</v>
      </c>
      <c r="O178">
        <v>1.1000000000000001</v>
      </c>
    </row>
    <row r="179" spans="1:15" x14ac:dyDescent="0.35">
      <c r="A179" t="s">
        <v>1</v>
      </c>
      <c r="B179" t="s">
        <v>10</v>
      </c>
      <c r="C179" t="s">
        <v>154</v>
      </c>
      <c r="D179">
        <v>2007</v>
      </c>
      <c r="E179" t="s">
        <v>151</v>
      </c>
      <c r="F179" t="s">
        <v>152</v>
      </c>
      <c r="G179" t="s">
        <v>162</v>
      </c>
      <c r="I179" t="s">
        <v>101</v>
      </c>
      <c r="J179" t="s">
        <v>103</v>
      </c>
      <c r="K179" t="s">
        <v>102</v>
      </c>
      <c r="M179">
        <v>75</v>
      </c>
      <c r="O179">
        <v>1.1000000000000001</v>
      </c>
    </row>
    <row r="180" spans="1:15" x14ac:dyDescent="0.35">
      <c r="A180" t="s">
        <v>1</v>
      </c>
      <c r="B180" t="s">
        <v>10</v>
      </c>
      <c r="C180" t="s">
        <v>154</v>
      </c>
      <c r="D180">
        <v>2007</v>
      </c>
      <c r="E180" t="s">
        <v>151</v>
      </c>
      <c r="F180" t="s">
        <v>152</v>
      </c>
      <c r="G180" t="s">
        <v>162</v>
      </c>
      <c r="I180" t="s">
        <v>101</v>
      </c>
      <c r="J180" t="s">
        <v>103</v>
      </c>
      <c r="K180" t="s">
        <v>102</v>
      </c>
      <c r="M180">
        <v>85</v>
      </c>
      <c r="O180">
        <v>1.2</v>
      </c>
    </row>
    <row r="181" spans="1:15" x14ac:dyDescent="0.35">
      <c r="A181" t="s">
        <v>1</v>
      </c>
      <c r="B181" t="s">
        <v>10</v>
      </c>
      <c r="C181" t="s">
        <v>154</v>
      </c>
      <c r="D181">
        <v>2007</v>
      </c>
      <c r="E181" t="s">
        <v>151</v>
      </c>
      <c r="F181" t="s">
        <v>152</v>
      </c>
      <c r="G181" t="s">
        <v>162</v>
      </c>
      <c r="I181" t="s">
        <v>101</v>
      </c>
      <c r="J181" t="s">
        <v>103</v>
      </c>
      <c r="K181" t="s">
        <v>102</v>
      </c>
      <c r="M181">
        <v>100</v>
      </c>
      <c r="O181">
        <v>1.2</v>
      </c>
    </row>
    <row r="182" spans="1:15" x14ac:dyDescent="0.35">
      <c r="A182" t="s">
        <v>1</v>
      </c>
      <c r="B182" t="s">
        <v>10</v>
      </c>
      <c r="C182" t="s">
        <v>153</v>
      </c>
      <c r="D182">
        <v>2008</v>
      </c>
      <c r="E182" t="s">
        <v>151</v>
      </c>
      <c r="F182" t="s">
        <v>152</v>
      </c>
      <c r="G182" t="s">
        <v>162</v>
      </c>
      <c r="I182" t="s">
        <v>101</v>
      </c>
      <c r="J182" t="s">
        <v>103</v>
      </c>
      <c r="K182" t="s">
        <v>102</v>
      </c>
      <c r="M182">
        <v>0</v>
      </c>
      <c r="O182">
        <v>1.1399999999999999</v>
      </c>
    </row>
    <row r="183" spans="1:15" x14ac:dyDescent="0.35">
      <c r="A183" t="s">
        <v>1</v>
      </c>
      <c r="B183" t="s">
        <v>10</v>
      </c>
      <c r="C183" t="s">
        <v>153</v>
      </c>
      <c r="D183">
        <v>2008</v>
      </c>
      <c r="E183" t="s">
        <v>151</v>
      </c>
      <c r="F183" t="s">
        <v>152</v>
      </c>
      <c r="G183" t="s">
        <v>162</v>
      </c>
      <c r="I183" t="s">
        <v>101</v>
      </c>
      <c r="J183" t="s">
        <v>103</v>
      </c>
      <c r="K183" t="s">
        <v>102</v>
      </c>
      <c r="M183">
        <v>30</v>
      </c>
      <c r="O183">
        <v>1.1200000000000001</v>
      </c>
    </row>
    <row r="184" spans="1:15" x14ac:dyDescent="0.35">
      <c r="A184" t="s">
        <v>1</v>
      </c>
      <c r="B184" t="s">
        <v>10</v>
      </c>
      <c r="C184" t="s">
        <v>153</v>
      </c>
      <c r="D184">
        <v>2008</v>
      </c>
      <c r="E184" t="s">
        <v>151</v>
      </c>
      <c r="F184" t="s">
        <v>152</v>
      </c>
      <c r="G184" t="s">
        <v>162</v>
      </c>
      <c r="I184" t="s">
        <v>101</v>
      </c>
      <c r="J184" t="s">
        <v>103</v>
      </c>
      <c r="K184" t="s">
        <v>102</v>
      </c>
      <c r="M184">
        <v>45</v>
      </c>
      <c r="O184">
        <v>1.05</v>
      </c>
    </row>
    <row r="185" spans="1:15" x14ac:dyDescent="0.35">
      <c r="A185" t="s">
        <v>1</v>
      </c>
      <c r="B185" t="s">
        <v>10</v>
      </c>
      <c r="C185" t="s">
        <v>153</v>
      </c>
      <c r="D185">
        <v>2008</v>
      </c>
      <c r="E185" t="s">
        <v>151</v>
      </c>
      <c r="F185" t="s">
        <v>152</v>
      </c>
      <c r="G185" t="s">
        <v>162</v>
      </c>
      <c r="I185" t="s">
        <v>101</v>
      </c>
      <c r="J185" t="s">
        <v>103</v>
      </c>
      <c r="K185" t="s">
        <v>102</v>
      </c>
      <c r="M185">
        <v>60</v>
      </c>
      <c r="O185">
        <v>1.1000000000000001</v>
      </c>
    </row>
    <row r="186" spans="1:15" x14ac:dyDescent="0.35">
      <c r="A186" t="s">
        <v>1</v>
      </c>
      <c r="B186" t="s">
        <v>10</v>
      </c>
      <c r="C186" t="s">
        <v>153</v>
      </c>
      <c r="D186">
        <v>2008</v>
      </c>
      <c r="E186" t="s">
        <v>151</v>
      </c>
      <c r="F186" t="s">
        <v>152</v>
      </c>
      <c r="G186" t="s">
        <v>162</v>
      </c>
      <c r="I186" t="s">
        <v>101</v>
      </c>
      <c r="J186" t="s">
        <v>103</v>
      </c>
      <c r="K186" t="s">
        <v>102</v>
      </c>
      <c r="M186">
        <v>75</v>
      </c>
      <c r="O186">
        <v>1.06</v>
      </c>
    </row>
    <row r="187" spans="1:15" x14ac:dyDescent="0.35">
      <c r="A187" t="s">
        <v>1</v>
      </c>
      <c r="B187" t="s">
        <v>10</v>
      </c>
      <c r="C187" t="s">
        <v>153</v>
      </c>
      <c r="D187">
        <v>2008</v>
      </c>
      <c r="E187" t="s">
        <v>151</v>
      </c>
      <c r="F187" t="s">
        <v>152</v>
      </c>
      <c r="G187" t="s">
        <v>162</v>
      </c>
      <c r="I187" t="s">
        <v>101</v>
      </c>
      <c r="J187" t="s">
        <v>103</v>
      </c>
      <c r="K187" t="s">
        <v>102</v>
      </c>
      <c r="M187">
        <v>85</v>
      </c>
      <c r="O187">
        <v>1.1499999999999999</v>
      </c>
    </row>
    <row r="188" spans="1:15" x14ac:dyDescent="0.35">
      <c r="A188" t="s">
        <v>1</v>
      </c>
      <c r="B188" t="s">
        <v>10</v>
      </c>
      <c r="C188" t="s">
        <v>153</v>
      </c>
      <c r="D188">
        <v>2008</v>
      </c>
      <c r="E188" t="s">
        <v>151</v>
      </c>
      <c r="F188" t="s">
        <v>152</v>
      </c>
      <c r="G188" t="s">
        <v>162</v>
      </c>
      <c r="I188" t="s">
        <v>101</v>
      </c>
      <c r="J188" t="s">
        <v>103</v>
      </c>
      <c r="K188" t="s">
        <v>102</v>
      </c>
      <c r="M188">
        <v>100</v>
      </c>
      <c r="O188">
        <v>1.22</v>
      </c>
    </row>
    <row r="189" spans="1:15" x14ac:dyDescent="0.35">
      <c r="A189" t="s">
        <v>1</v>
      </c>
      <c r="B189" t="s">
        <v>10</v>
      </c>
      <c r="C189" t="s">
        <v>161</v>
      </c>
      <c r="D189">
        <v>2009</v>
      </c>
      <c r="E189" t="s">
        <v>151</v>
      </c>
      <c r="F189" t="s">
        <v>152</v>
      </c>
      <c r="G189" t="s">
        <v>162</v>
      </c>
      <c r="I189" t="s">
        <v>101</v>
      </c>
      <c r="J189" t="s">
        <v>103</v>
      </c>
      <c r="K189" t="s">
        <v>102</v>
      </c>
      <c r="M189">
        <v>0</v>
      </c>
      <c r="O189">
        <v>1.1200000000000001</v>
      </c>
    </row>
    <row r="190" spans="1:15" x14ac:dyDescent="0.35">
      <c r="A190" t="s">
        <v>1</v>
      </c>
      <c r="B190" t="s">
        <v>10</v>
      </c>
      <c r="C190" t="s">
        <v>161</v>
      </c>
      <c r="D190">
        <v>2009</v>
      </c>
      <c r="E190" t="s">
        <v>151</v>
      </c>
      <c r="F190" t="s">
        <v>152</v>
      </c>
      <c r="G190" t="s">
        <v>162</v>
      </c>
      <c r="I190" t="s">
        <v>101</v>
      </c>
      <c r="J190" t="s">
        <v>103</v>
      </c>
      <c r="K190" t="s">
        <v>102</v>
      </c>
      <c r="M190">
        <v>25</v>
      </c>
      <c r="O190">
        <v>1.29</v>
      </c>
    </row>
    <row r="191" spans="1:15" x14ac:dyDescent="0.35">
      <c r="A191" t="s">
        <v>1</v>
      </c>
      <c r="B191" t="s">
        <v>10</v>
      </c>
      <c r="C191" t="s">
        <v>161</v>
      </c>
      <c r="D191">
        <v>2009</v>
      </c>
      <c r="E191" t="s">
        <v>151</v>
      </c>
      <c r="F191" t="s">
        <v>152</v>
      </c>
      <c r="G191" t="s">
        <v>162</v>
      </c>
      <c r="I191" t="s">
        <v>101</v>
      </c>
      <c r="J191" t="s">
        <v>103</v>
      </c>
      <c r="K191" t="s">
        <v>102</v>
      </c>
      <c r="M191">
        <v>50</v>
      </c>
      <c r="O191">
        <v>1.45</v>
      </c>
    </row>
    <row r="192" spans="1:15" x14ac:dyDescent="0.35">
      <c r="A192" t="s">
        <v>1</v>
      </c>
      <c r="B192" t="s">
        <v>10</v>
      </c>
      <c r="C192" t="s">
        <v>129</v>
      </c>
      <c r="D192">
        <v>2011</v>
      </c>
      <c r="E192" t="s">
        <v>130</v>
      </c>
      <c r="G192" t="s">
        <v>162</v>
      </c>
      <c r="I192" t="s">
        <v>97</v>
      </c>
      <c r="J192" t="s">
        <v>81</v>
      </c>
      <c r="K192" t="s">
        <v>131</v>
      </c>
      <c r="M192">
        <v>0</v>
      </c>
      <c r="O192">
        <v>0.98</v>
      </c>
    </row>
    <row r="193" spans="1:15" x14ac:dyDescent="0.35">
      <c r="A193" t="s">
        <v>1</v>
      </c>
      <c r="B193" t="s">
        <v>10</v>
      </c>
      <c r="C193" t="s">
        <v>79</v>
      </c>
      <c r="D193">
        <v>2018</v>
      </c>
      <c r="E193" t="s">
        <v>17</v>
      </c>
      <c r="F193" t="s">
        <v>4</v>
      </c>
      <c r="G193" t="s">
        <v>162</v>
      </c>
      <c r="I193" t="s">
        <v>310</v>
      </c>
      <c r="J193" t="s">
        <v>95</v>
      </c>
      <c r="K193" t="s">
        <v>77</v>
      </c>
      <c r="M193">
        <v>0</v>
      </c>
      <c r="O193">
        <v>1.34</v>
      </c>
    </row>
    <row r="194" spans="1:15" x14ac:dyDescent="0.35">
      <c r="A194" t="s">
        <v>1</v>
      </c>
      <c r="B194" t="s">
        <v>10</v>
      </c>
      <c r="C194" t="s">
        <v>79</v>
      </c>
      <c r="D194">
        <v>2018</v>
      </c>
      <c r="E194" t="s">
        <v>17</v>
      </c>
      <c r="F194" t="s">
        <v>4</v>
      </c>
      <c r="G194" t="s">
        <v>162</v>
      </c>
      <c r="I194" t="s">
        <v>310</v>
      </c>
      <c r="J194" t="s">
        <v>95</v>
      </c>
      <c r="K194" t="s">
        <v>77</v>
      </c>
      <c r="M194">
        <v>35</v>
      </c>
      <c r="O194">
        <v>1.02</v>
      </c>
    </row>
    <row r="195" spans="1:15" x14ac:dyDescent="0.35">
      <c r="A195" t="s">
        <v>1</v>
      </c>
      <c r="B195" t="s">
        <v>10</v>
      </c>
      <c r="C195" t="s">
        <v>79</v>
      </c>
      <c r="D195">
        <v>2018</v>
      </c>
      <c r="E195" t="s">
        <v>17</v>
      </c>
      <c r="F195" t="s">
        <v>4</v>
      </c>
      <c r="G195" t="s">
        <v>162</v>
      </c>
      <c r="I195" t="s">
        <v>310</v>
      </c>
      <c r="J195" t="s">
        <v>95</v>
      </c>
      <c r="K195" t="s">
        <v>77</v>
      </c>
      <c r="M195">
        <v>70</v>
      </c>
      <c r="O195">
        <v>1.28</v>
      </c>
    </row>
    <row r="196" spans="1:15" x14ac:dyDescent="0.35">
      <c r="A196" t="s">
        <v>1</v>
      </c>
      <c r="B196" t="s">
        <v>10</v>
      </c>
      <c r="C196" t="s">
        <v>118</v>
      </c>
      <c r="D196">
        <v>2003</v>
      </c>
      <c r="E196" t="s">
        <v>120</v>
      </c>
      <c r="F196" t="s">
        <v>108</v>
      </c>
      <c r="G196" t="s">
        <v>162</v>
      </c>
      <c r="I196" t="s">
        <v>106</v>
      </c>
      <c r="J196" t="s">
        <v>207</v>
      </c>
      <c r="K196" t="s">
        <v>119</v>
      </c>
      <c r="M196">
        <v>0</v>
      </c>
      <c r="O196">
        <v>3.16</v>
      </c>
    </row>
    <row r="197" spans="1:15" x14ac:dyDescent="0.35">
      <c r="A197" t="s">
        <v>1</v>
      </c>
      <c r="B197" t="s">
        <v>10</v>
      </c>
      <c r="C197" t="s">
        <v>118</v>
      </c>
      <c r="D197">
        <v>2003</v>
      </c>
      <c r="E197" t="s">
        <v>120</v>
      </c>
      <c r="F197" t="s">
        <v>108</v>
      </c>
      <c r="G197" t="s">
        <v>162</v>
      </c>
      <c r="I197" t="s">
        <v>106</v>
      </c>
      <c r="J197" t="s">
        <v>207</v>
      </c>
      <c r="K197" t="s">
        <v>119</v>
      </c>
      <c r="M197">
        <v>100</v>
      </c>
      <c r="O197">
        <v>2.1</v>
      </c>
    </row>
    <row r="198" spans="1:15" x14ac:dyDescent="0.35">
      <c r="A198" t="s">
        <v>1</v>
      </c>
      <c r="B198" t="s">
        <v>10</v>
      </c>
      <c r="C198" t="s">
        <v>121</v>
      </c>
      <c r="D198">
        <v>2004</v>
      </c>
      <c r="E198" t="s">
        <v>122</v>
      </c>
      <c r="F198" t="s">
        <v>108</v>
      </c>
      <c r="G198" t="s">
        <v>162</v>
      </c>
      <c r="I198" t="s">
        <v>106</v>
      </c>
      <c r="J198" t="s">
        <v>207</v>
      </c>
      <c r="K198" t="s">
        <v>119</v>
      </c>
      <c r="M198">
        <v>0</v>
      </c>
      <c r="O198">
        <v>3.16</v>
      </c>
    </row>
    <row r="199" spans="1:15" x14ac:dyDescent="0.35">
      <c r="A199" t="s">
        <v>1</v>
      </c>
      <c r="B199" t="s">
        <v>10</v>
      </c>
      <c r="C199" t="s">
        <v>121</v>
      </c>
      <c r="D199">
        <v>2004</v>
      </c>
      <c r="E199" t="s">
        <v>122</v>
      </c>
      <c r="F199" t="s">
        <v>108</v>
      </c>
      <c r="G199" t="s">
        <v>162</v>
      </c>
      <c r="I199" t="s">
        <v>106</v>
      </c>
      <c r="J199" t="s">
        <v>207</v>
      </c>
      <c r="K199" t="s">
        <v>119</v>
      </c>
      <c r="M199">
        <v>100</v>
      </c>
      <c r="O199">
        <v>2.98</v>
      </c>
    </row>
    <row r="200" spans="1:15" x14ac:dyDescent="0.35">
      <c r="A200" t="s">
        <v>1</v>
      </c>
      <c r="B200" t="s">
        <v>10</v>
      </c>
      <c r="C200" t="s">
        <v>75</v>
      </c>
      <c r="D200">
        <v>2015</v>
      </c>
      <c r="E200" t="s">
        <v>17</v>
      </c>
      <c r="F200" t="s">
        <v>4</v>
      </c>
      <c r="G200" t="s">
        <v>162</v>
      </c>
      <c r="I200" t="s">
        <v>31</v>
      </c>
      <c r="J200" t="s">
        <v>76</v>
      </c>
      <c r="K200" t="s">
        <v>211</v>
      </c>
      <c r="M200">
        <v>0</v>
      </c>
      <c r="O200">
        <v>3.8</v>
      </c>
    </row>
    <row r="201" spans="1:15" x14ac:dyDescent="0.35">
      <c r="A201" t="s">
        <v>1</v>
      </c>
      <c r="B201" t="s">
        <v>10</v>
      </c>
      <c r="C201" t="s">
        <v>75</v>
      </c>
      <c r="D201">
        <v>2015</v>
      </c>
      <c r="E201" t="s">
        <v>17</v>
      </c>
      <c r="F201" t="s">
        <v>4</v>
      </c>
      <c r="G201" t="s">
        <v>162</v>
      </c>
      <c r="I201" t="s">
        <v>31</v>
      </c>
      <c r="J201" t="s">
        <v>76</v>
      </c>
      <c r="K201" t="s">
        <v>211</v>
      </c>
      <c r="M201">
        <v>50</v>
      </c>
      <c r="O201">
        <v>4.0999999999999996</v>
      </c>
    </row>
    <row r="202" spans="1:15" x14ac:dyDescent="0.35">
      <c r="A202" t="s">
        <v>1</v>
      </c>
      <c r="B202" t="s">
        <v>10</v>
      </c>
      <c r="C202" t="s">
        <v>138</v>
      </c>
      <c r="D202">
        <v>2011</v>
      </c>
      <c r="E202" t="s">
        <v>136</v>
      </c>
      <c r="F202" t="s">
        <v>137</v>
      </c>
      <c r="G202" t="s">
        <v>162</v>
      </c>
      <c r="I202" t="s">
        <v>97</v>
      </c>
      <c r="J202" t="s">
        <v>81</v>
      </c>
      <c r="K202" t="s">
        <v>131</v>
      </c>
      <c r="M202">
        <v>0</v>
      </c>
      <c r="O202">
        <v>1.2</v>
      </c>
    </row>
    <row r="203" spans="1:15" x14ac:dyDescent="0.35">
      <c r="A203" t="s">
        <v>1</v>
      </c>
      <c r="B203" t="s">
        <v>10</v>
      </c>
      <c r="C203" t="s">
        <v>138</v>
      </c>
      <c r="D203">
        <v>2011</v>
      </c>
      <c r="E203" t="s">
        <v>136</v>
      </c>
      <c r="F203" t="s">
        <v>137</v>
      </c>
      <c r="G203" t="s">
        <v>162</v>
      </c>
      <c r="I203" t="s">
        <v>97</v>
      </c>
      <c r="J203" t="s">
        <v>81</v>
      </c>
      <c r="K203" t="s">
        <v>131</v>
      </c>
      <c r="M203">
        <v>25</v>
      </c>
      <c r="O203">
        <v>1</v>
      </c>
    </row>
    <row r="204" spans="1:15" x14ac:dyDescent="0.35">
      <c r="A204" t="s">
        <v>1</v>
      </c>
      <c r="B204" t="s">
        <v>10</v>
      </c>
      <c r="C204" t="s">
        <v>138</v>
      </c>
      <c r="D204">
        <v>2011</v>
      </c>
      <c r="E204" t="s">
        <v>136</v>
      </c>
      <c r="F204" t="s">
        <v>137</v>
      </c>
      <c r="G204" t="s">
        <v>162</v>
      </c>
      <c r="I204" t="s">
        <v>97</v>
      </c>
      <c r="J204" t="s">
        <v>81</v>
      </c>
      <c r="K204" t="s">
        <v>131</v>
      </c>
      <c r="M204">
        <v>50</v>
      </c>
      <c r="O204">
        <v>1</v>
      </c>
    </row>
    <row r="205" spans="1:15" x14ac:dyDescent="0.35">
      <c r="A205" t="s">
        <v>1</v>
      </c>
      <c r="B205" t="s">
        <v>10</v>
      </c>
      <c r="C205" t="s">
        <v>139</v>
      </c>
      <c r="D205">
        <v>2012</v>
      </c>
      <c r="E205" t="s">
        <v>140</v>
      </c>
      <c r="F205" t="s">
        <v>137</v>
      </c>
      <c r="G205" t="s">
        <v>162</v>
      </c>
      <c r="I205" t="s">
        <v>97</v>
      </c>
      <c r="J205" t="s">
        <v>81</v>
      </c>
      <c r="K205" t="s">
        <v>131</v>
      </c>
      <c r="M205">
        <v>0</v>
      </c>
      <c r="O205">
        <v>1.2</v>
      </c>
    </row>
    <row r="206" spans="1:15" x14ac:dyDescent="0.35">
      <c r="A206" t="s">
        <v>1</v>
      </c>
      <c r="B206" t="s">
        <v>10</v>
      </c>
      <c r="C206" t="s">
        <v>139</v>
      </c>
      <c r="D206">
        <v>2012</v>
      </c>
      <c r="E206" t="s">
        <v>140</v>
      </c>
      <c r="F206" t="s">
        <v>137</v>
      </c>
      <c r="G206" t="s">
        <v>162</v>
      </c>
      <c r="I206" t="s">
        <v>97</v>
      </c>
      <c r="J206" t="s">
        <v>81</v>
      </c>
      <c r="K206" t="s">
        <v>131</v>
      </c>
      <c r="M206">
        <v>25</v>
      </c>
      <c r="O206">
        <v>1</v>
      </c>
    </row>
    <row r="207" spans="1:15" x14ac:dyDescent="0.35">
      <c r="A207" t="s">
        <v>1</v>
      </c>
      <c r="B207" t="s">
        <v>10</v>
      </c>
      <c r="C207" t="s">
        <v>139</v>
      </c>
      <c r="D207">
        <v>2012</v>
      </c>
      <c r="E207" t="s">
        <v>140</v>
      </c>
      <c r="F207" t="s">
        <v>137</v>
      </c>
      <c r="G207" t="s">
        <v>162</v>
      </c>
      <c r="I207" t="s">
        <v>97</v>
      </c>
      <c r="J207" t="s">
        <v>81</v>
      </c>
      <c r="K207" t="s">
        <v>131</v>
      </c>
      <c r="M207">
        <v>50</v>
      </c>
      <c r="O207">
        <v>1.1000000000000001</v>
      </c>
    </row>
    <row r="208" spans="1:15" x14ac:dyDescent="0.35">
      <c r="A208" t="s">
        <v>1</v>
      </c>
      <c r="B208" t="s">
        <v>10</v>
      </c>
      <c r="C208" t="s">
        <v>74</v>
      </c>
      <c r="D208">
        <v>2009</v>
      </c>
      <c r="E208" t="s">
        <v>72</v>
      </c>
      <c r="F208" t="s">
        <v>73</v>
      </c>
      <c r="G208" t="s">
        <v>162</v>
      </c>
      <c r="I208" t="s">
        <v>31</v>
      </c>
      <c r="J208" t="s">
        <v>71</v>
      </c>
      <c r="K208" t="s">
        <v>91</v>
      </c>
      <c r="M208">
        <v>0</v>
      </c>
      <c r="O208">
        <v>2.96</v>
      </c>
    </row>
    <row r="209" spans="1:15" x14ac:dyDescent="0.35">
      <c r="A209" t="s">
        <v>1</v>
      </c>
      <c r="B209" t="s">
        <v>10</v>
      </c>
      <c r="C209" t="s">
        <v>74</v>
      </c>
      <c r="D209">
        <v>2009</v>
      </c>
      <c r="E209" t="s">
        <v>72</v>
      </c>
      <c r="F209" t="s">
        <v>73</v>
      </c>
      <c r="G209" t="s">
        <v>162</v>
      </c>
      <c r="I209" t="s">
        <v>31</v>
      </c>
      <c r="J209" t="s">
        <v>71</v>
      </c>
      <c r="K209" t="s">
        <v>91</v>
      </c>
      <c r="M209">
        <v>25</v>
      </c>
      <c r="O209">
        <v>3.09</v>
      </c>
    </row>
    <row r="210" spans="1:15" x14ac:dyDescent="0.35">
      <c r="A210" t="s">
        <v>1</v>
      </c>
      <c r="B210" t="s">
        <v>10</v>
      </c>
      <c r="C210" t="s">
        <v>74</v>
      </c>
      <c r="D210">
        <v>2009</v>
      </c>
      <c r="E210" t="s">
        <v>72</v>
      </c>
      <c r="F210" t="s">
        <v>73</v>
      </c>
      <c r="G210" t="s">
        <v>162</v>
      </c>
      <c r="I210" t="s">
        <v>31</v>
      </c>
      <c r="J210" t="s">
        <v>71</v>
      </c>
      <c r="K210" t="s">
        <v>91</v>
      </c>
      <c r="M210">
        <v>50</v>
      </c>
      <c r="O210">
        <v>2.88</v>
      </c>
    </row>
    <row r="211" spans="1:15" x14ac:dyDescent="0.35">
      <c r="A211" t="s">
        <v>1</v>
      </c>
      <c r="B211" t="s">
        <v>10</v>
      </c>
      <c r="C211" t="s">
        <v>74</v>
      </c>
      <c r="D211">
        <v>2009</v>
      </c>
      <c r="E211" t="s">
        <v>72</v>
      </c>
      <c r="F211" t="s">
        <v>73</v>
      </c>
      <c r="G211" t="s">
        <v>162</v>
      </c>
      <c r="I211" t="s">
        <v>31</v>
      </c>
      <c r="J211" t="s">
        <v>71</v>
      </c>
      <c r="K211" t="s">
        <v>91</v>
      </c>
      <c r="M211">
        <v>75</v>
      </c>
      <c r="O211">
        <v>3.67</v>
      </c>
    </row>
    <row r="212" spans="1:15" x14ac:dyDescent="0.35">
      <c r="A212" t="s">
        <v>1</v>
      </c>
      <c r="B212" t="s">
        <v>10</v>
      </c>
      <c r="C212" t="s">
        <v>74</v>
      </c>
      <c r="D212">
        <v>2009</v>
      </c>
      <c r="E212" t="s">
        <v>72</v>
      </c>
      <c r="F212" t="s">
        <v>73</v>
      </c>
      <c r="G212" t="s">
        <v>162</v>
      </c>
      <c r="I212" t="s">
        <v>31</v>
      </c>
      <c r="J212" t="s">
        <v>71</v>
      </c>
      <c r="K212" t="s">
        <v>91</v>
      </c>
      <c r="M212">
        <v>100</v>
      </c>
      <c r="O212">
        <v>3.44</v>
      </c>
    </row>
    <row r="213" spans="1:15" x14ac:dyDescent="0.35">
      <c r="A213" t="s">
        <v>1</v>
      </c>
      <c r="B213" t="s">
        <v>10</v>
      </c>
      <c r="C213" t="s">
        <v>141</v>
      </c>
      <c r="D213">
        <v>2007</v>
      </c>
      <c r="E213" t="s">
        <v>29</v>
      </c>
      <c r="F213" t="s">
        <v>137</v>
      </c>
      <c r="G213" t="s">
        <v>162</v>
      </c>
      <c r="I213" t="s">
        <v>97</v>
      </c>
      <c r="J213" t="s">
        <v>81</v>
      </c>
      <c r="K213" t="s">
        <v>131</v>
      </c>
      <c r="M213">
        <v>0</v>
      </c>
      <c r="O213">
        <v>1.18</v>
      </c>
    </row>
    <row r="214" spans="1:15" x14ac:dyDescent="0.35">
      <c r="A214" t="s">
        <v>1</v>
      </c>
      <c r="B214" t="s">
        <v>10</v>
      </c>
      <c r="C214" t="s">
        <v>141</v>
      </c>
      <c r="D214">
        <v>2007</v>
      </c>
      <c r="E214" t="s">
        <v>29</v>
      </c>
      <c r="F214" t="s">
        <v>137</v>
      </c>
      <c r="G214" t="s">
        <v>162</v>
      </c>
      <c r="I214" t="s">
        <v>97</v>
      </c>
      <c r="J214" t="s">
        <v>81</v>
      </c>
      <c r="K214" t="s">
        <v>131</v>
      </c>
      <c r="M214">
        <v>35</v>
      </c>
      <c r="O214">
        <v>1.22</v>
      </c>
    </row>
    <row r="215" spans="1:15" x14ac:dyDescent="0.35">
      <c r="A215" t="s">
        <v>1</v>
      </c>
      <c r="B215" t="s">
        <v>10</v>
      </c>
      <c r="C215" t="s">
        <v>141</v>
      </c>
      <c r="D215">
        <v>2007</v>
      </c>
      <c r="E215" t="s">
        <v>29</v>
      </c>
      <c r="F215" t="s">
        <v>137</v>
      </c>
      <c r="G215" t="s">
        <v>162</v>
      </c>
      <c r="I215" t="s">
        <v>97</v>
      </c>
      <c r="J215" t="s">
        <v>81</v>
      </c>
      <c r="K215" t="s">
        <v>131</v>
      </c>
      <c r="M215">
        <v>60</v>
      </c>
      <c r="O215">
        <v>1.47</v>
      </c>
    </row>
    <row r="216" spans="1:15" x14ac:dyDescent="0.35">
      <c r="A216" t="s">
        <v>1</v>
      </c>
      <c r="B216" t="s">
        <v>10</v>
      </c>
      <c r="C216" t="s">
        <v>142</v>
      </c>
      <c r="D216">
        <v>2008</v>
      </c>
      <c r="E216" t="s">
        <v>151</v>
      </c>
      <c r="F216" t="s">
        <v>152</v>
      </c>
      <c r="G216" t="s">
        <v>162</v>
      </c>
      <c r="I216" t="s">
        <v>97</v>
      </c>
      <c r="J216" t="s">
        <v>81</v>
      </c>
      <c r="K216" t="s">
        <v>131</v>
      </c>
      <c r="M216">
        <v>0</v>
      </c>
      <c r="O216">
        <v>1.18</v>
      </c>
    </row>
    <row r="217" spans="1:15" x14ac:dyDescent="0.35">
      <c r="A217" t="s">
        <v>1</v>
      </c>
      <c r="B217" t="s">
        <v>10</v>
      </c>
      <c r="C217" t="s">
        <v>142</v>
      </c>
      <c r="D217">
        <v>2008</v>
      </c>
      <c r="E217" t="s">
        <v>151</v>
      </c>
      <c r="F217" t="s">
        <v>152</v>
      </c>
      <c r="G217" t="s">
        <v>162</v>
      </c>
      <c r="I217" t="s">
        <v>97</v>
      </c>
      <c r="J217" t="s">
        <v>81</v>
      </c>
      <c r="K217" t="s">
        <v>131</v>
      </c>
      <c r="M217">
        <v>25</v>
      </c>
      <c r="O217">
        <v>1.22</v>
      </c>
    </row>
    <row r="218" spans="1:15" x14ac:dyDescent="0.35">
      <c r="A218" t="s">
        <v>1</v>
      </c>
      <c r="B218" t="s">
        <v>10</v>
      </c>
      <c r="C218" t="s">
        <v>160</v>
      </c>
      <c r="D218">
        <v>2017</v>
      </c>
      <c r="E218" t="s">
        <v>151</v>
      </c>
      <c r="F218" t="s">
        <v>152</v>
      </c>
      <c r="G218" t="s">
        <v>162</v>
      </c>
      <c r="I218" t="s">
        <v>101</v>
      </c>
      <c r="J218" t="s">
        <v>103</v>
      </c>
      <c r="K218" t="s">
        <v>102</v>
      </c>
      <c r="M218">
        <v>0</v>
      </c>
      <c r="O218">
        <v>1.36</v>
      </c>
    </row>
    <row r="219" spans="1:15" x14ac:dyDescent="0.35">
      <c r="A219" t="s">
        <v>1</v>
      </c>
      <c r="B219" t="s">
        <v>10</v>
      </c>
      <c r="C219" t="s">
        <v>160</v>
      </c>
      <c r="D219">
        <v>2017</v>
      </c>
      <c r="E219" t="s">
        <v>151</v>
      </c>
      <c r="F219" t="s">
        <v>152</v>
      </c>
      <c r="G219" t="s">
        <v>162</v>
      </c>
      <c r="I219" t="s">
        <v>101</v>
      </c>
      <c r="J219" t="s">
        <v>103</v>
      </c>
      <c r="K219" t="s">
        <v>102</v>
      </c>
      <c r="M219">
        <v>30</v>
      </c>
      <c r="O219">
        <v>1.45</v>
      </c>
    </row>
    <row r="220" spans="1:15" x14ac:dyDescent="0.35">
      <c r="A220" t="s">
        <v>1</v>
      </c>
      <c r="B220" t="s">
        <v>10</v>
      </c>
      <c r="C220" t="s">
        <v>160</v>
      </c>
      <c r="D220">
        <v>2017</v>
      </c>
      <c r="E220" t="s">
        <v>151</v>
      </c>
      <c r="F220" t="s">
        <v>152</v>
      </c>
      <c r="G220" t="s">
        <v>162</v>
      </c>
      <c r="I220" t="s">
        <v>101</v>
      </c>
      <c r="J220" t="s">
        <v>103</v>
      </c>
      <c r="K220" t="s">
        <v>102</v>
      </c>
      <c r="M220">
        <v>55</v>
      </c>
      <c r="O220">
        <v>1.45</v>
      </c>
    </row>
    <row r="221" spans="1:15" x14ac:dyDescent="0.35">
      <c r="A221" t="s">
        <v>1</v>
      </c>
      <c r="B221" t="s">
        <v>10</v>
      </c>
      <c r="C221" t="s">
        <v>160</v>
      </c>
      <c r="D221">
        <v>2017</v>
      </c>
      <c r="E221" t="s">
        <v>151</v>
      </c>
      <c r="F221" t="s">
        <v>152</v>
      </c>
      <c r="G221" t="s">
        <v>162</v>
      </c>
      <c r="I221" t="s">
        <v>101</v>
      </c>
      <c r="J221" t="s">
        <v>103</v>
      </c>
      <c r="K221" t="s">
        <v>102</v>
      </c>
      <c r="M221">
        <v>80</v>
      </c>
      <c r="O221">
        <v>1.32</v>
      </c>
    </row>
    <row r="222" spans="1:15" x14ac:dyDescent="0.35">
      <c r="A222" t="s">
        <v>1</v>
      </c>
      <c r="B222" t="s">
        <v>10</v>
      </c>
      <c r="C222" t="s">
        <v>160</v>
      </c>
      <c r="D222">
        <v>2017</v>
      </c>
      <c r="E222" t="s">
        <v>151</v>
      </c>
      <c r="F222" t="s">
        <v>152</v>
      </c>
      <c r="G222" t="s">
        <v>162</v>
      </c>
      <c r="I222" t="s">
        <v>101</v>
      </c>
      <c r="J222" t="s">
        <v>103</v>
      </c>
      <c r="K222" t="s">
        <v>102</v>
      </c>
      <c r="M222">
        <v>100</v>
      </c>
      <c r="O222">
        <v>1.86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0"/>
  <sheetViews>
    <sheetView zoomScaleNormal="100" workbookViewId="0">
      <pane xSplit="3" ySplit="1" topLeftCell="D37" activePane="bottomRight" state="frozen"/>
      <selection pane="topRight" activeCell="D1" sqref="D1"/>
      <selection pane="bottomLeft" activeCell="A2" sqref="A2"/>
      <selection pane="bottomRight" activeCell="C40" sqref="C40"/>
    </sheetView>
  </sheetViews>
  <sheetFormatPr defaultRowHeight="14.5" x14ac:dyDescent="0.35"/>
  <cols>
    <col min="1" max="1" width="21.453125" customWidth="1"/>
    <col min="2" max="2" width="28.81640625" bestFit="1" customWidth="1"/>
    <col min="3" max="3" width="24.1796875" bestFit="1" customWidth="1"/>
    <col min="4" max="4" width="17.7265625" customWidth="1"/>
    <col min="5" max="6" width="16.453125" customWidth="1"/>
    <col min="7" max="7" width="20.1796875" bestFit="1" customWidth="1"/>
    <col min="8" max="8" width="15.54296875" customWidth="1"/>
    <col min="9" max="9" width="28.26953125" bestFit="1" customWidth="1"/>
  </cols>
  <sheetData>
    <row r="1" spans="1:10" s="1" customFormat="1" x14ac:dyDescent="0.35">
      <c r="A1" s="1" t="s">
        <v>0</v>
      </c>
      <c r="B1" s="1" t="s">
        <v>6</v>
      </c>
      <c r="C1" s="1" t="s">
        <v>5</v>
      </c>
      <c r="D1" s="1" t="s">
        <v>36</v>
      </c>
      <c r="E1" s="1" t="s">
        <v>35</v>
      </c>
      <c r="F1" s="1" t="s">
        <v>28</v>
      </c>
      <c r="G1" s="1" t="s">
        <v>7</v>
      </c>
      <c r="H1" s="1" t="s">
        <v>27</v>
      </c>
      <c r="I1" s="1" t="s">
        <v>2</v>
      </c>
      <c r="J1" s="1" t="s">
        <v>3</v>
      </c>
    </row>
    <row r="2" spans="1:10" x14ac:dyDescent="0.35">
      <c r="A2" t="s">
        <v>10</v>
      </c>
      <c r="B2" t="s">
        <v>25</v>
      </c>
      <c r="I2" t="s">
        <v>13</v>
      </c>
      <c r="J2" t="s">
        <v>37</v>
      </c>
    </row>
    <row r="3" spans="1:10" x14ac:dyDescent="0.35">
      <c r="A3" t="s">
        <v>10</v>
      </c>
      <c r="B3" t="s">
        <v>17</v>
      </c>
      <c r="C3" t="s">
        <v>4</v>
      </c>
      <c r="D3" t="s">
        <v>39</v>
      </c>
      <c r="E3">
        <v>61</v>
      </c>
      <c r="F3">
        <v>9</v>
      </c>
      <c r="G3" t="s">
        <v>21</v>
      </c>
      <c r="I3" t="s">
        <v>14</v>
      </c>
    </row>
    <row r="4" spans="1:10" x14ac:dyDescent="0.35">
      <c r="A4" t="s">
        <v>11</v>
      </c>
      <c r="B4" t="s">
        <v>9</v>
      </c>
      <c r="C4" t="s">
        <v>8</v>
      </c>
      <c r="D4" t="s">
        <v>39</v>
      </c>
      <c r="E4">
        <v>68</v>
      </c>
      <c r="F4">
        <v>10</v>
      </c>
      <c r="G4" t="s">
        <v>21</v>
      </c>
      <c r="I4" t="s">
        <v>14</v>
      </c>
    </row>
    <row r="5" spans="1:10" x14ac:dyDescent="0.35">
      <c r="A5" t="s">
        <v>11</v>
      </c>
      <c r="B5" t="s">
        <v>18</v>
      </c>
      <c r="C5" t="s">
        <v>12</v>
      </c>
      <c r="D5" t="s">
        <v>39</v>
      </c>
      <c r="E5">
        <v>110</v>
      </c>
      <c r="F5">
        <v>21</v>
      </c>
      <c r="G5" t="s">
        <v>21</v>
      </c>
      <c r="I5" t="s">
        <v>14</v>
      </c>
    </row>
    <row r="6" spans="1:10" x14ac:dyDescent="0.35">
      <c r="A6" t="s">
        <v>11</v>
      </c>
      <c r="B6" t="s">
        <v>16</v>
      </c>
      <c r="C6" t="s">
        <v>15</v>
      </c>
      <c r="D6" t="s">
        <v>39</v>
      </c>
      <c r="E6">
        <v>50</v>
      </c>
      <c r="F6">
        <v>22</v>
      </c>
      <c r="G6" t="s">
        <v>21</v>
      </c>
      <c r="I6" t="s">
        <v>14</v>
      </c>
    </row>
    <row r="7" spans="1:10" x14ac:dyDescent="0.35">
      <c r="A7" t="s">
        <v>11</v>
      </c>
      <c r="B7" t="s">
        <v>20</v>
      </c>
      <c r="C7" t="s">
        <v>19</v>
      </c>
      <c r="D7" t="s">
        <v>39</v>
      </c>
      <c r="E7">
        <v>19</v>
      </c>
      <c r="F7">
        <v>3</v>
      </c>
      <c r="G7" t="s">
        <v>21</v>
      </c>
      <c r="I7" t="s">
        <v>14</v>
      </c>
    </row>
    <row r="8" spans="1:10" x14ac:dyDescent="0.35">
      <c r="A8" t="s">
        <v>10</v>
      </c>
      <c r="B8" t="s">
        <v>17</v>
      </c>
      <c r="C8" t="s">
        <v>4</v>
      </c>
      <c r="D8" t="s">
        <v>39</v>
      </c>
      <c r="E8">
        <v>61</v>
      </c>
      <c r="F8">
        <v>9</v>
      </c>
      <c r="G8" t="s">
        <v>22</v>
      </c>
      <c r="I8" t="s">
        <v>14</v>
      </c>
    </row>
    <row r="9" spans="1:10" x14ac:dyDescent="0.35">
      <c r="A9" t="s">
        <v>11</v>
      </c>
      <c r="B9" t="s">
        <v>9</v>
      </c>
      <c r="C9" t="s">
        <v>8</v>
      </c>
      <c r="D9" t="s">
        <v>39</v>
      </c>
      <c r="E9">
        <v>68</v>
      </c>
      <c r="F9">
        <v>10</v>
      </c>
      <c r="G9" t="s">
        <v>22</v>
      </c>
      <c r="I9" t="s">
        <v>14</v>
      </c>
    </row>
    <row r="10" spans="1:10" x14ac:dyDescent="0.35">
      <c r="A10" t="s">
        <v>11</v>
      </c>
      <c r="B10" t="s">
        <v>18</v>
      </c>
      <c r="C10" t="s">
        <v>12</v>
      </c>
      <c r="D10" t="s">
        <v>39</v>
      </c>
      <c r="E10">
        <v>110</v>
      </c>
      <c r="F10">
        <v>21</v>
      </c>
      <c r="G10" t="s">
        <v>22</v>
      </c>
      <c r="I10" t="s">
        <v>14</v>
      </c>
    </row>
    <row r="11" spans="1:10" x14ac:dyDescent="0.35">
      <c r="A11" t="s">
        <v>11</v>
      </c>
      <c r="B11" t="s">
        <v>16</v>
      </c>
      <c r="C11" t="s">
        <v>15</v>
      </c>
      <c r="D11" t="s">
        <v>39</v>
      </c>
      <c r="E11">
        <v>50</v>
      </c>
      <c r="F11">
        <v>22</v>
      </c>
      <c r="G11" t="s">
        <v>22</v>
      </c>
      <c r="I11" t="s">
        <v>14</v>
      </c>
    </row>
    <row r="12" spans="1:10" x14ac:dyDescent="0.35">
      <c r="A12" t="s">
        <v>11</v>
      </c>
      <c r="B12" t="s">
        <v>20</v>
      </c>
      <c r="C12" t="s">
        <v>19</v>
      </c>
      <c r="D12" t="s">
        <v>39</v>
      </c>
      <c r="E12">
        <v>19</v>
      </c>
      <c r="F12">
        <v>3</v>
      </c>
      <c r="G12" t="s">
        <v>22</v>
      </c>
      <c r="I12" t="s">
        <v>14</v>
      </c>
    </row>
    <row r="13" spans="1:10" x14ac:dyDescent="0.35">
      <c r="A13" t="s">
        <v>10</v>
      </c>
      <c r="B13" t="s">
        <v>17</v>
      </c>
      <c r="C13" t="s">
        <v>4</v>
      </c>
      <c r="D13" t="s">
        <v>39</v>
      </c>
      <c r="E13">
        <v>0</v>
      </c>
      <c r="F13">
        <v>2E-3</v>
      </c>
      <c r="G13" t="s">
        <v>23</v>
      </c>
      <c r="I13" t="s">
        <v>14</v>
      </c>
    </row>
    <row r="14" spans="1:10" x14ac:dyDescent="0.35">
      <c r="A14" t="s">
        <v>11</v>
      </c>
      <c r="B14" t="s">
        <v>9</v>
      </c>
      <c r="C14" t="s">
        <v>8</v>
      </c>
      <c r="D14" t="s">
        <v>39</v>
      </c>
      <c r="E14">
        <v>0</v>
      </c>
      <c r="F14">
        <v>2E-3</v>
      </c>
      <c r="G14" t="s">
        <v>23</v>
      </c>
      <c r="I14" t="s">
        <v>14</v>
      </c>
    </row>
    <row r="15" spans="1:10" x14ac:dyDescent="0.35">
      <c r="A15" t="s">
        <v>11</v>
      </c>
      <c r="B15" t="s">
        <v>18</v>
      </c>
      <c r="C15" t="s">
        <v>12</v>
      </c>
      <c r="D15" t="s">
        <v>39</v>
      </c>
      <c r="E15">
        <v>0</v>
      </c>
      <c r="F15">
        <v>1.7000000000000001E-2</v>
      </c>
      <c r="G15" t="s">
        <v>23</v>
      </c>
      <c r="I15" t="s">
        <v>14</v>
      </c>
    </row>
    <row r="16" spans="1:10" x14ac:dyDescent="0.35">
      <c r="A16" t="s">
        <v>11</v>
      </c>
      <c r="B16" t="s">
        <v>16</v>
      </c>
      <c r="C16" t="s">
        <v>15</v>
      </c>
      <c r="D16" t="s">
        <v>43</v>
      </c>
      <c r="E16">
        <v>0.16</v>
      </c>
      <c r="F16">
        <v>8.5000000000000006E-2</v>
      </c>
      <c r="G16" t="s">
        <v>23</v>
      </c>
      <c r="I16" t="s">
        <v>14</v>
      </c>
    </row>
    <row r="17" spans="1:10" x14ac:dyDescent="0.35">
      <c r="A17" t="s">
        <v>11</v>
      </c>
      <c r="B17" t="s">
        <v>20</v>
      </c>
      <c r="C17" t="s">
        <v>19</v>
      </c>
      <c r="D17" t="s">
        <v>43</v>
      </c>
      <c r="E17">
        <v>0.08</v>
      </c>
      <c r="F17">
        <v>2.1000000000000001E-2</v>
      </c>
      <c r="G17" t="s">
        <v>23</v>
      </c>
      <c r="I17" t="s">
        <v>14</v>
      </c>
    </row>
    <row r="18" spans="1:10" x14ac:dyDescent="0.35">
      <c r="A18" t="s">
        <v>10</v>
      </c>
      <c r="B18" t="s">
        <v>17</v>
      </c>
      <c r="C18" t="s">
        <v>4</v>
      </c>
      <c r="D18" t="s">
        <v>43</v>
      </c>
      <c r="E18">
        <v>1.5</v>
      </c>
      <c r="F18">
        <v>0.13</v>
      </c>
      <c r="G18" t="s">
        <v>24</v>
      </c>
      <c r="I18" t="s">
        <v>14</v>
      </c>
    </row>
    <row r="19" spans="1:10" x14ac:dyDescent="0.35">
      <c r="A19" t="s">
        <v>11</v>
      </c>
      <c r="B19" t="s">
        <v>9</v>
      </c>
      <c r="C19" t="s">
        <v>8</v>
      </c>
      <c r="D19" t="s">
        <v>43</v>
      </c>
      <c r="E19">
        <v>0.1</v>
      </c>
      <c r="F19">
        <v>0.13</v>
      </c>
      <c r="G19" t="s">
        <v>24</v>
      </c>
      <c r="I19" t="s">
        <v>14</v>
      </c>
    </row>
    <row r="20" spans="1:10" x14ac:dyDescent="0.35">
      <c r="A20" t="s">
        <v>11</v>
      </c>
      <c r="B20" t="s">
        <v>18</v>
      </c>
      <c r="C20" t="s">
        <v>12</v>
      </c>
      <c r="D20" t="s">
        <v>43</v>
      </c>
      <c r="E20">
        <v>8</v>
      </c>
      <c r="F20">
        <v>13.5</v>
      </c>
      <c r="G20" t="s">
        <v>24</v>
      </c>
      <c r="I20" t="s">
        <v>14</v>
      </c>
    </row>
    <row r="21" spans="1:10" x14ac:dyDescent="0.35">
      <c r="A21" t="s">
        <v>11</v>
      </c>
      <c r="B21" t="s">
        <v>16</v>
      </c>
      <c r="C21" t="s">
        <v>15</v>
      </c>
      <c r="D21" t="s">
        <v>43</v>
      </c>
      <c r="E21">
        <v>0</v>
      </c>
      <c r="F21">
        <v>0.03</v>
      </c>
      <c r="G21" t="s">
        <v>24</v>
      </c>
      <c r="I21" t="s">
        <v>14</v>
      </c>
    </row>
    <row r="22" spans="1:10" x14ac:dyDescent="0.35">
      <c r="A22" t="s">
        <v>11</v>
      </c>
      <c r="B22" t="s">
        <v>20</v>
      </c>
      <c r="C22" t="s">
        <v>19</v>
      </c>
      <c r="D22" t="s">
        <v>43</v>
      </c>
      <c r="E22">
        <v>0.3</v>
      </c>
      <c r="F22">
        <v>0.24</v>
      </c>
      <c r="G22" t="s">
        <v>24</v>
      </c>
      <c r="I22" t="s">
        <v>14</v>
      </c>
    </row>
    <row r="23" spans="1:10" x14ac:dyDescent="0.35">
      <c r="A23" t="s">
        <v>10</v>
      </c>
      <c r="B23" t="s">
        <v>17</v>
      </c>
      <c r="C23" t="s">
        <v>4</v>
      </c>
      <c r="D23" t="s">
        <v>43</v>
      </c>
      <c r="E23">
        <v>0.45</v>
      </c>
      <c r="F23">
        <v>0.04</v>
      </c>
      <c r="G23" t="s">
        <v>26</v>
      </c>
      <c r="I23" t="s">
        <v>14</v>
      </c>
    </row>
    <row r="24" spans="1:10" x14ac:dyDescent="0.35">
      <c r="A24" t="s">
        <v>11</v>
      </c>
      <c r="B24" t="s">
        <v>9</v>
      </c>
      <c r="C24" t="s">
        <v>8</v>
      </c>
      <c r="D24" t="s">
        <v>43</v>
      </c>
      <c r="E24">
        <v>0.05</v>
      </c>
      <c r="F24">
        <v>0.04</v>
      </c>
      <c r="G24" t="s">
        <v>26</v>
      </c>
      <c r="I24" t="s">
        <v>14</v>
      </c>
    </row>
    <row r="25" spans="1:10" x14ac:dyDescent="0.35">
      <c r="A25" t="s">
        <v>11</v>
      </c>
      <c r="B25" t="s">
        <v>18</v>
      </c>
      <c r="C25" t="s">
        <v>12</v>
      </c>
      <c r="D25" t="s">
        <v>43</v>
      </c>
      <c r="E25">
        <v>2.37</v>
      </c>
      <c r="F25">
        <v>4.0199999999999996</v>
      </c>
      <c r="G25" t="s">
        <v>26</v>
      </c>
      <c r="I25" t="s">
        <v>14</v>
      </c>
    </row>
    <row r="26" spans="1:10" x14ac:dyDescent="0.35">
      <c r="A26" t="s">
        <v>11</v>
      </c>
      <c r="B26" t="s">
        <v>16</v>
      </c>
      <c r="C26" t="s">
        <v>15</v>
      </c>
      <c r="D26" t="s">
        <v>43</v>
      </c>
      <c r="E26">
        <v>4</v>
      </c>
      <c r="F26">
        <v>2.13</v>
      </c>
      <c r="G26" t="s">
        <v>26</v>
      </c>
      <c r="I26" t="s">
        <v>14</v>
      </c>
    </row>
    <row r="27" spans="1:10" x14ac:dyDescent="0.35">
      <c r="A27" t="s">
        <v>11</v>
      </c>
      <c r="B27" t="s">
        <v>20</v>
      </c>
      <c r="C27" t="s">
        <v>19</v>
      </c>
      <c r="D27" t="s">
        <v>43</v>
      </c>
      <c r="E27">
        <v>2.12</v>
      </c>
      <c r="F27">
        <v>0.56999999999999995</v>
      </c>
      <c r="G27" t="s">
        <v>26</v>
      </c>
      <c r="I27" t="s">
        <v>14</v>
      </c>
    </row>
    <row r="28" spans="1:10" x14ac:dyDescent="0.35">
      <c r="A28" t="s">
        <v>11</v>
      </c>
      <c r="B28" t="s">
        <v>29</v>
      </c>
      <c r="C28" t="s">
        <v>30</v>
      </c>
      <c r="D28" t="s">
        <v>40</v>
      </c>
      <c r="H28">
        <v>0.42</v>
      </c>
      <c r="I28" t="s">
        <v>33</v>
      </c>
    </row>
    <row r="29" spans="1:10" x14ac:dyDescent="0.35">
      <c r="A29" t="s">
        <v>10</v>
      </c>
      <c r="B29" t="s">
        <v>17</v>
      </c>
      <c r="C29" t="s">
        <v>4</v>
      </c>
      <c r="D29" t="s">
        <v>44</v>
      </c>
      <c r="E29">
        <v>2.65</v>
      </c>
      <c r="G29" t="s">
        <v>46</v>
      </c>
      <c r="H29">
        <v>0.53</v>
      </c>
      <c r="I29" t="s">
        <v>38</v>
      </c>
      <c r="J29" t="s">
        <v>45</v>
      </c>
    </row>
    <row r="30" spans="1:10" x14ac:dyDescent="0.35">
      <c r="A30" t="s">
        <v>10</v>
      </c>
      <c r="B30" t="s">
        <v>42</v>
      </c>
      <c r="C30" t="s">
        <v>41</v>
      </c>
      <c r="D30" t="s">
        <v>44</v>
      </c>
      <c r="E30">
        <v>2.65</v>
      </c>
      <c r="G30" t="s">
        <v>46</v>
      </c>
      <c r="H30">
        <v>0.45</v>
      </c>
      <c r="I30" t="s">
        <v>38</v>
      </c>
      <c r="J30" t="s">
        <v>50</v>
      </c>
    </row>
    <row r="31" spans="1:10" x14ac:dyDescent="0.35">
      <c r="A31" t="s">
        <v>10</v>
      </c>
      <c r="B31" t="s">
        <v>17</v>
      </c>
      <c r="C31" t="s">
        <v>4</v>
      </c>
      <c r="D31" t="s">
        <v>47</v>
      </c>
      <c r="E31">
        <v>3.6</v>
      </c>
      <c r="G31" t="s">
        <v>54</v>
      </c>
      <c r="I31" t="s">
        <v>38</v>
      </c>
      <c r="J31" t="s">
        <v>50</v>
      </c>
    </row>
    <row r="32" spans="1:10" x14ac:dyDescent="0.35">
      <c r="A32" t="s">
        <v>10</v>
      </c>
      <c r="B32" t="s">
        <v>17</v>
      </c>
      <c r="C32" t="s">
        <v>4</v>
      </c>
      <c r="D32" t="s">
        <v>48</v>
      </c>
      <c r="E32">
        <v>34</v>
      </c>
      <c r="G32" t="s">
        <v>49</v>
      </c>
      <c r="I32" t="s">
        <v>57</v>
      </c>
      <c r="J32" t="s">
        <v>50</v>
      </c>
    </row>
    <row r="33" spans="1:10" x14ac:dyDescent="0.35">
      <c r="A33" t="s">
        <v>10</v>
      </c>
      <c r="B33" t="s">
        <v>17</v>
      </c>
      <c r="C33" t="s">
        <v>4</v>
      </c>
      <c r="D33" t="s">
        <v>51</v>
      </c>
      <c r="E33">
        <v>14</v>
      </c>
      <c r="G33" t="s">
        <v>52</v>
      </c>
      <c r="I33" t="s">
        <v>58</v>
      </c>
      <c r="J33" t="s">
        <v>50</v>
      </c>
    </row>
    <row r="34" spans="1:10" x14ac:dyDescent="0.35">
      <c r="A34" t="s">
        <v>10</v>
      </c>
      <c r="B34" t="s">
        <v>17</v>
      </c>
      <c r="C34" t="s">
        <v>4</v>
      </c>
      <c r="D34" t="s">
        <v>48</v>
      </c>
      <c r="E34">
        <v>173</v>
      </c>
      <c r="G34" t="s">
        <v>53</v>
      </c>
      <c r="I34" t="s">
        <v>59</v>
      </c>
      <c r="J34" t="s">
        <v>50</v>
      </c>
    </row>
    <row r="35" spans="1:10" x14ac:dyDescent="0.35">
      <c r="A35" t="s">
        <v>10</v>
      </c>
      <c r="B35" t="s">
        <v>17</v>
      </c>
      <c r="C35" t="s">
        <v>4</v>
      </c>
      <c r="D35" t="s">
        <v>47</v>
      </c>
      <c r="E35">
        <v>18</v>
      </c>
      <c r="G35" t="s">
        <v>55</v>
      </c>
      <c r="I35" t="s">
        <v>60</v>
      </c>
      <c r="J35" t="s">
        <v>50</v>
      </c>
    </row>
    <row r="36" spans="1:10" x14ac:dyDescent="0.35">
      <c r="A36" t="s">
        <v>10</v>
      </c>
      <c r="B36" t="s">
        <v>17</v>
      </c>
      <c r="C36" t="s">
        <v>4</v>
      </c>
      <c r="D36" t="s">
        <v>56</v>
      </c>
      <c r="E36">
        <v>4341</v>
      </c>
      <c r="G36" t="s">
        <v>61</v>
      </c>
      <c r="H36">
        <v>0.186</v>
      </c>
      <c r="I36" t="s">
        <v>64</v>
      </c>
      <c r="J36" t="s">
        <v>50</v>
      </c>
    </row>
    <row r="37" spans="1:10" x14ac:dyDescent="0.35">
      <c r="A37" t="s">
        <v>10</v>
      </c>
      <c r="B37" t="s">
        <v>17</v>
      </c>
      <c r="C37" t="s">
        <v>4</v>
      </c>
      <c r="D37" t="s">
        <v>56</v>
      </c>
      <c r="E37">
        <v>4.3410000000000002</v>
      </c>
      <c r="G37" t="s">
        <v>67</v>
      </c>
      <c r="I37" t="s">
        <v>65</v>
      </c>
      <c r="J37" t="s">
        <v>50</v>
      </c>
    </row>
    <row r="38" spans="1:10" x14ac:dyDescent="0.35">
      <c r="A38" t="s">
        <v>10</v>
      </c>
      <c r="B38" t="s">
        <v>17</v>
      </c>
      <c r="C38" t="s">
        <v>4</v>
      </c>
      <c r="D38" t="s">
        <v>56</v>
      </c>
      <c r="E38">
        <v>23</v>
      </c>
      <c r="G38" t="s">
        <v>62</v>
      </c>
      <c r="I38" t="s">
        <v>65</v>
      </c>
      <c r="J38" t="s">
        <v>50</v>
      </c>
    </row>
    <row r="39" spans="1:10" x14ac:dyDescent="0.35">
      <c r="A39" t="s">
        <v>10</v>
      </c>
      <c r="B39" t="s">
        <v>17</v>
      </c>
      <c r="C39" t="s">
        <v>4</v>
      </c>
      <c r="D39" t="s">
        <v>56</v>
      </c>
      <c r="E39">
        <v>23</v>
      </c>
      <c r="G39" t="s">
        <v>63</v>
      </c>
      <c r="I39" t="s">
        <v>66</v>
      </c>
      <c r="J39" t="s">
        <v>50</v>
      </c>
    </row>
    <row r="40" spans="1:10" x14ac:dyDescent="0.35">
      <c r="A40" t="s">
        <v>10</v>
      </c>
      <c r="B40" t="s">
        <v>111</v>
      </c>
      <c r="H40">
        <v>0.41</v>
      </c>
      <c r="I40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G1" sqref="G1"/>
    </sheetView>
  </sheetViews>
  <sheetFormatPr defaultRowHeight="14.5" x14ac:dyDescent="0.35"/>
  <cols>
    <col min="1" max="1" width="13.54296875" style="1" bestFit="1" customWidth="1"/>
  </cols>
  <sheetData/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"/>
  <sheetViews>
    <sheetView workbookViewId="0">
      <selection activeCell="S2" sqref="S2"/>
    </sheetView>
  </sheetViews>
  <sheetFormatPr defaultRowHeight="14.5" x14ac:dyDescent="0.35"/>
  <sheetData>
    <row r="1" spans="1:19" x14ac:dyDescent="0.35">
      <c r="A1" t="s">
        <v>320</v>
      </c>
    </row>
    <row r="2" spans="1:19" x14ac:dyDescent="0.35">
      <c r="A2" t="s">
        <v>321</v>
      </c>
      <c r="S2" t="s">
        <v>322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Search returns</vt:lpstr>
      <vt:lpstr>Growth &amp; Nutrition</vt:lpstr>
      <vt:lpstr>LCA</vt:lpstr>
      <vt:lpstr>Dietary FMFO</vt:lpstr>
      <vt:lpstr>FCRs</vt:lpstr>
      <vt:lpstr>Footprints </vt:lpstr>
      <vt:lpstr>Codes </vt:lpstr>
      <vt:lpstr>Sheet1</vt:lpstr>
    </vt:vector>
  </TitlesOfParts>
  <Company>University of Tasmania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Cottrell</dc:creator>
  <cp:lastModifiedBy>Richard Cottrell</cp:lastModifiedBy>
  <dcterms:created xsi:type="dcterms:W3CDTF">2018-05-11T23:00:52Z</dcterms:created>
  <dcterms:modified xsi:type="dcterms:W3CDTF">2019-01-08T05:54:29Z</dcterms:modified>
</cp:coreProperties>
</file>