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Mycourses\EENG385\EENG385labs\lab99 feedbackStability\"/>
    </mc:Choice>
  </mc:AlternateContent>
  <xr:revisionPtr revIDLastSave="0" documentId="13_ncr:1_{B7FC44DD-6255-466A-BB3F-67D16065FE1D}" xr6:coauthVersionLast="47" xr6:coauthVersionMax="47" xr10:uidLastSave="{00000000-0000-0000-0000-000000000000}"/>
  <bookViews>
    <workbookView xWindow="11520" yWindow="0" windowWidth="11520" windowHeight="12960" activeTab="1" xr2:uid="{5D581419-B315-4E57-B679-F397CF0F425F}"/>
  </bookViews>
  <sheets>
    <sheet name="component" sheetId="1" r:id="rId1"/>
    <sheet name="Bod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2" l="1"/>
  <c r="H36" i="2"/>
  <c r="H37" i="2"/>
  <c r="H38" i="2"/>
  <c r="H39" i="2"/>
  <c r="H40" i="2"/>
  <c r="H41" i="2"/>
  <c r="H42" i="2"/>
  <c r="H43" i="2"/>
  <c r="H34" i="2"/>
  <c r="C35" i="2"/>
  <c r="D35" i="2"/>
  <c r="E35" i="2"/>
  <c r="F35" i="2"/>
  <c r="I35" i="2"/>
  <c r="J35" i="2"/>
  <c r="K35" i="2"/>
  <c r="M35" i="2"/>
  <c r="N35" i="2"/>
  <c r="C36" i="2"/>
  <c r="D36" i="2"/>
  <c r="E36" i="2"/>
  <c r="F36" i="2"/>
  <c r="I36" i="2"/>
  <c r="J36" i="2"/>
  <c r="K36" i="2"/>
  <c r="M36" i="2"/>
  <c r="N36" i="2"/>
  <c r="C37" i="2"/>
  <c r="D37" i="2"/>
  <c r="E37" i="2"/>
  <c r="F37" i="2"/>
  <c r="I37" i="2"/>
  <c r="J37" i="2"/>
  <c r="K37" i="2"/>
  <c r="M37" i="2"/>
  <c r="N37" i="2"/>
  <c r="C38" i="2"/>
  <c r="D38" i="2"/>
  <c r="E38" i="2"/>
  <c r="F38" i="2"/>
  <c r="I38" i="2"/>
  <c r="J38" i="2"/>
  <c r="K38" i="2"/>
  <c r="M38" i="2"/>
  <c r="N38" i="2"/>
  <c r="C39" i="2"/>
  <c r="D39" i="2"/>
  <c r="E39" i="2"/>
  <c r="F39" i="2"/>
  <c r="I39" i="2"/>
  <c r="J39" i="2"/>
  <c r="K39" i="2"/>
  <c r="M39" i="2"/>
  <c r="N39" i="2"/>
  <c r="C40" i="2"/>
  <c r="D40" i="2"/>
  <c r="E40" i="2"/>
  <c r="F40" i="2"/>
  <c r="I40" i="2"/>
  <c r="J40" i="2"/>
  <c r="K40" i="2"/>
  <c r="M40" i="2"/>
  <c r="N40" i="2"/>
  <c r="C41" i="2"/>
  <c r="D41" i="2"/>
  <c r="E41" i="2"/>
  <c r="F41" i="2"/>
  <c r="I41" i="2"/>
  <c r="J41" i="2"/>
  <c r="K41" i="2"/>
  <c r="M41" i="2"/>
  <c r="N41" i="2"/>
  <c r="C42" i="2"/>
  <c r="D42" i="2"/>
  <c r="E42" i="2"/>
  <c r="F42" i="2"/>
  <c r="I42" i="2"/>
  <c r="J42" i="2"/>
  <c r="K42" i="2"/>
  <c r="M42" i="2"/>
  <c r="N42" i="2"/>
  <c r="C43" i="2"/>
  <c r="D43" i="2"/>
  <c r="E43" i="2"/>
  <c r="F43" i="2"/>
  <c r="I43" i="2"/>
  <c r="J43" i="2"/>
  <c r="K43" i="2"/>
  <c r="M43" i="2"/>
  <c r="N43" i="2"/>
  <c r="N34" i="2"/>
  <c r="M34" i="2"/>
  <c r="K34" i="2"/>
  <c r="J34" i="2"/>
  <c r="I34" i="2"/>
  <c r="F34" i="2"/>
  <c r="E34" i="2"/>
  <c r="D34" i="2"/>
  <c r="C34" i="2"/>
  <c r="B34" i="2"/>
  <c r="B35" i="2"/>
  <c r="B36" i="2"/>
  <c r="B37" i="2"/>
  <c r="B38" i="2"/>
  <c r="B39" i="2"/>
  <c r="B40" i="2"/>
  <c r="B41" i="2"/>
  <c r="B42" i="2"/>
  <c r="B43" i="2"/>
  <c r="C33" i="2"/>
  <c r="D33" i="2"/>
  <c r="E33" i="2"/>
  <c r="F33" i="2"/>
  <c r="H33" i="2"/>
  <c r="I33" i="2"/>
  <c r="J33" i="2"/>
  <c r="K33" i="2"/>
  <c r="M33" i="2"/>
  <c r="N33" i="2"/>
  <c r="B33" i="2"/>
  <c r="C14" i="2"/>
  <c r="H14" i="2" s="1"/>
  <c r="D14" i="2"/>
  <c r="E14" i="2"/>
  <c r="F14" i="2"/>
  <c r="J14" i="2" s="1"/>
  <c r="K14" i="2" s="1"/>
  <c r="C13" i="2"/>
  <c r="D13" i="2"/>
  <c r="E13" i="2"/>
  <c r="F13" i="2"/>
  <c r="H13" i="2"/>
  <c r="M13" i="2" s="1"/>
  <c r="J13" i="2"/>
  <c r="K13" i="2"/>
  <c r="C11" i="2"/>
  <c r="H11" i="2" s="1"/>
  <c r="D11" i="2"/>
  <c r="E11" i="2"/>
  <c r="F11" i="2"/>
  <c r="J11" i="2" s="1"/>
  <c r="K11" i="2" s="1"/>
  <c r="C8" i="2"/>
  <c r="D8" i="2"/>
  <c r="E8" i="2"/>
  <c r="H8" i="2" s="1"/>
  <c r="F8" i="2"/>
  <c r="J8" i="2"/>
  <c r="K8" i="2" s="1"/>
  <c r="C6" i="2"/>
  <c r="D6" i="2"/>
  <c r="J6" i="2" s="1"/>
  <c r="K6" i="2" s="1"/>
  <c r="E6" i="2"/>
  <c r="F6" i="2"/>
  <c r="C7" i="2"/>
  <c r="D7" i="2"/>
  <c r="E7" i="2"/>
  <c r="F7" i="2"/>
  <c r="C9" i="2"/>
  <c r="D9" i="2"/>
  <c r="J9" i="2" s="1"/>
  <c r="K9" i="2" s="1"/>
  <c r="E9" i="2"/>
  <c r="F9" i="2"/>
  <c r="C10" i="2"/>
  <c r="D10" i="2"/>
  <c r="E10" i="2"/>
  <c r="H10" i="2" s="1"/>
  <c r="I10" i="2" s="1"/>
  <c r="F10" i="2"/>
  <c r="J10" i="2" s="1"/>
  <c r="K10" i="2" s="1"/>
  <c r="C12" i="2"/>
  <c r="H12" i="2" s="1"/>
  <c r="D12" i="2"/>
  <c r="E12" i="2"/>
  <c r="F12" i="2"/>
  <c r="F5" i="2"/>
  <c r="E5" i="2"/>
  <c r="D5" i="2"/>
  <c r="J5" i="2" s="1"/>
  <c r="K5" i="2" s="1"/>
  <c r="C5" i="2"/>
  <c r="H5" i="2" s="1"/>
  <c r="D10" i="1"/>
  <c r="D11" i="1"/>
  <c r="D13" i="1"/>
  <c r="E11" i="1"/>
  <c r="E10" i="1"/>
  <c r="E13" i="1" s="1"/>
  <c r="E14" i="1" s="1"/>
  <c r="M14" i="2" l="1"/>
  <c r="N14" i="2"/>
  <c r="I14" i="2"/>
  <c r="I13" i="2"/>
  <c r="N13" i="2"/>
  <c r="M11" i="2"/>
  <c r="N11" i="2"/>
  <c r="I11" i="2"/>
  <c r="H9" i="2"/>
  <c r="N9" i="2" s="1"/>
  <c r="M8" i="2"/>
  <c r="I8" i="2"/>
  <c r="J7" i="2"/>
  <c r="K7" i="2" s="1"/>
  <c r="N8" i="2"/>
  <c r="N5" i="2"/>
  <c r="I5" i="2"/>
  <c r="N12" i="2"/>
  <c r="H6" i="2"/>
  <c r="N6" i="2" s="1"/>
  <c r="N10" i="2"/>
  <c r="H7" i="2"/>
  <c r="N7" i="2" s="1"/>
  <c r="J12" i="2"/>
  <c r="K12" i="2" s="1"/>
  <c r="M7" i="2"/>
  <c r="I12" i="2"/>
  <c r="M9" i="2"/>
  <c r="I9" i="2"/>
  <c r="M10" i="2"/>
  <c r="M5" i="2"/>
  <c r="D14" i="1"/>
  <c r="M12" i="2" l="1"/>
  <c r="I7" i="2"/>
  <c r="M6" i="2"/>
  <c r="I6" i="2"/>
</calcChain>
</file>

<file path=xl/sharedStrings.xml><?xml version="1.0" encoding="utf-8"?>
<sst xmlns="http://schemas.openxmlformats.org/spreadsheetml/2006/main" count="20" uniqueCount="20">
  <si>
    <t>R1</t>
  </si>
  <si>
    <t>R2</t>
  </si>
  <si>
    <t>C1</t>
  </si>
  <si>
    <t>C2</t>
  </si>
  <si>
    <t>zeta</t>
  </si>
  <si>
    <t>s^0</t>
  </si>
  <si>
    <t>s^1</t>
  </si>
  <si>
    <t>w_n</t>
  </si>
  <si>
    <t xml:space="preserve"> </t>
  </si>
  <si>
    <t>omega</t>
  </si>
  <si>
    <t>|G1|</t>
  </si>
  <si>
    <t>&lt;G1</t>
  </si>
  <si>
    <t>|G2|</t>
  </si>
  <si>
    <t>&lt;G2</t>
  </si>
  <si>
    <t>|G|</t>
  </si>
  <si>
    <t>20log(|G|)</t>
  </si>
  <si>
    <t>&lt;G (rad)</t>
  </si>
  <si>
    <t>&lt;G (deg)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</si>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</sst>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Bode!$I$4</c:f>
              <c:strCache>
                <c:ptCount val="1"/>
                <c:pt idx="0">
                  <c:v>20log(|G|)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Bode!$B$5:$B$14</c:f>
              <c:numCache>
                <c:formatCode>General</c:formatCode>
                <c:ptCount val="10"/>
                <c:pt idx="0">
                  <c:v>100</c:v>
                </c:pt>
                <c:pt idx="1">
                  <c:v>1000</c:v>
                </c:pt>
                <c:pt idx="2">
                  <c:v>2200</c:v>
                </c:pt>
                <c:pt idx="3">
                  <c:v>4700</c:v>
                </c:pt>
                <c:pt idx="4">
                  <c:v>10000</c:v>
                </c:pt>
                <c:pt idx="5">
                  <c:v>22000</c:v>
                </c:pt>
                <c:pt idx="6">
                  <c:v>47000</c:v>
                </c:pt>
                <c:pt idx="7">
                  <c:v>100000</c:v>
                </c:pt>
                <c:pt idx="8">
                  <c:v>220000</c:v>
                </c:pt>
                <c:pt idx="9">
                  <c:v>470000</c:v>
                </c:pt>
              </c:numCache>
            </c:numRef>
          </c:xVal>
          <c:yVal>
            <c:numRef>
              <c:f>Bode!$I$5:$I$14</c:f>
              <c:numCache>
                <c:formatCode>General</c:formatCode>
                <c:ptCount val="10"/>
                <c:pt idx="0">
                  <c:v>-9.107907196576608E-4</c:v>
                </c:pt>
                <c:pt idx="1">
                  <c:v>-9.0997573095395953E-2</c:v>
                </c:pt>
                <c:pt idx="2">
                  <c:v>-0.43919404653183675</c:v>
                </c:pt>
                <c:pt idx="3">
                  <c:v>-2.0053398675677765</c:v>
                </c:pt>
                <c:pt idx="4">
                  <c:v>-9.7344664538622965</c:v>
                </c:pt>
                <c:pt idx="5">
                  <c:v>-32.073781314875951</c:v>
                </c:pt>
                <c:pt idx="6">
                  <c:v>-57.809370988673159</c:v>
                </c:pt>
                <c:pt idx="7">
                  <c:v>-83.920502531712259</c:v>
                </c:pt>
                <c:pt idx="8">
                  <c:v>-111.28790846538874</c:v>
                </c:pt>
                <c:pt idx="9">
                  <c:v>-137.65658795736763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BC-45E1-BDDF-155EFB9C6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114256"/>
        <c:axId val="550111376"/>
      </c:scatterChart>
      <c:valAx>
        <c:axId val="5501142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11376"/>
        <c:crosses val="autoZero"/>
        <c:crossBetween val="midCat"/>
      </c:valAx>
      <c:valAx>
        <c:axId val="5501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1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Bode!$K$4</c:f>
              <c:strCache>
                <c:ptCount val="1"/>
                <c:pt idx="0">
                  <c:v>&lt;G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Bode!$B$5:$B$14</c:f>
              <c:numCache>
                <c:formatCode>General</c:formatCode>
                <c:ptCount val="10"/>
                <c:pt idx="0">
                  <c:v>100</c:v>
                </c:pt>
                <c:pt idx="1">
                  <c:v>1000</c:v>
                </c:pt>
                <c:pt idx="2">
                  <c:v>2200</c:v>
                </c:pt>
                <c:pt idx="3">
                  <c:v>4700</c:v>
                </c:pt>
                <c:pt idx="4">
                  <c:v>10000</c:v>
                </c:pt>
                <c:pt idx="5">
                  <c:v>22000</c:v>
                </c:pt>
                <c:pt idx="6">
                  <c:v>47000</c:v>
                </c:pt>
                <c:pt idx="7">
                  <c:v>100000</c:v>
                </c:pt>
                <c:pt idx="8">
                  <c:v>220000</c:v>
                </c:pt>
                <c:pt idx="9">
                  <c:v>470000</c:v>
                </c:pt>
              </c:numCache>
            </c:numRef>
          </c:xVal>
          <c:yVal>
            <c:numRef>
              <c:f>Bode!$K$5:$K$14</c:f>
              <c:numCache>
                <c:formatCode>General</c:formatCode>
                <c:ptCount val="10"/>
                <c:pt idx="0">
                  <c:v>-2.0795590158983583</c:v>
                </c:pt>
                <c:pt idx="1">
                  <c:v>-20.783408230574025</c:v>
                </c:pt>
                <c:pt idx="2">
                  <c:v>-45.625427504468902</c:v>
                </c:pt>
                <c:pt idx="3">
                  <c:v>-96.70328958150192</c:v>
                </c:pt>
                <c:pt idx="4">
                  <c:v>-194.17233770013198</c:v>
                </c:pt>
                <c:pt idx="5">
                  <c:v>-285.66866373596065</c:v>
                </c:pt>
                <c:pt idx="6">
                  <c:v>-325.71538305711982</c:v>
                </c:pt>
                <c:pt idx="7">
                  <c:v>-343.94145413459279</c:v>
                </c:pt>
                <c:pt idx="8">
                  <c:v>-352.70633209503592</c:v>
                </c:pt>
                <c:pt idx="9">
                  <c:v>-356.5864828380686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B4-4123-A009-63587CAE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436312"/>
        <c:axId val="555149272"/>
      </c:scatterChart>
      <c:valAx>
        <c:axId val="441436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49272"/>
        <c:crosses val="autoZero"/>
        <c:crossBetween val="midCat"/>
      </c:valAx>
      <c:valAx>
        <c:axId val="55514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3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Bode!$N$4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Bode!$M$5:$M$14</c:f>
              <c:numCache>
                <c:formatCode>General</c:formatCode>
                <c:ptCount val="10"/>
                <c:pt idx="0">
                  <c:v>0.99923661917832451</c:v>
                </c:pt>
                <c:pt idx="1">
                  <c:v>0.92518483605540702</c:v>
                </c:pt>
                <c:pt idx="2">
                  <c:v>0.66486353269301945</c:v>
                </c:pt>
                <c:pt idx="3">
                  <c:v>-9.2663170106063134E-2</c:v>
                </c:pt>
                <c:pt idx="4">
                  <c:v>-0.31612075580280069</c:v>
                </c:pt>
                <c:pt idx="5">
                  <c:v>6.7265679366127719E-3</c:v>
                </c:pt>
                <c:pt idx="6">
                  <c:v>1.0632678770347889E-3</c:v>
                </c:pt>
                <c:pt idx="7">
                  <c:v>6.1191206473953472E-5</c:v>
                </c:pt>
                <c:pt idx="8">
                  <c:v>2.7044327065462708E-6</c:v>
                </c:pt>
                <c:pt idx="9">
                  <c:v>1.307372652762383E-7</c:v>
                </c:pt>
              </c:numCache>
            </c:numRef>
          </c:xVal>
          <c:yVal>
            <c:numRef>
              <c:f>Bode!$N$5:$N$14</c:f>
              <c:numCache>
                <c:formatCode>General</c:formatCode>
                <c:ptCount val="10"/>
                <c:pt idx="0">
                  <c:v>-3.6283378685269436E-2</c:v>
                </c:pt>
                <c:pt idx="1">
                  <c:v>-0.35113820901457071</c:v>
                </c:pt>
                <c:pt idx="2">
                  <c:v>-0.67953930667703666</c:v>
                </c:pt>
                <c:pt idx="3">
                  <c:v>-0.78841332089222305</c:v>
                </c:pt>
                <c:pt idx="4">
                  <c:v>7.9828473687575924E-2</c:v>
                </c:pt>
                <c:pt idx="5">
                  <c:v>2.3980866854350778E-2</c:v>
                </c:pt>
                <c:pt idx="6">
                  <c:v>7.2489393451329043E-4</c:v>
                </c:pt>
                <c:pt idx="7">
                  <c:v>1.7613983338039012E-5</c:v>
                </c:pt>
                <c:pt idx="8">
                  <c:v>3.4614203651735118E-7</c:v>
                </c:pt>
                <c:pt idx="9">
                  <c:v>7.7981774504699751E-9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A-48D7-ACDE-E6BD2AE2E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757488"/>
        <c:axId val="561754968"/>
      </c:scatterChart>
      <c:valAx>
        <c:axId val="56175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54968"/>
        <c:crosses val="autoZero"/>
        <c:crossBetween val="midCat"/>
      </c:valAx>
      <c:valAx>
        <c:axId val="56175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5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15</xdr:row>
      <xdr:rowOff>15240</xdr:rowOff>
    </xdr:from>
    <xdr:to>
      <xdr:col>8</xdr:col>
      <xdr:colOff>205740</xdr:colOff>
      <xdr:row>30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30AB5F-4511-FDB2-5B14-BA12C4AF4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15</xdr:row>
      <xdr:rowOff>15240</xdr:rowOff>
    </xdr:from>
    <xdr:to>
      <xdr:col>16</xdr:col>
      <xdr:colOff>297180</xdr:colOff>
      <xdr:row>30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D1DF1C-9176-CE83-DFA4-93C4A84DD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83820</xdr:colOff>
      <xdr:row>15</xdr:row>
      <xdr:rowOff>22860</xdr:rowOff>
    </xdr:from>
    <xdr:to>
      <xdr:col>24</xdr:col>
      <xdr:colOff>388620</xdr:colOff>
      <xdr:row>30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DF6E11-0D8B-3B9B-589C-0EAEFF362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E9086-8875-4567-B671-FE6B0127261E}">
  <dimension ref="C5:I27"/>
  <sheetViews>
    <sheetView topLeftCell="B1" zoomScale="190" zoomScaleNormal="190" workbookViewId="0">
      <selection activeCell="G7" sqref="G7"/>
    </sheetView>
  </sheetViews>
  <sheetFormatPr defaultRowHeight="14.4" x14ac:dyDescent="0.3"/>
  <sheetData>
    <row r="5" spans="3:9" x14ac:dyDescent="0.3">
      <c r="C5" t="s">
        <v>0</v>
      </c>
      <c r="D5" s="1">
        <v>82000</v>
      </c>
      <c r="E5" s="1">
        <v>12000</v>
      </c>
    </row>
    <row r="6" spans="3:9" x14ac:dyDescent="0.3">
      <c r="C6" t="s">
        <v>1</v>
      </c>
      <c r="D6" s="1">
        <v>150000</v>
      </c>
      <c r="E6" s="1">
        <v>27000</v>
      </c>
    </row>
    <row r="7" spans="3:9" x14ac:dyDescent="0.3">
      <c r="C7" t="s">
        <v>2</v>
      </c>
      <c r="D7" s="1">
        <v>1.2E-9</v>
      </c>
      <c r="E7" s="1">
        <v>1E-8</v>
      </c>
    </row>
    <row r="8" spans="3:9" x14ac:dyDescent="0.3">
      <c r="C8" t="s">
        <v>3</v>
      </c>
      <c r="D8" s="1">
        <v>1.0000000000000001E-9</v>
      </c>
      <c r="E8" s="1">
        <v>3.3000000000000002E-9</v>
      </c>
    </row>
    <row r="9" spans="3:9" x14ac:dyDescent="0.3">
      <c r="I9" t="s">
        <v>8</v>
      </c>
    </row>
    <row r="10" spans="3:9" x14ac:dyDescent="0.3">
      <c r="C10" t="s">
        <v>5</v>
      </c>
      <c r="D10" s="1">
        <f>1/(D5*D6*D7*D8)</f>
        <v>67750677.506775066</v>
      </c>
      <c r="E10" s="1">
        <f>1/(E5*E6*E7*E8)</f>
        <v>93527871.305649072</v>
      </c>
    </row>
    <row r="11" spans="3:9" x14ac:dyDescent="0.3">
      <c r="C11" t="s">
        <v>6</v>
      </c>
      <c r="D11" s="1">
        <f>(1/(D5*D7)) + (1/(D6*D7))</f>
        <v>15718.157181571816</v>
      </c>
      <c r="E11" s="1">
        <f>(1/(E5*E7)) + (1/(E6*E7))</f>
        <v>12037.037037037036</v>
      </c>
    </row>
    <row r="13" spans="3:9" x14ac:dyDescent="0.3">
      <c r="C13" t="s">
        <v>7</v>
      </c>
      <c r="D13">
        <f>SQRT(D10)</f>
        <v>8231.0799720799132</v>
      </c>
      <c r="E13">
        <f>SQRT(E10)</f>
        <v>9670.9808864276565</v>
      </c>
    </row>
    <row r="14" spans="3:9" x14ac:dyDescent="0.3">
      <c r="C14" t="s">
        <v>4</v>
      </c>
      <c r="D14" s="1">
        <f>D11/(2*D13)</f>
        <v>0.95480527676127003</v>
      </c>
      <c r="E14" s="1">
        <f>E11/(2*E13)</f>
        <v>0.62232762004161979</v>
      </c>
    </row>
    <row r="18" spans="4:5" x14ac:dyDescent="0.3">
      <c r="D18" s="1"/>
      <c r="E18" s="1"/>
    </row>
    <row r="19" spans="4:5" x14ac:dyDescent="0.3">
      <c r="D19" s="1"/>
      <c r="E19" s="1"/>
    </row>
    <row r="20" spans="4:5" x14ac:dyDescent="0.3">
      <c r="D20" s="1"/>
      <c r="E20" s="1"/>
    </row>
    <row r="21" spans="4:5" x14ac:dyDescent="0.3">
      <c r="D21" s="1"/>
      <c r="E21" s="1"/>
    </row>
    <row r="23" spans="4:5" x14ac:dyDescent="0.3">
      <c r="D23" s="1"/>
      <c r="E23" s="1"/>
    </row>
    <row r="24" spans="4:5" x14ac:dyDescent="0.3">
      <c r="D24" s="1"/>
      <c r="E24" s="1"/>
    </row>
    <row r="27" spans="4:5" x14ac:dyDescent="0.3">
      <c r="D27" s="1"/>
      <c r="E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0FA43-5570-4A55-90AC-285A5B444AB5}">
  <dimension ref="B4:N43"/>
  <sheetViews>
    <sheetView tabSelected="1" topLeftCell="H1" workbookViewId="0">
      <selection activeCell="M5" sqref="M5:N14"/>
    </sheetView>
  </sheetViews>
  <sheetFormatPr defaultRowHeight="14.4" x14ac:dyDescent="0.3"/>
  <cols>
    <col min="3" max="3" width="11" bestFit="1" customWidth="1"/>
  </cols>
  <sheetData>
    <row r="4" spans="2:14" x14ac:dyDescent="0.3">
      <c r="B4" t="s">
        <v>9</v>
      </c>
      <c r="C4" t="s">
        <v>10</v>
      </c>
      <c r="D4" t="s">
        <v>11</v>
      </c>
      <c r="E4" t="s">
        <v>12</v>
      </c>
      <c r="F4" t="s">
        <v>13</v>
      </c>
      <c r="H4" t="s">
        <v>14</v>
      </c>
      <c r="I4" t="s">
        <v>15</v>
      </c>
      <c r="J4" t="s">
        <v>16</v>
      </c>
      <c r="K4" t="s">
        <v>17</v>
      </c>
      <c r="M4" t="s">
        <v>18</v>
      </c>
      <c r="N4" t="s">
        <v>19</v>
      </c>
    </row>
    <row r="5" spans="2:14" x14ac:dyDescent="0.3">
      <c r="B5">
        <v>100</v>
      </c>
      <c r="C5">
        <f>68000000/SQRT((68000000-$B5*$B5)^2 + (16000*$B5)^2)</f>
        <v>0.99987025665575591</v>
      </c>
      <c r="D5">
        <f>-1*ATAN((16000*$B5)/(68000000-$B5*$B5))</f>
        <v>-2.3528529786569292E-2</v>
      </c>
      <c r="E5">
        <f>94000000/SQRT((94000000-$B5*$B5)^2 + (12000*$B5)^2)</f>
        <v>1.0000248934147797</v>
      </c>
      <c r="F5">
        <f>-1*ATAN((12000*$B5)/(94000000-$B5*$B5))</f>
        <v>-1.2766622030390166E-2</v>
      </c>
      <c r="H5">
        <f>C5*E5</f>
        <v>0.99989514684078074</v>
      </c>
      <c r="I5">
        <f>20*LOG(H5)</f>
        <v>-9.107907196576608E-4</v>
      </c>
      <c r="J5">
        <f>D5+F5</f>
        <v>-3.6295151816959456E-2</v>
      </c>
      <c r="K5">
        <f>IF(J5*180/PI()&gt;0,(J5*180/PI()) - 360, J5*180/PI())</f>
        <v>-2.0795590158983583</v>
      </c>
      <c r="M5">
        <f>H5*COS(J5)</f>
        <v>0.99923661917832451</v>
      </c>
      <c r="N5">
        <f>H5*SIN(J5)</f>
        <v>-3.6283378685269436E-2</v>
      </c>
    </row>
    <row r="6" spans="2:14" x14ac:dyDescent="0.3">
      <c r="B6">
        <v>1000</v>
      </c>
      <c r="C6">
        <f t="shared" ref="C6:C14" si="0">68000000/SQRT((68000000-$B6*$B6)^2 + (16000*$B6)^2)</f>
        <v>0.98716739873722026</v>
      </c>
      <c r="D6">
        <f t="shared" ref="D6:D14" si="1">-1*ATAN((16000*$B6)/(68000000-$B6*$B6))</f>
        <v>-0.23441567572381078</v>
      </c>
      <c r="E6">
        <f t="shared" ref="E6:E14" si="2">94000000/SQRT((94000000-$B6*$B6)^2 + (12000*$B6)^2)</f>
        <v>1.0024421447698748</v>
      </c>
      <c r="F6">
        <f t="shared" ref="F6:F14" si="3">-1*ATAN((12000*$B6)/(94000000-$B6*$B6))</f>
        <v>-0.12832322768579479</v>
      </c>
      <c r="H6">
        <f t="shared" ref="H6:H14" si="4">C6*E6</f>
        <v>0.98957820443703726</v>
      </c>
      <c r="I6">
        <f t="shared" ref="I6:I14" si="5">20*LOG(H6)</f>
        <v>-9.0997573095395953E-2</v>
      </c>
      <c r="J6">
        <f t="shared" ref="J6:J14" si="6">D6+F6</f>
        <v>-0.36273890340960557</v>
      </c>
      <c r="K6">
        <f t="shared" ref="K6:K14" si="7">IF(J6*180/PI()&gt;0,(J6*180/PI()) - 360, J6*180/PI())</f>
        <v>-20.783408230574025</v>
      </c>
      <c r="M6">
        <f t="shared" ref="M6:M14" si="8">H6*COS(J6)</f>
        <v>0.92518483605540702</v>
      </c>
      <c r="N6">
        <f>H6*SIN(J6)</f>
        <v>-0.35113820901457071</v>
      </c>
    </row>
    <row r="7" spans="2:14" x14ac:dyDescent="0.3">
      <c r="B7">
        <v>2200</v>
      </c>
      <c r="C7">
        <f t="shared" si="0"/>
        <v>0.94044142972417344</v>
      </c>
      <c r="D7">
        <f t="shared" si="1"/>
        <v>-0.50844179518611921</v>
      </c>
      <c r="E7">
        <f t="shared" si="2"/>
        <v>1.0109008101935097</v>
      </c>
      <c r="F7">
        <f t="shared" si="3"/>
        <v>-0.28787213739684298</v>
      </c>
      <c r="H7">
        <f t="shared" si="4"/>
        <v>0.95069300324770956</v>
      </c>
      <c r="I7">
        <f t="shared" si="5"/>
        <v>-0.43919404653183675</v>
      </c>
      <c r="J7">
        <f t="shared" si="6"/>
        <v>-0.79631393258296224</v>
      </c>
      <c r="K7">
        <f t="shared" si="7"/>
        <v>-45.625427504468902</v>
      </c>
      <c r="M7">
        <f t="shared" si="8"/>
        <v>0.66486353269301945</v>
      </c>
      <c r="N7">
        <f t="shared" ref="N7:N14" si="9">H7*SIN(J7)</f>
        <v>-0.67953930667703666</v>
      </c>
    </row>
    <row r="8" spans="2:14" x14ac:dyDescent="0.3">
      <c r="B8">
        <v>4700</v>
      </c>
      <c r="C8">
        <f t="shared" si="0"/>
        <v>0.77179259331094807</v>
      </c>
      <c r="D8">
        <f t="shared" si="1"/>
        <v>-1.0226881142372435</v>
      </c>
      <c r="E8">
        <f t="shared" si="2"/>
        <v>1.0285665586351695</v>
      </c>
      <c r="F8">
        <f t="shared" si="3"/>
        <v>-0.66510268646949422</v>
      </c>
      <c r="H8">
        <f t="shared" ref="H8" si="10">C8*E8</f>
        <v>0.79384005168195482</v>
      </c>
      <c r="I8">
        <f t="shared" si="5"/>
        <v>-2.0053398675677765</v>
      </c>
      <c r="J8">
        <f t="shared" ref="J8" si="11">D8+F8</f>
        <v>-1.6877908007067377</v>
      </c>
      <c r="K8">
        <f t="shared" si="7"/>
        <v>-96.70328958150192</v>
      </c>
      <c r="M8">
        <f t="shared" ref="M8" si="12">H8*COS(J8)</f>
        <v>-9.2663170106063134E-2</v>
      </c>
      <c r="N8">
        <f t="shared" ref="N8" si="13">H8*SIN(J8)</f>
        <v>-0.78841332089222305</v>
      </c>
    </row>
    <row r="9" spans="2:14" x14ac:dyDescent="0.3">
      <c r="B9">
        <v>10000</v>
      </c>
      <c r="C9">
        <f t="shared" si="0"/>
        <v>0.41674678716864105</v>
      </c>
      <c r="D9">
        <f t="shared" si="1"/>
        <v>1.3734007669450159</v>
      </c>
      <c r="E9">
        <f t="shared" si="2"/>
        <v>0.78235599878764506</v>
      </c>
      <c r="F9">
        <f t="shared" si="3"/>
        <v>1.5208379310729538</v>
      </c>
      <c r="H9">
        <f t="shared" si="4"/>
        <v>0.32604434891686429</v>
      </c>
      <c r="I9">
        <f t="shared" si="5"/>
        <v>-9.7344664538622965</v>
      </c>
      <c r="J9">
        <f t="shared" si="6"/>
        <v>2.8942386980179697</v>
      </c>
      <c r="K9">
        <f t="shared" si="7"/>
        <v>-194.17233770013198</v>
      </c>
      <c r="M9">
        <f t="shared" si="8"/>
        <v>-0.31612075580280069</v>
      </c>
      <c r="N9">
        <f t="shared" si="9"/>
        <v>7.9828473687575924E-2</v>
      </c>
    </row>
    <row r="10" spans="2:14" x14ac:dyDescent="0.3">
      <c r="B10">
        <v>22000</v>
      </c>
      <c r="C10">
        <f t="shared" si="0"/>
        <v>0.1247842966468745</v>
      </c>
      <c r="D10">
        <f t="shared" si="1"/>
        <v>0.70225693150900703</v>
      </c>
      <c r="E10">
        <f t="shared" si="2"/>
        <v>0.19959561636096931</v>
      </c>
      <c r="F10">
        <f t="shared" si="3"/>
        <v>0.59506962370554117</v>
      </c>
      <c r="H10">
        <f t="shared" si="4"/>
        <v>2.4906398601402951E-2</v>
      </c>
      <c r="I10">
        <f t="shared" si="5"/>
        <v>-32.073781314875951</v>
      </c>
      <c r="J10">
        <f t="shared" si="6"/>
        <v>1.2973265552145481</v>
      </c>
      <c r="K10">
        <f t="shared" si="7"/>
        <v>-285.66866373596065</v>
      </c>
      <c r="M10">
        <f t="shared" si="8"/>
        <v>6.7265679366127719E-3</v>
      </c>
      <c r="N10">
        <f t="shared" si="9"/>
        <v>2.3980866854350778E-2</v>
      </c>
    </row>
    <row r="11" spans="2:14" x14ac:dyDescent="0.3">
      <c r="B11">
        <v>47000</v>
      </c>
      <c r="C11">
        <f t="shared" si="0"/>
        <v>2.9966169443843754E-2</v>
      </c>
      <c r="D11">
        <f t="shared" si="1"/>
        <v>0.33777705669095076</v>
      </c>
      <c r="E11">
        <f t="shared" si="2"/>
        <v>4.2943775093388724E-2</v>
      </c>
      <c r="F11">
        <f t="shared" si="3"/>
        <v>0.26060239174734096</v>
      </c>
      <c r="H11">
        <f t="shared" si="4"/>
        <v>1.2868604410068037E-3</v>
      </c>
      <c r="I11">
        <f t="shared" si="5"/>
        <v>-57.809370988673159</v>
      </c>
      <c r="J11">
        <f t="shared" si="6"/>
        <v>0.59837944843829172</v>
      </c>
      <c r="K11">
        <f t="shared" si="7"/>
        <v>-325.71538305711982</v>
      </c>
      <c r="M11">
        <f t="shared" si="8"/>
        <v>1.0632678770347889E-3</v>
      </c>
      <c r="N11">
        <f t="shared" si="9"/>
        <v>7.2489393451329043E-4</v>
      </c>
    </row>
    <row r="12" spans="2:14" x14ac:dyDescent="0.3">
      <c r="B12">
        <v>100000</v>
      </c>
      <c r="C12">
        <f t="shared" si="0"/>
        <v>6.7594091434620193E-3</v>
      </c>
      <c r="D12">
        <f t="shared" si="1"/>
        <v>0.15972318482714895</v>
      </c>
      <c r="E12">
        <f t="shared" si="2"/>
        <v>9.4203304749395627E-3</v>
      </c>
      <c r="F12">
        <f t="shared" si="3"/>
        <v>0.12055131360672899</v>
      </c>
      <c r="H12">
        <f t="shared" si="4"/>
        <v>6.3675867946740388E-5</v>
      </c>
      <c r="I12">
        <f t="shared" si="5"/>
        <v>-83.920502531712259</v>
      </c>
      <c r="J12">
        <f t="shared" si="6"/>
        <v>0.28027449843387797</v>
      </c>
      <c r="K12">
        <f t="shared" si="7"/>
        <v>-343.94145413459279</v>
      </c>
      <c r="M12">
        <f t="shared" si="8"/>
        <v>6.1191206473953472E-5</v>
      </c>
      <c r="N12">
        <f t="shared" si="9"/>
        <v>1.7613983338039012E-5</v>
      </c>
    </row>
    <row r="13" spans="2:14" x14ac:dyDescent="0.3">
      <c r="B13">
        <v>220000</v>
      </c>
      <c r="C13">
        <f t="shared" si="0"/>
        <v>1.4032188438797466E-3</v>
      </c>
      <c r="D13">
        <f t="shared" si="1"/>
        <v>7.2701237185841136E-2</v>
      </c>
      <c r="E13">
        <f t="shared" si="2"/>
        <v>1.9430284897574723E-3</v>
      </c>
      <c r="F13">
        <f t="shared" si="3"/>
        <v>5.4597282302818545E-2</v>
      </c>
      <c r="H13">
        <f t="shared" si="4"/>
        <v>2.7264941910228905E-6</v>
      </c>
      <c r="I13">
        <f t="shared" si="5"/>
        <v>-111.28790846538874</v>
      </c>
      <c r="J13">
        <f t="shared" si="6"/>
        <v>0.12729851948865967</v>
      </c>
      <c r="K13">
        <f t="shared" si="7"/>
        <v>-352.70633209503592</v>
      </c>
      <c r="M13">
        <f t="shared" si="8"/>
        <v>2.7044327065462708E-6</v>
      </c>
      <c r="N13">
        <f t="shared" si="9"/>
        <v>3.4614203651735118E-7</v>
      </c>
    </row>
    <row r="14" spans="2:14" x14ac:dyDescent="0.3">
      <c r="B14">
        <v>470000</v>
      </c>
      <c r="C14">
        <f t="shared" si="0"/>
        <v>3.077480054620664E-4</v>
      </c>
      <c r="D14">
        <f t="shared" si="1"/>
        <v>3.4039882204121741E-2</v>
      </c>
      <c r="E14">
        <f t="shared" si="2"/>
        <v>4.2557426250662431E-4</v>
      </c>
      <c r="F14">
        <f t="shared" si="3"/>
        <v>2.5537231344914015E-2</v>
      </c>
      <c r="H14">
        <f t="shared" si="4"/>
        <v>1.3096963046240349E-7</v>
      </c>
      <c r="I14">
        <f t="shared" si="5"/>
        <v>-137.65658795736763</v>
      </c>
      <c r="J14">
        <f t="shared" si="6"/>
        <v>5.9577113549035755E-2</v>
      </c>
      <c r="K14">
        <f t="shared" si="7"/>
        <v>-356.5864828380686</v>
      </c>
      <c r="M14">
        <f t="shared" si="8"/>
        <v>1.307372652762383E-7</v>
      </c>
      <c r="N14">
        <f t="shared" si="9"/>
        <v>7.7981774504699751E-9</v>
      </c>
    </row>
    <row r="33" spans="2:14" x14ac:dyDescent="0.3">
      <c r="B33" t="str">
        <f>B4</f>
        <v>omega</v>
      </c>
      <c r="C33" t="str">
        <f t="shared" ref="C33:N33" si="14">C4</f>
        <v>|G1|</v>
      </c>
      <c r="D33" t="str">
        <f t="shared" si="14"/>
        <v>&lt;G1</v>
      </c>
      <c r="E33" t="str">
        <f t="shared" si="14"/>
        <v>|G2|</v>
      </c>
      <c r="F33" t="str">
        <f t="shared" si="14"/>
        <v>&lt;G2</v>
      </c>
      <c r="H33" t="str">
        <f t="shared" si="14"/>
        <v>|G|</v>
      </c>
      <c r="I33" t="str">
        <f t="shared" si="14"/>
        <v>20log(|G|)</v>
      </c>
      <c r="J33" t="str">
        <f t="shared" si="14"/>
        <v>&lt;G (rad)</v>
      </c>
      <c r="K33" t="str">
        <f t="shared" si="14"/>
        <v>&lt;G (deg)</v>
      </c>
      <c r="M33" t="str">
        <f t="shared" si="14"/>
        <v>X</v>
      </c>
      <c r="N33" t="str">
        <f t="shared" si="14"/>
        <v>Y</v>
      </c>
    </row>
    <row r="34" spans="2:14" x14ac:dyDescent="0.3">
      <c r="B34">
        <f t="shared" ref="B34:F34" si="15">B5</f>
        <v>100</v>
      </c>
      <c r="C34">
        <f>ROUND(C5,2)</f>
        <v>1</v>
      </c>
      <c r="D34">
        <f>ROUND(D5,2)</f>
        <v>-0.02</v>
      </c>
      <c r="E34">
        <f>ROUND(E5,2)</f>
        <v>1</v>
      </c>
      <c r="F34">
        <f>ROUND(F5,2)</f>
        <v>-0.01</v>
      </c>
      <c r="H34">
        <f>ROUND(H5,3)</f>
        <v>1</v>
      </c>
      <c r="I34">
        <f>ROUND(I5,2)</f>
        <v>0</v>
      </c>
      <c r="J34">
        <f>ROUND(J5,2)</f>
        <v>-0.04</v>
      </c>
      <c r="K34">
        <f>ROUND(K5,2)</f>
        <v>-2.08</v>
      </c>
      <c r="M34">
        <f>ROUND(M5,2)</f>
        <v>1</v>
      </c>
      <c r="N34">
        <f>ROUND(N5,2)</f>
        <v>-0.04</v>
      </c>
    </row>
    <row r="35" spans="2:14" x14ac:dyDescent="0.3">
      <c r="B35">
        <f t="shared" ref="B35:F35" si="16">B6</f>
        <v>1000</v>
      </c>
      <c r="C35">
        <f t="shared" ref="C35:F35" si="17">ROUND(C6,2)</f>
        <v>0.99</v>
      </c>
      <c r="D35">
        <f t="shared" si="17"/>
        <v>-0.23</v>
      </c>
      <c r="E35">
        <f t="shared" si="17"/>
        <v>1</v>
      </c>
      <c r="F35">
        <f t="shared" si="17"/>
        <v>-0.13</v>
      </c>
      <c r="H35">
        <f t="shared" ref="H35:H43" si="18">ROUND(H6,3)</f>
        <v>0.99</v>
      </c>
      <c r="I35">
        <f t="shared" ref="H35:K35" si="19">ROUND(I6,2)</f>
        <v>-0.09</v>
      </c>
      <c r="J35">
        <f t="shared" si="19"/>
        <v>-0.36</v>
      </c>
      <c r="K35">
        <f t="shared" si="19"/>
        <v>-20.78</v>
      </c>
      <c r="M35">
        <f t="shared" ref="M35:N35" si="20">ROUND(M6,2)</f>
        <v>0.93</v>
      </c>
      <c r="N35">
        <f t="shared" si="20"/>
        <v>-0.35</v>
      </c>
    </row>
    <row r="36" spans="2:14" x14ac:dyDescent="0.3">
      <c r="B36">
        <f t="shared" ref="B36:F36" si="21">B7</f>
        <v>2200</v>
      </c>
      <c r="C36">
        <f t="shared" ref="C36:F36" si="22">ROUND(C7,2)</f>
        <v>0.94</v>
      </c>
      <c r="D36">
        <f t="shared" si="22"/>
        <v>-0.51</v>
      </c>
      <c r="E36">
        <f t="shared" si="22"/>
        <v>1.01</v>
      </c>
      <c r="F36">
        <f t="shared" si="22"/>
        <v>-0.28999999999999998</v>
      </c>
      <c r="H36">
        <f t="shared" si="18"/>
        <v>0.95099999999999996</v>
      </c>
      <c r="I36">
        <f t="shared" ref="H36:K36" si="23">ROUND(I7,2)</f>
        <v>-0.44</v>
      </c>
      <c r="J36">
        <f t="shared" si="23"/>
        <v>-0.8</v>
      </c>
      <c r="K36">
        <f t="shared" si="23"/>
        <v>-45.63</v>
      </c>
      <c r="M36">
        <f t="shared" ref="M36:N36" si="24">ROUND(M7,2)</f>
        <v>0.66</v>
      </c>
      <c r="N36">
        <f t="shared" si="24"/>
        <v>-0.68</v>
      </c>
    </row>
    <row r="37" spans="2:14" x14ac:dyDescent="0.3">
      <c r="B37">
        <f t="shared" ref="B37:F37" si="25">B8</f>
        <v>4700</v>
      </c>
      <c r="C37">
        <f t="shared" ref="C37:F37" si="26">ROUND(C8,2)</f>
        <v>0.77</v>
      </c>
      <c r="D37">
        <f t="shared" si="26"/>
        <v>-1.02</v>
      </c>
      <c r="E37">
        <f t="shared" si="26"/>
        <v>1.03</v>
      </c>
      <c r="F37">
        <f t="shared" si="26"/>
        <v>-0.67</v>
      </c>
      <c r="H37">
        <f t="shared" si="18"/>
        <v>0.79400000000000004</v>
      </c>
      <c r="I37">
        <f t="shared" ref="H37:K37" si="27">ROUND(I8,2)</f>
        <v>-2.0099999999999998</v>
      </c>
      <c r="J37">
        <f t="shared" si="27"/>
        <v>-1.69</v>
      </c>
      <c r="K37">
        <f t="shared" si="27"/>
        <v>-96.7</v>
      </c>
      <c r="M37">
        <f t="shared" ref="M37:N37" si="28">ROUND(M8,2)</f>
        <v>-0.09</v>
      </c>
      <c r="N37">
        <f t="shared" si="28"/>
        <v>-0.79</v>
      </c>
    </row>
    <row r="38" spans="2:14" x14ac:dyDescent="0.3">
      <c r="B38">
        <f t="shared" ref="B38:F38" si="29">B9</f>
        <v>10000</v>
      </c>
      <c r="C38">
        <f t="shared" ref="C38:F38" si="30">ROUND(C9,2)</f>
        <v>0.42</v>
      </c>
      <c r="D38">
        <f t="shared" si="30"/>
        <v>1.37</v>
      </c>
      <c r="E38">
        <f t="shared" si="30"/>
        <v>0.78</v>
      </c>
      <c r="F38">
        <f t="shared" si="30"/>
        <v>1.52</v>
      </c>
      <c r="H38">
        <f t="shared" si="18"/>
        <v>0.32600000000000001</v>
      </c>
      <c r="I38">
        <f t="shared" ref="H38:K38" si="31">ROUND(I9,2)</f>
        <v>-9.73</v>
      </c>
      <c r="J38">
        <f t="shared" si="31"/>
        <v>2.89</v>
      </c>
      <c r="K38">
        <f t="shared" si="31"/>
        <v>-194.17</v>
      </c>
      <c r="M38">
        <f t="shared" ref="M38:N38" si="32">ROUND(M9,2)</f>
        <v>-0.32</v>
      </c>
      <c r="N38">
        <f t="shared" si="32"/>
        <v>0.08</v>
      </c>
    </row>
    <row r="39" spans="2:14" x14ac:dyDescent="0.3">
      <c r="B39">
        <f t="shared" ref="B39:F39" si="33">B10</f>
        <v>22000</v>
      </c>
      <c r="C39">
        <f t="shared" ref="C39:F39" si="34">ROUND(C10,2)</f>
        <v>0.12</v>
      </c>
      <c r="D39">
        <f t="shared" si="34"/>
        <v>0.7</v>
      </c>
      <c r="E39">
        <f t="shared" si="34"/>
        <v>0.2</v>
      </c>
      <c r="F39">
        <f t="shared" si="34"/>
        <v>0.6</v>
      </c>
      <c r="H39">
        <f t="shared" si="18"/>
        <v>2.5000000000000001E-2</v>
      </c>
      <c r="I39">
        <f t="shared" ref="H39:K39" si="35">ROUND(I10,2)</f>
        <v>-32.07</v>
      </c>
      <c r="J39">
        <f t="shared" si="35"/>
        <v>1.3</v>
      </c>
      <c r="K39">
        <f t="shared" si="35"/>
        <v>-285.67</v>
      </c>
      <c r="M39">
        <f t="shared" ref="M39:N39" si="36">ROUND(M10,2)</f>
        <v>0.01</v>
      </c>
      <c r="N39">
        <f t="shared" si="36"/>
        <v>0.02</v>
      </c>
    </row>
    <row r="40" spans="2:14" x14ac:dyDescent="0.3">
      <c r="B40">
        <f t="shared" ref="B40:F40" si="37">B11</f>
        <v>47000</v>
      </c>
      <c r="C40">
        <f t="shared" ref="C40:F40" si="38">ROUND(C11,2)</f>
        <v>0.03</v>
      </c>
      <c r="D40">
        <f t="shared" si="38"/>
        <v>0.34</v>
      </c>
      <c r="E40">
        <f t="shared" si="38"/>
        <v>0.04</v>
      </c>
      <c r="F40">
        <f t="shared" si="38"/>
        <v>0.26</v>
      </c>
      <c r="H40">
        <f t="shared" si="18"/>
        <v>1E-3</v>
      </c>
      <c r="I40">
        <f t="shared" ref="H40:K40" si="39">ROUND(I11,2)</f>
        <v>-57.81</v>
      </c>
      <c r="J40">
        <f t="shared" si="39"/>
        <v>0.6</v>
      </c>
      <c r="K40">
        <f t="shared" si="39"/>
        <v>-325.72000000000003</v>
      </c>
      <c r="M40">
        <f t="shared" ref="M40:N40" si="40">ROUND(M11,2)</f>
        <v>0</v>
      </c>
      <c r="N40">
        <f t="shared" si="40"/>
        <v>0</v>
      </c>
    </row>
    <row r="41" spans="2:14" x14ac:dyDescent="0.3">
      <c r="B41">
        <f t="shared" ref="B41:F41" si="41">B12</f>
        <v>100000</v>
      </c>
      <c r="C41">
        <f t="shared" ref="C41:F41" si="42">ROUND(C12,2)</f>
        <v>0.01</v>
      </c>
      <c r="D41">
        <f t="shared" si="42"/>
        <v>0.16</v>
      </c>
      <c r="E41">
        <f t="shared" si="42"/>
        <v>0.01</v>
      </c>
      <c r="F41">
        <f t="shared" si="42"/>
        <v>0.12</v>
      </c>
      <c r="H41">
        <f t="shared" si="18"/>
        <v>0</v>
      </c>
      <c r="I41">
        <f t="shared" ref="H41:K41" si="43">ROUND(I12,2)</f>
        <v>-83.92</v>
      </c>
      <c r="J41">
        <f t="shared" si="43"/>
        <v>0.28000000000000003</v>
      </c>
      <c r="K41">
        <f t="shared" si="43"/>
        <v>-343.94</v>
      </c>
      <c r="M41">
        <f t="shared" ref="M41:N41" si="44">ROUND(M12,2)</f>
        <v>0</v>
      </c>
      <c r="N41">
        <f t="shared" si="44"/>
        <v>0</v>
      </c>
    </row>
    <row r="42" spans="2:14" x14ac:dyDescent="0.3">
      <c r="B42">
        <f t="shared" ref="B42:F42" si="45">B13</f>
        <v>220000</v>
      </c>
      <c r="C42">
        <f t="shared" ref="C42:F42" si="46">ROUND(C13,2)</f>
        <v>0</v>
      </c>
      <c r="D42">
        <f t="shared" si="46"/>
        <v>7.0000000000000007E-2</v>
      </c>
      <c r="E42">
        <f t="shared" si="46"/>
        <v>0</v>
      </c>
      <c r="F42">
        <f t="shared" si="46"/>
        <v>0.05</v>
      </c>
      <c r="H42">
        <f t="shared" si="18"/>
        <v>0</v>
      </c>
      <c r="I42">
        <f t="shared" ref="H42:K42" si="47">ROUND(I13,2)</f>
        <v>-111.29</v>
      </c>
      <c r="J42">
        <f t="shared" si="47"/>
        <v>0.13</v>
      </c>
      <c r="K42">
        <f t="shared" si="47"/>
        <v>-352.71</v>
      </c>
      <c r="M42">
        <f t="shared" ref="M42:N42" si="48">ROUND(M13,2)</f>
        <v>0</v>
      </c>
      <c r="N42">
        <f t="shared" si="48"/>
        <v>0</v>
      </c>
    </row>
    <row r="43" spans="2:14" x14ac:dyDescent="0.3">
      <c r="B43">
        <f t="shared" ref="B43:F43" si="49">B14</f>
        <v>470000</v>
      </c>
      <c r="C43">
        <f t="shared" ref="C43:F43" si="50">ROUND(C14,2)</f>
        <v>0</v>
      </c>
      <c r="D43">
        <f t="shared" si="50"/>
        <v>0.03</v>
      </c>
      <c r="E43">
        <f t="shared" si="50"/>
        <v>0</v>
      </c>
      <c r="F43">
        <f t="shared" si="50"/>
        <v>0.03</v>
      </c>
      <c r="H43">
        <f t="shared" si="18"/>
        <v>0</v>
      </c>
      <c r="I43">
        <f t="shared" ref="H43:K43" si="51">ROUND(I14,2)</f>
        <v>-137.66</v>
      </c>
      <c r="J43">
        <f t="shared" si="51"/>
        <v>0.06</v>
      </c>
      <c r="K43">
        <f t="shared" si="51"/>
        <v>-356.59</v>
      </c>
      <c r="M43">
        <f t="shared" ref="M43:N43" si="52">ROUND(M14,2)</f>
        <v>0</v>
      </c>
      <c r="N43">
        <f t="shared" si="5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Bode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Coulston</dc:creator>
  <cp:lastModifiedBy>Chris Coulston</cp:lastModifiedBy>
  <dcterms:created xsi:type="dcterms:W3CDTF">2024-04-27T17:09:05Z</dcterms:created>
  <dcterms:modified xsi:type="dcterms:W3CDTF">2024-06-03T16:00:51Z</dcterms:modified>
</cp:coreProperties>
</file>